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NI\git\Office-work-\Office-work-\Test\"/>
    </mc:Choice>
  </mc:AlternateContent>
  <xr:revisionPtr revIDLastSave="0" documentId="13_ncr:1_{DF36BEC0-503F-4769-A29F-ED66D2F43796}" xr6:coauthVersionLast="47" xr6:coauthVersionMax="47" xr10:uidLastSave="{00000000-0000-0000-0000-000000000000}"/>
  <bookViews>
    <workbookView xWindow="-108" yWindow="-108" windowWidth="23256" windowHeight="12456" tabRatio="943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" sheetId="36" r:id="rId4"/>
    <sheet name="Visual Chart" sheetId="22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4">#REF!</definedName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________________KEY3" localSheetId="4" hidden="1">'[1]SC Cost FEB 03'!#REF!</definedName>
    <definedName name="________________KEY3" localSheetId="4" hidden="1">'[1]SC Cost FEB 03'!#REF!</definedName>
    <definedName name="_______________KEY3" localSheetId="4" hidden="1">'[1]SC Cost FEB 03'!#REF!</definedName>
    <definedName name="____________KEY3" localSheetId="4" hidden="1">'[1]SC Cost FEB 03'!#REF!</definedName>
    <definedName name="________KEY3" localSheetId="4" hidden="1">'[1]SC Cost FEB 03'!#REF!</definedName>
    <definedName name="____A1" localSheetId="4">#REF!</definedName>
    <definedName name="____A10" localSheetId="4">#REF!</definedName>
    <definedName name="____A13" localSheetId="4">#REF!</definedName>
    <definedName name="____A2" localSheetId="4">#REF!</definedName>
    <definedName name="____A3" localSheetId="4">#REF!</definedName>
    <definedName name="____A4" localSheetId="4">#REF!</definedName>
    <definedName name="____A5" localSheetId="4">#REF!</definedName>
    <definedName name="____A6" localSheetId="4">#REF!</definedName>
    <definedName name="____A655600" localSheetId="4">#REF!</definedName>
    <definedName name="____A7" localSheetId="4">#REF!</definedName>
    <definedName name="____A8" localSheetId="4">#REF!</definedName>
    <definedName name="____A9" localSheetId="4">#REF!</definedName>
    <definedName name="___A1" localSheetId="4">#REF!</definedName>
    <definedName name="___A10" localSheetId="4">#REF!</definedName>
    <definedName name="___A13" localSheetId="4">#REF!</definedName>
    <definedName name="___A2" localSheetId="4">#REF!</definedName>
    <definedName name="___A3" localSheetId="4">#REF!</definedName>
    <definedName name="___A4" localSheetId="4">#REF!</definedName>
    <definedName name="___A5" localSheetId="4">#REF!</definedName>
    <definedName name="___A6" localSheetId="4">#REF!</definedName>
    <definedName name="___A655600" localSheetId="4">#REF!</definedName>
    <definedName name="___A7" localSheetId="4">#REF!</definedName>
    <definedName name="___A8" localSheetId="4">#REF!</definedName>
    <definedName name="___A9" localSheetId="4">#REF!</definedName>
    <definedName name="___KEY3" localSheetId="4" hidden="1">'[1]SC Cost FEB 03'!#REF!</definedName>
    <definedName name="__123Graph_B" localSheetId="4" hidden="1">'[2]CASH-FLOW'!#REF!</definedName>
    <definedName name="__123Graph_B" hidden="1">'[3]CASH-FLOW'!#REF!</definedName>
    <definedName name="__A1" localSheetId="4">#REF!</definedName>
    <definedName name="__A10" localSheetId="4">#REF!</definedName>
    <definedName name="__A13" localSheetId="4">#REF!</definedName>
    <definedName name="__A2" localSheetId="4">#REF!</definedName>
    <definedName name="__A3" localSheetId="4">#REF!</definedName>
    <definedName name="__A4" localSheetId="4">#REF!</definedName>
    <definedName name="__A5" localSheetId="4">#REF!</definedName>
    <definedName name="__A6" localSheetId="4">#REF!</definedName>
    <definedName name="__A655600" localSheetId="4">#REF!</definedName>
    <definedName name="__A7" localSheetId="4">#REF!</definedName>
    <definedName name="__A8" localSheetId="4">#REF!</definedName>
    <definedName name="__A9" localSheetId="4">#REF!</definedName>
    <definedName name="__KEY3" localSheetId="4" hidden="1">'[1]SC Cost FEB 03'!#REF!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1" localSheetId="4">#REF!</definedName>
    <definedName name="_A10" localSheetId="4">#REF!</definedName>
    <definedName name="_A13" localSheetId="4">#REF!</definedName>
    <definedName name="_A2" localSheetId="4">#REF!</definedName>
    <definedName name="_A3" localSheetId="4">#REF!</definedName>
    <definedName name="_A4" localSheetId="4">#REF!</definedName>
    <definedName name="_A5" localSheetId="4">#REF!</definedName>
    <definedName name="_A6" localSheetId="4">#REF!</definedName>
    <definedName name="_A655600" localSheetId="4">#REF!</definedName>
    <definedName name="_a655601">#REF!</definedName>
    <definedName name="_A7" localSheetId="4">#REF!</definedName>
    <definedName name="_A8" localSheetId="4">#REF!</definedName>
    <definedName name="_A9" localSheetId="4">#REF!</definedName>
    <definedName name="_b111121" localSheetId="4">'[4]PACK (B)'!#REF!</definedName>
    <definedName name="_xlnm._FilterDatabase" localSheetId="6" hidden="1">'PENDING ERE DETAILS'!$A$5:$G$52</definedName>
    <definedName name="_xlnm._FilterDatabase" localSheetId="5" hidden="1">'PENDING FDN DETAILS'!$A$3:$AD$16</definedName>
    <definedName name="_xlnm._FilterDatabase" localSheetId="3" hidden="1">Progress!$A$131:$P$214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'[5]SP Break Up'!$A$6:$I$39</definedName>
    <definedName name="_Key1" localSheetId="4" hidden="1">#REF!</definedName>
    <definedName name="_KEY3" localSheetId="4" hidden="1">'[1]SC Cost FEB 03'!#REF!</definedName>
    <definedName name="_Order1" hidden="1">255</definedName>
    <definedName name="_Order2" hidden="1">255</definedName>
    <definedName name="_TAB1">[6]TABLES!$A$2:$C$16</definedName>
    <definedName name="A" localSheetId="4">#REF!</definedName>
    <definedName name="A">#REF!</definedName>
    <definedName name="A1_" localSheetId="4">#REF!</definedName>
    <definedName name="A10_" localSheetId="4">#REF!</definedName>
    <definedName name="A13_" localSheetId="4">#REF!</definedName>
    <definedName name="A2_" localSheetId="4">#REF!</definedName>
    <definedName name="A3_" localSheetId="4">#REF!</definedName>
    <definedName name="A4_" localSheetId="4">#REF!</definedName>
    <definedName name="A5_" localSheetId="4">#REF!</definedName>
    <definedName name="A6_" localSheetId="4">#REF!</definedName>
    <definedName name="A7_" localSheetId="4">#REF!</definedName>
    <definedName name="A8_" localSheetId="4">#REF!</definedName>
    <definedName name="A9_" localSheetId="4">#REF!</definedName>
    <definedName name="aa" localSheetId="4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" localSheetId="4">#REF!</definedName>
    <definedName name="abcd">#REF!</definedName>
    <definedName name="ADVIK">#REF!</definedName>
    <definedName name="adwea" localSheetId="4">#REF!</definedName>
    <definedName name="april_qty" localSheetId="4">#REF!</definedName>
    <definedName name="ax">[7]CLAY!#REF!</definedName>
    <definedName name="ay">[7]CLAY!#REF!</definedName>
    <definedName name="B">'[8]PRECAST lightconc-II'!$K$19</definedName>
    <definedName name="bf" localSheetId="4">[9]Transfer!#REF!</definedName>
    <definedName name="bol" localSheetId="4">#REF!</definedName>
    <definedName name="botn">#REF!</definedName>
    <definedName name="bua">#REF!</definedName>
    <definedName name="building">'[10]DETAILED  BOQ'!$A$2</definedName>
    <definedName name="cant">'[11]Staff Acco.'!#REF!</definedName>
    <definedName name="carpet" localSheetId="4">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hecked" localSheetId="4">[7]CLAY!#REF!</definedName>
    <definedName name="col" localSheetId="4">#REF!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[12]dBase!$J$14</definedName>
    <definedName name="cummeas_may1006" localSheetId="4">#REF!</definedName>
    <definedName name="cummeas_up_to_mar" localSheetId="4">#REF!</definedName>
    <definedName name="_xlnm.Database">#N/A</definedName>
    <definedName name="dev">'[13]july-I'!$H$126:$H$140</definedName>
    <definedName name="Dome1">'[14]Data Sheet'!$B$3:$B$51</definedName>
    <definedName name="E">'[8]PRECAST lightconc-II'!$K$20</definedName>
    <definedName name="F" localSheetId="4">#REF!</definedName>
    <definedName name="fdsdafas" localSheetId="4" hidden="1">{"'TP-SUMMARY'!$I$11:$K$11"}</definedName>
    <definedName name="feb_qty_rev_3" localSheetId="4">#REF!</definedName>
    <definedName name="feb_rev4_qty" localSheetId="4">#REF!</definedName>
    <definedName name="ff" hidden="1">#REF!</definedName>
    <definedName name="FGNFN" localSheetId="4">#REF!</definedName>
    <definedName name="fhfgfhgfh" localSheetId="4">#REF!</definedName>
    <definedName name="fiI">#REF!</definedName>
    <definedName name="Floor">'[10]DETAILED  BOQ'!$C$4</definedName>
    <definedName name="GBDFG" localSheetId="4">#REF!</definedName>
    <definedName name="GRADE" localSheetId="4">#REF!</definedName>
    <definedName name="hfghfhertye5y5" localSheetId="4">#REF!</definedName>
    <definedName name="HTML_CodePage" hidden="1">1252</definedName>
    <definedName name="HTML_Control" localSheetId="4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insertplate_and_exp_joint" localSheetId="4">#REF!</definedName>
    <definedName name="job">'[15]DETAILED  BOQ'!$A$1</definedName>
    <definedName name="JobID" localSheetId="4">#REF!</definedName>
    <definedName name="kllkl">#REF!</definedName>
    <definedName name="knlkk">#REF!</definedName>
    <definedName name="lakh">[12]dBase!$J$12</definedName>
    <definedName name="lef" localSheetId="4">#REF!</definedName>
    <definedName name="logo1">"Picture 7"</definedName>
    <definedName name="man" localSheetId="4">#REF!</definedName>
    <definedName name="manday1" localSheetId="4">#REF!</definedName>
    <definedName name="march_qty" localSheetId="4">#REF!</definedName>
    <definedName name="mhr" localSheetId="4">#REF!</definedName>
    <definedName name="MonthYear">'[14]Data Sheet'!$A$2:$A$50</definedName>
    <definedName name="MS200202rev2" localSheetId="4">#REF!</definedName>
    <definedName name="ms2002may1706" localSheetId="4">#REF!</definedName>
    <definedName name="msjune1807" localSheetId="4">#REF!</definedName>
    <definedName name="NONSOR">#REF!</definedName>
    <definedName name="num2text">[12]dBase!$A$3:$I$1005</definedName>
    <definedName name="Pane2" localSheetId="4">#REF!</definedName>
    <definedName name="PHYSICAL_STATUS_OF_CONDUCTOR_AS_ON_DATE">'[16]Conductor Supply'!$A$1:$M$16</definedName>
    <definedName name="PPP" localSheetId="4">#REF!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 localSheetId="4">'Visual Chart'!$B$1:$W$175</definedName>
    <definedName name="_xlnm.Print_Area">#REF!</definedName>
    <definedName name="_xlnm.Print_Titles" localSheetId="3">Progress!$1:$2</definedName>
    <definedName name="_xlnm.Print_Titles">#N/A</definedName>
    <definedName name="printarea" localSheetId="4">#REF!</definedName>
    <definedName name="project" localSheetId="4">[7]CLAY!#REF!</definedName>
    <definedName name="Qty_as_on_apr" localSheetId="4">#REF!</definedName>
    <definedName name="_xlnm.Recorder">#REF!</definedName>
    <definedName name="rel">#REF!</definedName>
    <definedName name="Rev">#REF!</definedName>
    <definedName name="RFGF" localSheetId="4">#REF!</definedName>
    <definedName name="rig">#REF!</definedName>
    <definedName name="robot">#REF!</definedName>
    <definedName name="rosid">#REF!</definedName>
    <definedName name="rrammv" localSheetId="4">#REF!</definedName>
    <definedName name="RRR" hidden="1">#REF!</definedName>
    <definedName name="S">#REF!</definedName>
    <definedName name="S0" localSheetId="4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[6]TABLES!$E$4:$F$57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rID" localSheetId="4">#REF!</definedName>
    <definedName name="structure" localSheetId="4">[7]CLAY!#REF!</definedName>
    <definedName name="Subject" localSheetId="4">#REF!</definedName>
    <definedName name="Supply">#REF!</definedName>
    <definedName name="T0" localSheetId="4">#REF!</definedName>
    <definedName name="t1_" localSheetId="4">#REF!</definedName>
    <definedName name="TABLE_4" localSheetId="4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ree" localSheetId="4" hidden="1">{"'TP-SUMMARY'!$I$11:$K$11"}</definedName>
    <definedName name="UNITS">#REF!</definedName>
    <definedName name="v">'[17]AT-3'!$C$10</definedName>
    <definedName name="vertical_col_and_corner_walls" localSheetId="4">#REF!</definedName>
    <definedName name="w" localSheetId="4">[7]CLAY!#REF!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  <definedName name="전체" localSheetId="4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52" l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J4" i="36" l="1"/>
  <c r="K4" i="36" s="1"/>
  <c r="F4" i="36"/>
  <c r="K3" i="36"/>
  <c r="J3" i="36"/>
  <c r="F3" i="36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K22" i="44" l="1"/>
  <c r="G57" i="44" l="1"/>
  <c r="I60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X131" i="22"/>
  <c r="J11" i="44"/>
  <c r="K11" i="44" s="1"/>
  <c r="I51" i="44"/>
  <c r="A148" i="36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F10" i="36"/>
  <c r="F17" i="44"/>
  <c r="L10" i="36"/>
  <c r="L9" i="36"/>
  <c r="F9" i="36"/>
  <c r="Q171" i="22"/>
  <c r="Q174" i="22"/>
  <c r="X103" i="22"/>
  <c r="F16" i="44"/>
  <c r="F10" i="44"/>
  <c r="J10" i="44"/>
  <c r="K10" i="44" s="1"/>
  <c r="F11" i="44"/>
  <c r="L16" i="44"/>
  <c r="L17" i="44"/>
  <c r="J21" i="44"/>
  <c r="K21" i="44"/>
  <c r="L21" i="44" s="1"/>
  <c r="J22" i="44"/>
  <c r="L22" i="44"/>
  <c r="K23" i="44"/>
  <c r="L23" i="44" s="1"/>
  <c r="K24" i="44"/>
  <c r="L24" i="44" s="1"/>
  <c r="H47" i="44"/>
  <c r="I47" i="44"/>
  <c r="H48" i="44"/>
  <c r="I48" i="44"/>
  <c r="H49" i="44"/>
  <c r="I49" i="44"/>
  <c r="H50" i="44"/>
  <c r="H52" i="44"/>
  <c r="I52" i="44"/>
  <c r="A53" i="44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H53" i="44"/>
  <c r="I53" i="44"/>
  <c r="H54" i="44"/>
  <c r="I54" i="44"/>
  <c r="F55" i="44"/>
  <c r="I55" i="44"/>
  <c r="F56" i="44"/>
  <c r="I56" i="44"/>
  <c r="F57" i="44"/>
  <c r="I57" i="44"/>
  <c r="F58" i="44"/>
  <c r="H58" i="44" s="1"/>
  <c r="I58" i="44"/>
  <c r="F59" i="44"/>
  <c r="I59" i="44"/>
  <c r="F60" i="44"/>
  <c r="F61" i="44"/>
  <c r="I61" i="44"/>
  <c r="F62" i="44"/>
  <c r="I62" i="44"/>
  <c r="F63" i="44"/>
  <c r="I63" i="44"/>
  <c r="F64" i="44"/>
  <c r="I64" i="44"/>
  <c r="F65" i="44"/>
  <c r="I65" i="44"/>
  <c r="F66" i="44"/>
  <c r="I66" i="44"/>
  <c r="D174" i="22"/>
  <c r="D171" i="22"/>
  <c r="AB150" i="22"/>
  <c r="V173" i="22"/>
  <c r="X150" i="22"/>
  <c r="I173" i="22" s="1"/>
  <c r="AB149" i="22"/>
  <c r="U173" i="22" s="1"/>
  <c r="AA149" i="22"/>
  <c r="AB148" i="22"/>
  <c r="T173" i="22" s="1"/>
  <c r="AA148" i="22"/>
  <c r="AB147" i="22"/>
  <c r="S173" i="22" s="1"/>
  <c r="AA147" i="22"/>
  <c r="Y143" i="22"/>
  <c r="E143" i="22"/>
  <c r="C143" i="22"/>
  <c r="Y142" i="22"/>
  <c r="X142" i="22"/>
  <c r="Y141" i="22"/>
  <c r="F139" i="22"/>
  <c r="D139" i="22"/>
  <c r="U133" i="22"/>
  <c r="S133" i="22"/>
  <c r="Q133" i="22"/>
  <c r="O133" i="22"/>
  <c r="M133" i="22"/>
  <c r="K133" i="22"/>
  <c r="I133" i="22"/>
  <c r="G133" i="22"/>
  <c r="E133" i="22"/>
  <c r="C133" i="22"/>
  <c r="Y132" i="22"/>
  <c r="Y133" i="22" s="1"/>
  <c r="X132" i="22"/>
  <c r="Y131" i="22"/>
  <c r="V129" i="22"/>
  <c r="V134" i="22" s="1"/>
  <c r="T129" i="22"/>
  <c r="R129" i="22"/>
  <c r="P129" i="22"/>
  <c r="N129" i="22"/>
  <c r="L129" i="22"/>
  <c r="J129" i="22"/>
  <c r="H129" i="22"/>
  <c r="H134" i="22" s="1"/>
  <c r="F129" i="22"/>
  <c r="E134" i="22" s="1"/>
  <c r="D129" i="22"/>
  <c r="U123" i="22"/>
  <c r="S123" i="22"/>
  <c r="Q123" i="22"/>
  <c r="O123" i="22"/>
  <c r="M123" i="22"/>
  <c r="K123" i="22"/>
  <c r="I123" i="22"/>
  <c r="G123" i="22"/>
  <c r="E123" i="22"/>
  <c r="C123" i="22"/>
  <c r="Y122" i="22"/>
  <c r="Y121" i="22"/>
  <c r="Y123" i="22"/>
  <c r="V119" i="22"/>
  <c r="T119" i="22"/>
  <c r="R119" i="22"/>
  <c r="P119" i="22"/>
  <c r="N119" i="22"/>
  <c r="L119" i="22"/>
  <c r="J119" i="22"/>
  <c r="H119" i="22"/>
  <c r="F119" i="22"/>
  <c r="D119" i="22"/>
  <c r="AA114" i="22"/>
  <c r="Z114" i="22"/>
  <c r="U114" i="22"/>
  <c r="S114" i="22"/>
  <c r="Q114" i="22"/>
  <c r="O114" i="22"/>
  <c r="M114" i="22"/>
  <c r="K114" i="22"/>
  <c r="I114" i="22"/>
  <c r="G114" i="22"/>
  <c r="E114" i="22"/>
  <c r="C114" i="22"/>
  <c r="Y113" i="22"/>
  <c r="X113" i="22"/>
  <c r="Y112" i="22"/>
  <c r="V110" i="22"/>
  <c r="T110" i="22"/>
  <c r="R110" i="22"/>
  <c r="P110" i="22"/>
  <c r="N110" i="22"/>
  <c r="L110" i="22"/>
  <c r="J110" i="22"/>
  <c r="H110" i="22"/>
  <c r="F110" i="22"/>
  <c r="D110" i="22"/>
  <c r="C115" i="22" s="1"/>
  <c r="U105" i="22"/>
  <c r="S105" i="22"/>
  <c r="Q105" i="22"/>
  <c r="O105" i="22"/>
  <c r="M105" i="22"/>
  <c r="K105" i="22"/>
  <c r="I105" i="22"/>
  <c r="G105" i="22"/>
  <c r="E105" i="22"/>
  <c r="C105" i="22"/>
  <c r="Y104" i="22"/>
  <c r="X104" i="22"/>
  <c r="Y103" i="22"/>
  <c r="V101" i="22"/>
  <c r="T101" i="22"/>
  <c r="R101" i="22"/>
  <c r="P101" i="22"/>
  <c r="P106" i="22" s="1"/>
  <c r="N101" i="22"/>
  <c r="N106" i="22" s="1"/>
  <c r="L101" i="22"/>
  <c r="L106" i="22" s="1"/>
  <c r="J101" i="22"/>
  <c r="H101" i="22"/>
  <c r="F101" i="22"/>
  <c r="D101" i="22"/>
  <c r="AG99" i="22"/>
  <c r="AA96" i="22"/>
  <c r="U96" i="22"/>
  <c r="S96" i="22"/>
  <c r="Q96" i="22"/>
  <c r="O96" i="22"/>
  <c r="M96" i="22"/>
  <c r="K96" i="22"/>
  <c r="I96" i="22"/>
  <c r="G96" i="22"/>
  <c r="E96" i="22"/>
  <c r="C96" i="22"/>
  <c r="Y95" i="22"/>
  <c r="Y96" i="22" s="1"/>
  <c r="Y94" i="22"/>
  <c r="V92" i="22"/>
  <c r="T92" i="22"/>
  <c r="R92" i="22"/>
  <c r="P92" i="22"/>
  <c r="N92" i="22"/>
  <c r="L92" i="22"/>
  <c r="J92" i="22"/>
  <c r="H92" i="22"/>
  <c r="F92" i="22"/>
  <c r="D92" i="22"/>
  <c r="AA87" i="22"/>
  <c r="U87" i="22"/>
  <c r="S87" i="22"/>
  <c r="Q87" i="22"/>
  <c r="O87" i="22"/>
  <c r="M87" i="22"/>
  <c r="K87" i="22"/>
  <c r="I87" i="22"/>
  <c r="G87" i="22"/>
  <c r="E87" i="22"/>
  <c r="C87" i="22"/>
  <c r="Y86" i="22"/>
  <c r="Y87" i="22" s="1"/>
  <c r="Y85" i="22"/>
  <c r="X86" i="22"/>
  <c r="V83" i="22"/>
  <c r="T83" i="22"/>
  <c r="R83" i="22"/>
  <c r="P83" i="22"/>
  <c r="N83" i="22"/>
  <c r="L83" i="22"/>
  <c r="J83" i="22"/>
  <c r="H83" i="22"/>
  <c r="F83" i="22"/>
  <c r="D83" i="22"/>
  <c r="AB82" i="22"/>
  <c r="V172" i="22"/>
  <c r="V174" i="22" s="1"/>
  <c r="X82" i="22"/>
  <c r="I172" i="22" s="1"/>
  <c r="I174" i="22" s="1"/>
  <c r="AB81" i="22"/>
  <c r="U172" i="22" s="1"/>
  <c r="AA81" i="22"/>
  <c r="AA80" i="22"/>
  <c r="X80" i="22"/>
  <c r="G172" i="22" s="1"/>
  <c r="AA79" i="22"/>
  <c r="Y79" i="22"/>
  <c r="K172" i="22" s="1"/>
  <c r="X79" i="22"/>
  <c r="U78" i="22"/>
  <c r="S78" i="22"/>
  <c r="Q78" i="22"/>
  <c r="O78" i="22"/>
  <c r="M78" i="22"/>
  <c r="K78" i="22"/>
  <c r="I78" i="22"/>
  <c r="G78" i="22"/>
  <c r="E78" i="22"/>
  <c r="C78" i="22"/>
  <c r="AF77" i="22"/>
  <c r="AE77" i="22"/>
  <c r="AD77" i="22"/>
  <c r="Z77" i="22"/>
  <c r="Y77" i="22"/>
  <c r="X77" i="22"/>
  <c r="AF76" i="22"/>
  <c r="AE76" i="22"/>
  <c r="AD76" i="22"/>
  <c r="Z80" i="22"/>
  <c r="O172" i="22" s="1"/>
  <c r="AF75" i="22"/>
  <c r="AG78" i="22" s="1"/>
  <c r="AE75" i="22"/>
  <c r="Y147" i="22" s="1"/>
  <c r="K173" i="22" s="1"/>
  <c r="AD75" i="22"/>
  <c r="Z79" i="22"/>
  <c r="N172" i="22" s="1"/>
  <c r="V74" i="22"/>
  <c r="P79" i="22" s="1"/>
  <c r="T74" i="22"/>
  <c r="R74" i="22"/>
  <c r="P74" i="22"/>
  <c r="N74" i="22"/>
  <c r="L74" i="22"/>
  <c r="J74" i="22"/>
  <c r="H74" i="22"/>
  <c r="F74" i="22"/>
  <c r="W74" i="22" s="1"/>
  <c r="D74" i="22"/>
  <c r="AA69" i="22"/>
  <c r="U69" i="22"/>
  <c r="S69" i="22"/>
  <c r="Q69" i="22"/>
  <c r="O69" i="22"/>
  <c r="M69" i="22"/>
  <c r="K69" i="22"/>
  <c r="I69" i="22"/>
  <c r="G69" i="22"/>
  <c r="E69" i="22"/>
  <c r="C69" i="22"/>
  <c r="Y68" i="22"/>
  <c r="Y69" i="22" s="1"/>
  <c r="A66" i="22"/>
  <c r="A75" i="22"/>
  <c r="A84" i="22" s="1"/>
  <c r="V65" i="22"/>
  <c r="T65" i="22"/>
  <c r="R65" i="22"/>
  <c r="P65" i="22"/>
  <c r="N65" i="22"/>
  <c r="L65" i="22"/>
  <c r="J65" i="22"/>
  <c r="H65" i="22"/>
  <c r="F65" i="22"/>
  <c r="D65" i="22"/>
  <c r="AA59" i="22"/>
  <c r="U59" i="22"/>
  <c r="S59" i="22"/>
  <c r="Q59" i="22"/>
  <c r="O59" i="22"/>
  <c r="M59" i="22"/>
  <c r="I59" i="22"/>
  <c r="G59" i="22"/>
  <c r="E59" i="22"/>
  <c r="C59" i="22"/>
  <c r="Y58" i="22"/>
  <c r="X58" i="22"/>
  <c r="Y57" i="22"/>
  <c r="Y80" i="22" s="1"/>
  <c r="V55" i="22"/>
  <c r="T55" i="22"/>
  <c r="R55" i="22"/>
  <c r="P55" i="22"/>
  <c r="N55" i="22"/>
  <c r="K60" i="22"/>
  <c r="H55" i="22"/>
  <c r="G60" i="22" s="1"/>
  <c r="F55" i="22"/>
  <c r="D55" i="22"/>
  <c r="AA50" i="22"/>
  <c r="U50" i="22"/>
  <c r="S50" i="22"/>
  <c r="Q50" i="22"/>
  <c r="O50" i="22"/>
  <c r="M50" i="22"/>
  <c r="K50" i="22"/>
  <c r="I50" i="22"/>
  <c r="G50" i="22"/>
  <c r="E50" i="22"/>
  <c r="C50" i="22"/>
  <c r="Y49" i="22"/>
  <c r="Y50" i="22" s="1"/>
  <c r="X49" i="22"/>
  <c r="V46" i="22"/>
  <c r="T46" i="22"/>
  <c r="R46" i="22"/>
  <c r="P46" i="22"/>
  <c r="O51" i="22" s="1"/>
  <c r="N46" i="22"/>
  <c r="L46" i="22"/>
  <c r="J46" i="22"/>
  <c r="H46" i="22"/>
  <c r="F46" i="22"/>
  <c r="D46" i="22"/>
  <c r="AA41" i="22"/>
  <c r="U41" i="22"/>
  <c r="S41" i="22"/>
  <c r="Q41" i="22"/>
  <c r="O41" i="22"/>
  <c r="M41" i="22"/>
  <c r="K41" i="22"/>
  <c r="I41" i="22"/>
  <c r="G41" i="22"/>
  <c r="E41" i="22"/>
  <c r="C41" i="22"/>
  <c r="Y40" i="22"/>
  <c r="Y41" i="22" s="1"/>
  <c r="X40" i="22"/>
  <c r="V37" i="22"/>
  <c r="T37" i="22"/>
  <c r="R37" i="22"/>
  <c r="P37" i="22"/>
  <c r="N37" i="22"/>
  <c r="Z40" i="22" s="1"/>
  <c r="Z41" i="22" s="1"/>
  <c r="L37" i="22"/>
  <c r="J37" i="22"/>
  <c r="H37" i="22"/>
  <c r="F37" i="22"/>
  <c r="D37" i="22"/>
  <c r="AB36" i="22"/>
  <c r="V170" i="22" s="1"/>
  <c r="V171" i="22" s="1"/>
  <c r="X36" i="22"/>
  <c r="X155" i="22" s="1"/>
  <c r="I170" i="22"/>
  <c r="I171" i="22" s="1"/>
  <c r="AB35" i="22"/>
  <c r="U170" i="22"/>
  <c r="U171" i="22" s="1"/>
  <c r="AA35" i="22"/>
  <c r="AA154" i="22"/>
  <c r="AB34" i="22"/>
  <c r="AA34" i="22"/>
  <c r="Z34" i="22"/>
  <c r="O170" i="22" s="1"/>
  <c r="O171" i="22" s="1"/>
  <c r="X34" i="22"/>
  <c r="G170" i="22" s="1"/>
  <c r="G171" i="22" s="1"/>
  <c r="AB33" i="22"/>
  <c r="S170" i="22" s="1"/>
  <c r="S171" i="22" s="1"/>
  <c r="AA33" i="22"/>
  <c r="AA152" i="22"/>
  <c r="Y33" i="22"/>
  <c r="K170" i="22" s="1"/>
  <c r="K171" i="22" s="1"/>
  <c r="X33" i="22"/>
  <c r="F170" i="22" s="1"/>
  <c r="AA30" i="22"/>
  <c r="K30" i="22"/>
  <c r="I30" i="22"/>
  <c r="G30" i="22"/>
  <c r="E30" i="22"/>
  <c r="C30" i="22"/>
  <c r="Y29" i="22"/>
  <c r="Y35" i="22" s="1"/>
  <c r="L170" i="22" s="1"/>
  <c r="L171" i="22" s="1"/>
  <c r="Y28" i="22"/>
  <c r="X29" i="22"/>
  <c r="A27" i="22"/>
  <c r="A38" i="22" s="1"/>
  <c r="A47" i="22" s="1"/>
  <c r="A56" i="22" s="1"/>
  <c r="L26" i="22"/>
  <c r="C42" i="22" s="1"/>
  <c r="J26" i="22"/>
  <c r="H26" i="22"/>
  <c r="F26" i="22"/>
  <c r="D26" i="22"/>
  <c r="U21" i="22"/>
  <c r="S21" i="22"/>
  <c r="Q21" i="22"/>
  <c r="O21" i="22"/>
  <c r="M21" i="22"/>
  <c r="K21" i="22"/>
  <c r="I21" i="22"/>
  <c r="G21" i="22"/>
  <c r="Y20" i="22"/>
  <c r="X20" i="22"/>
  <c r="Y19" i="22"/>
  <c r="Y34" i="22" s="1"/>
  <c r="V17" i="22"/>
  <c r="T17" i="22"/>
  <c r="R17" i="22"/>
  <c r="P17" i="22"/>
  <c r="N17" i="22"/>
  <c r="L17" i="22"/>
  <c r="J17" i="22"/>
  <c r="H17" i="22"/>
  <c r="F17" i="22"/>
  <c r="W17" i="22" s="1"/>
  <c r="D17" i="22"/>
  <c r="C22" i="22" s="1"/>
  <c r="L12" i="22"/>
  <c r="O12" i="22"/>
  <c r="O11" i="22"/>
  <c r="O10" i="22"/>
  <c r="O9" i="22"/>
  <c r="O8" i="22"/>
  <c r="O7" i="22"/>
  <c r="O6" i="22"/>
  <c r="O97" i="22"/>
  <c r="J124" i="22"/>
  <c r="AA123" i="22"/>
  <c r="AA78" i="22"/>
  <c r="C134" i="22"/>
  <c r="AA143" i="22"/>
  <c r="AB154" i="22"/>
  <c r="AA105" i="22"/>
  <c r="Z33" i="22"/>
  <c r="AA21" i="22"/>
  <c r="A14" i="46"/>
  <c r="A15" i="46"/>
  <c r="A16" i="46"/>
  <c r="A17" i="46"/>
  <c r="A18" i="46" s="1"/>
  <c r="A19" i="46" s="1"/>
  <c r="A20" i="46" s="1"/>
  <c r="A21" i="46" s="1"/>
  <c r="A22" i="46" s="1"/>
  <c r="A23" i="46" s="1"/>
  <c r="A24" i="46" s="1"/>
  <c r="A25" i="46" s="1"/>
  <c r="A26" i="46" s="1"/>
  <c r="H9" i="46"/>
  <c r="F9" i="46"/>
  <c r="E9" i="46"/>
  <c r="D9" i="46"/>
  <c r="I8" i="46"/>
  <c r="I7" i="46"/>
  <c r="I6" i="46"/>
  <c r="I9" i="46"/>
  <c r="A2" i="46"/>
  <c r="J44" i="45"/>
  <c r="I44" i="45"/>
  <c r="H44" i="45"/>
  <c r="E44" i="45"/>
  <c r="D44" i="45"/>
  <c r="G43" i="45"/>
  <c r="B43" i="45"/>
  <c r="G42" i="45"/>
  <c r="B42" i="45"/>
  <c r="G41" i="45"/>
  <c r="B41" i="45"/>
  <c r="F40" i="45"/>
  <c r="B40" i="45"/>
  <c r="F39" i="45"/>
  <c r="B39" i="45"/>
  <c r="G38" i="45"/>
  <c r="B38" i="45"/>
  <c r="F37" i="45"/>
  <c r="B37" i="45"/>
  <c r="G36" i="45"/>
  <c r="B36" i="45"/>
  <c r="F35" i="45"/>
  <c r="B35" i="45"/>
  <c r="F34" i="45"/>
  <c r="B34" i="45"/>
  <c r="F33" i="45"/>
  <c r="B33" i="45"/>
  <c r="G32" i="45"/>
  <c r="B32" i="45"/>
  <c r="F31" i="45"/>
  <c r="B31" i="45"/>
  <c r="G30" i="45"/>
  <c r="B30" i="45"/>
  <c r="G29" i="45"/>
  <c r="B29" i="45"/>
  <c r="G28" i="45"/>
  <c r="B28" i="45"/>
  <c r="F27" i="45"/>
  <c r="B27" i="45"/>
  <c r="F26" i="45"/>
  <c r="B26" i="45"/>
  <c r="F25" i="45"/>
  <c r="B25" i="45"/>
  <c r="F24" i="45"/>
  <c r="B24" i="45"/>
  <c r="F23" i="45"/>
  <c r="B23" i="45"/>
  <c r="F22" i="45"/>
  <c r="B22" i="45"/>
  <c r="G21" i="45"/>
  <c r="B21" i="45"/>
  <c r="F20" i="45"/>
  <c r="B20" i="45"/>
  <c r="F19" i="45"/>
  <c r="B19" i="45"/>
  <c r="F18" i="45"/>
  <c r="B18" i="45"/>
  <c r="F17" i="45"/>
  <c r="B17" i="45"/>
  <c r="F16" i="45"/>
  <c r="B16" i="45"/>
  <c r="G15" i="45"/>
  <c r="G44" i="45" s="1"/>
  <c r="B15" i="45"/>
  <c r="F14" i="45"/>
  <c r="B14" i="45"/>
  <c r="F13" i="45"/>
  <c r="B13" i="45"/>
  <c r="G12" i="45"/>
  <c r="G5" i="45"/>
  <c r="G7" i="45"/>
  <c r="G11" i="45"/>
  <c r="B12" i="45"/>
  <c r="B11" i="45"/>
  <c r="F10" i="45"/>
  <c r="B10" i="45"/>
  <c r="F9" i="45"/>
  <c r="F44" i="45" s="1"/>
  <c r="B9" i="45"/>
  <c r="F8" i="45"/>
  <c r="B8" i="45"/>
  <c r="B7" i="45"/>
  <c r="F6" i="45"/>
  <c r="B6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67" i="36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S34" i="48" s="1"/>
  <c r="Q33" i="48"/>
  <c r="P33" i="48"/>
  <c r="O33" i="48"/>
  <c r="N33" i="48"/>
  <c r="M33" i="48"/>
  <c r="L33" i="48"/>
  <c r="K33" i="48"/>
  <c r="J33" i="48"/>
  <c r="I33" i="48"/>
  <c r="H33" i="48"/>
  <c r="G33" i="48"/>
  <c r="F33" i="48"/>
  <c r="S33" i="48" s="1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S31" i="48" s="1"/>
  <c r="Q30" i="48"/>
  <c r="P30" i="48"/>
  <c r="O30" i="48"/>
  <c r="N30" i="48"/>
  <c r="M30" i="48"/>
  <c r="L30" i="48"/>
  <c r="K30" i="48"/>
  <c r="J30" i="48"/>
  <c r="I30" i="48"/>
  <c r="H30" i="48"/>
  <c r="G30" i="48"/>
  <c r="F30" i="48"/>
  <c r="S30" i="48" s="1"/>
  <c r="Q29" i="48"/>
  <c r="P29" i="48"/>
  <c r="O29" i="48"/>
  <c r="N29" i="48"/>
  <c r="M29" i="48"/>
  <c r="L29" i="48"/>
  <c r="K29" i="48"/>
  <c r="J29" i="48"/>
  <c r="I29" i="48"/>
  <c r="H29" i="48"/>
  <c r="G29" i="48"/>
  <c r="F29" i="48"/>
  <c r="S29" i="48" s="1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S28" i="48" s="1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S16" i="48" s="1"/>
  <c r="T16" i="48" s="1"/>
  <c r="J16" i="48"/>
  <c r="I16" i="48"/>
  <c r="H16" i="48"/>
  <c r="G16" i="48"/>
  <c r="F16" i="48"/>
  <c r="U15" i="48"/>
  <c r="U17" i="48"/>
  <c r="U19" i="48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S13" i="48" s="1"/>
  <c r="Q12" i="48"/>
  <c r="P12" i="48"/>
  <c r="P19" i="48" s="1"/>
  <c r="O12" i="48"/>
  <c r="N12" i="48"/>
  <c r="M12" i="48"/>
  <c r="M19" i="48" s="1"/>
  <c r="L12" i="48"/>
  <c r="L19" i="48" s="1"/>
  <c r="K12" i="48"/>
  <c r="J12" i="48"/>
  <c r="I12" i="48"/>
  <c r="I19" i="48" s="1"/>
  <c r="H12" i="48"/>
  <c r="H19" i="48" s="1"/>
  <c r="G12" i="48"/>
  <c r="F12" i="48"/>
  <c r="Q19" i="48"/>
  <c r="N19" i="48"/>
  <c r="S32" i="48"/>
  <c r="L35" i="48"/>
  <c r="Q35" i="48"/>
  <c r="P35" i="48"/>
  <c r="O35" i="48"/>
  <c r="G35" i="48"/>
  <c r="K35" i="48"/>
  <c r="D263" i="12"/>
  <c r="S34" i="12"/>
  <c r="S33" i="12"/>
  <c r="S32" i="12"/>
  <c r="S35" i="12" s="1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P19" i="12" s="1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N19" i="12" s="1"/>
  <c r="L13" i="12"/>
  <c r="J13" i="12"/>
  <c r="I13" i="12"/>
  <c r="G13" i="12"/>
  <c r="F13" i="12"/>
  <c r="Q16" i="12"/>
  <c r="Q15" i="12"/>
  <c r="Q14" i="12"/>
  <c r="Q13" i="12"/>
  <c r="Q12" i="12"/>
  <c r="F12" i="12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K19" i="12"/>
  <c r="A236" i="12"/>
  <c r="A238" i="12"/>
  <c r="A240" i="12"/>
  <c r="A242" i="12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A24" i="45" l="1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T13" i="48"/>
  <c r="I175" i="22"/>
  <c r="E70" i="22"/>
  <c r="AB67" i="22"/>
  <c r="AB80" i="22" s="1"/>
  <c r="S17" i="12"/>
  <c r="O19" i="48"/>
  <c r="S18" i="48"/>
  <c r="T18" i="48" s="1"/>
  <c r="F35" i="48"/>
  <c r="L79" i="22"/>
  <c r="Q19" i="12"/>
  <c r="U174" i="22"/>
  <c r="I19" i="12"/>
  <c r="H19" i="12"/>
  <c r="L19" i="12"/>
  <c r="S17" i="48"/>
  <c r="T17" i="48" s="1"/>
  <c r="W101" i="22"/>
  <c r="F19" i="48"/>
  <c r="AA153" i="22"/>
  <c r="AB66" i="22"/>
  <c r="AB79" i="22" s="1"/>
  <c r="Y105" i="22"/>
  <c r="AB152" i="22"/>
  <c r="Y148" i="22"/>
  <c r="Y153" i="22" s="1"/>
  <c r="F115" i="22"/>
  <c r="F19" i="12"/>
  <c r="S14" i="12"/>
  <c r="S16" i="12"/>
  <c r="O19" i="12"/>
  <c r="G19" i="48"/>
  <c r="S14" i="48"/>
  <c r="T14" i="48" s="1"/>
  <c r="S15" i="48"/>
  <c r="T15" i="48" s="1"/>
  <c r="J19" i="48"/>
  <c r="C124" i="22"/>
  <c r="L134" i="22"/>
  <c r="D175" i="22"/>
  <c r="Z29" i="22"/>
  <c r="Z30" i="22" s="1"/>
  <c r="X35" i="22"/>
  <c r="H170" i="22" s="1"/>
  <c r="H171" i="22" s="1"/>
  <c r="G19" i="12"/>
  <c r="S15" i="12"/>
  <c r="J19" i="12"/>
  <c r="K19" i="48"/>
  <c r="R106" i="22"/>
  <c r="Y114" i="22"/>
  <c r="T172" i="22"/>
  <c r="T174" i="22" s="1"/>
  <c r="AB153" i="22"/>
  <c r="Z58" i="22"/>
  <c r="Z59" i="22" s="1"/>
  <c r="C70" i="22"/>
  <c r="Z86" i="22"/>
  <c r="Z87" i="22" s="1"/>
  <c r="W92" i="22"/>
  <c r="C106" i="22"/>
  <c r="Z104" i="22"/>
  <c r="Z105" i="22" s="1"/>
  <c r="W119" i="22"/>
  <c r="W26" i="22"/>
  <c r="E170" i="22" s="1"/>
  <c r="C31" i="22"/>
  <c r="Z49" i="22"/>
  <c r="Z50" i="22" s="1"/>
  <c r="W55" i="22"/>
  <c r="Z68" i="22"/>
  <c r="Z69" i="22" s="1"/>
  <c r="R70" i="22"/>
  <c r="W139" i="22"/>
  <c r="W37" i="22"/>
  <c r="C51" i="22"/>
  <c r="W46" i="22"/>
  <c r="C60" i="22"/>
  <c r="W65" i="22"/>
  <c r="C79" i="22"/>
  <c r="H66" i="44"/>
  <c r="H61" i="44"/>
  <c r="H56" i="44"/>
  <c r="U175" i="22"/>
  <c r="V175" i="22"/>
  <c r="W83" i="22"/>
  <c r="Y21" i="22"/>
  <c r="W129" i="22"/>
  <c r="W110" i="22"/>
  <c r="Y30" i="22"/>
  <c r="AA36" i="22"/>
  <c r="Z148" i="22"/>
  <c r="O173" i="22" s="1"/>
  <c r="O174" i="22" s="1"/>
  <c r="O175" i="22" s="1"/>
  <c r="T170" i="22"/>
  <c r="T171" i="22" s="1"/>
  <c r="Z123" i="22"/>
  <c r="Y59" i="22"/>
  <c r="AB155" i="22"/>
  <c r="AF78" i="22"/>
  <c r="Z142" i="22"/>
  <c r="Z96" i="22"/>
  <c r="Y149" i="22"/>
  <c r="L173" i="22" s="1"/>
  <c r="M173" i="22" s="1"/>
  <c r="C97" i="22"/>
  <c r="H65" i="44"/>
  <c r="AA82" i="22"/>
  <c r="R172" i="22"/>
  <c r="Y78" i="22"/>
  <c r="X148" i="22"/>
  <c r="G173" i="22" s="1"/>
  <c r="G174" i="22" s="1"/>
  <c r="G175" i="22" s="1"/>
  <c r="H60" i="44"/>
  <c r="H62" i="44"/>
  <c r="H57" i="44"/>
  <c r="H55" i="44"/>
  <c r="H64" i="44"/>
  <c r="H51" i="44"/>
  <c r="H59" i="44"/>
  <c r="H63" i="44"/>
  <c r="M170" i="22"/>
  <c r="M171" i="22" s="1"/>
  <c r="I50" i="44"/>
  <c r="X149" i="22"/>
  <c r="H173" i="22" s="1"/>
  <c r="X147" i="22"/>
  <c r="F173" i="22" s="1"/>
  <c r="J173" i="22" s="1"/>
  <c r="K174" i="22"/>
  <c r="K175" i="22" s="1"/>
  <c r="AE78" i="22"/>
  <c r="N170" i="22"/>
  <c r="Y152" i="22"/>
  <c r="J170" i="22"/>
  <c r="J171" i="22" s="1"/>
  <c r="F171" i="22"/>
  <c r="F172" i="22"/>
  <c r="X81" i="22"/>
  <c r="H172" i="22" s="1"/>
  <c r="Z78" i="22"/>
  <c r="Y81" i="22"/>
  <c r="S13" i="12"/>
  <c r="S19" i="12" s="1"/>
  <c r="S35" i="48"/>
  <c r="S12" i="48"/>
  <c r="Z82" i="22" l="1"/>
  <c r="S172" i="22"/>
  <c r="S174" i="22" s="1"/>
  <c r="S175" i="22" s="1"/>
  <c r="S19" i="48"/>
  <c r="U11" i="22"/>
  <c r="Z81" i="22"/>
  <c r="T12" i="48"/>
  <c r="Y150" i="22"/>
  <c r="Z149" i="22"/>
  <c r="P173" i="22" s="1"/>
  <c r="E172" i="22"/>
  <c r="W172" i="22" s="1"/>
  <c r="T175" i="22"/>
  <c r="W170" i="22"/>
  <c r="W171" i="22" s="1"/>
  <c r="E171" i="22"/>
  <c r="Z153" i="22"/>
  <c r="Z35" i="22"/>
  <c r="P170" i="22" s="1"/>
  <c r="P171" i="22" s="1"/>
  <c r="Z36" i="22"/>
  <c r="AA133" i="22"/>
  <c r="AA150" i="22" s="1"/>
  <c r="AA155" i="22" s="1"/>
  <c r="Z133" i="22"/>
  <c r="Y82" i="22"/>
  <c r="Y36" i="22"/>
  <c r="Z147" i="22"/>
  <c r="P172" i="22"/>
  <c r="P174" i="22" s="1"/>
  <c r="Z143" i="22"/>
  <c r="E173" i="22"/>
  <c r="X153" i="22"/>
  <c r="X152" i="22"/>
  <c r="H174" i="22"/>
  <c r="H175" i="22" s="1"/>
  <c r="X154" i="22"/>
  <c r="R170" i="22"/>
  <c r="R171" i="22" s="1"/>
  <c r="N171" i="22"/>
  <c r="F174" i="22"/>
  <c r="F175" i="22" s="1"/>
  <c r="J172" i="22"/>
  <c r="J174" i="22" s="1"/>
  <c r="J175" i="22" s="1"/>
  <c r="L172" i="22"/>
  <c r="Y154" i="22"/>
  <c r="Y155" i="22" l="1"/>
  <c r="Z150" i="22"/>
  <c r="Z155" i="22" s="1"/>
  <c r="N173" i="22"/>
  <c r="Z152" i="22"/>
  <c r="P175" i="22"/>
  <c r="Z154" i="22"/>
  <c r="W173" i="22"/>
  <c r="W174" i="22" s="1"/>
  <c r="W175" i="22" s="1"/>
  <c r="E174" i="22"/>
  <c r="E175" i="22" s="1"/>
  <c r="L174" i="22"/>
  <c r="L175" i="22" s="1"/>
  <c r="M172" i="22"/>
  <c r="M174" i="22" s="1"/>
  <c r="M175" i="22" s="1"/>
  <c r="R173" i="22" l="1"/>
  <c r="R174" i="22" s="1"/>
  <c r="R175" i="22" s="1"/>
  <c r="N174" i="22"/>
  <c r="N175" i="22" s="1"/>
</calcChain>
</file>

<file path=xl/sharedStrings.xml><?xml version="1.0" encoding="utf-8"?>
<sst xmlns="http://schemas.openxmlformats.org/spreadsheetml/2006/main" count="3728" uniqueCount="789">
  <si>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</si>
  <si>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</si>
  <si>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</si>
  <si>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</si>
  <si>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</si>
  <si>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</si>
  <si>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</si>
  <si>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</si>
  <si>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</si>
  <si>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</si>
  <si>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</si>
  <si>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</si>
  <si>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</si>
  <si>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</si>
  <si>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</si>
  <si>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</si>
  <si>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</si>
  <si>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</si>
  <si>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</si>
  <si>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</si>
  <si>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</si>
  <si>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</si>
  <si>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</si>
  <si>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</si>
  <si>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</si>
  <si>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</si>
  <si>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</si>
  <si>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</si>
  <si>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</si>
  <si>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</si>
  <si>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</si>
  <si>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</si>
  <si>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</si>
  <si>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</si>
  <si>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</si>
  <si>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</si>
  <si>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</si>
  <si>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</si>
  <si>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</si>
  <si>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</si>
  <si>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</si>
  <si>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</si>
  <si>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</si>
  <si>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</si>
  <si>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</si>
  <si>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</si>
  <si>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</si>
  <si>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</si>
  <si>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</si>
  <si>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</si>
  <si>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</si>
  <si>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</si>
  <si>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</si>
  <si>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</si>
  <si>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</si>
  <si>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</si>
  <si>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WIP</t>
  </si>
  <si>
    <t>Balance</t>
  </si>
  <si>
    <t>TOTAL</t>
  </si>
  <si>
    <t>U/P</t>
  </si>
  <si>
    <t>Tower Type</t>
  </si>
  <si>
    <t>ROW</t>
  </si>
  <si>
    <t>STRG</t>
  </si>
  <si>
    <t>FDN</t>
  </si>
  <si>
    <t>ERE</t>
  </si>
  <si>
    <t>COM</t>
  </si>
  <si>
    <t>1/0</t>
  </si>
  <si>
    <t>Paying out/ Rough sag</t>
  </si>
  <si>
    <t>Tack welding completed</t>
  </si>
  <si>
    <t>Erection ROW</t>
  </si>
  <si>
    <t>Erection Completed ------&gt;</t>
  </si>
  <si>
    <t>Foundation completed ----&gt;</t>
  </si>
  <si>
    <t>&lt;------Insulator hosting</t>
  </si>
  <si>
    <t>Earthing completed -----&gt;</t>
  </si>
  <si>
    <t>Erection Cleared</t>
  </si>
  <si>
    <t>Span</t>
  </si>
  <si>
    <t xml:space="preserve">HT-D/C Power Line Crossing </t>
  </si>
  <si>
    <t>Mtr. Gauge Railway Line Crossing</t>
  </si>
  <si>
    <t>A+0</t>
  </si>
  <si>
    <t xml:space="preserve">HT-M/C Power Line Crossing </t>
  </si>
  <si>
    <t>Broad Gauge Railway</t>
  </si>
  <si>
    <t>Line Crossing</t>
  </si>
  <si>
    <t>Location No.</t>
  </si>
  <si>
    <t>Road Crossing</t>
  </si>
  <si>
    <t>Minor River Crossing</t>
  </si>
  <si>
    <t>RC</t>
  </si>
  <si>
    <t>Raised Chimney</t>
  </si>
  <si>
    <t>Major River Crossing</t>
  </si>
  <si>
    <t>SH/NH Crossing</t>
  </si>
  <si>
    <t>GANTRY</t>
  </si>
  <si>
    <t>LT  Line Crossing</t>
  </si>
  <si>
    <t>HT(11/22/33KV)  Line Crossing</t>
  </si>
  <si>
    <t>ERTH</t>
  </si>
  <si>
    <t>com</t>
  </si>
  <si>
    <t>COMP</t>
  </si>
  <si>
    <t>WFT</t>
  </si>
  <si>
    <t>BAL</t>
  </si>
  <si>
    <t>No of TWR</t>
  </si>
  <si>
    <t>Trippur</t>
  </si>
  <si>
    <t>District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</si>
  <si>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</si>
  <si>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</si>
  <si>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</si>
  <si>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</si>
  <si>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</si>
  <si>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</si>
  <si>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</si>
  <si>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</si>
  <si>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Kms</t>
  </si>
  <si>
    <t>LT</t>
  </si>
  <si>
    <t>Section</t>
  </si>
  <si>
    <t>Length in KM</t>
  </si>
  <si>
    <t>Status</t>
  </si>
  <si>
    <t>KM</t>
  </si>
  <si>
    <t>Remarks</t>
  </si>
  <si>
    <t>EU - Line Daily Progress Report</t>
  </si>
  <si>
    <t>DC2+06</t>
  </si>
  <si>
    <t>DD45+18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</si>
  <si>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</si>
  <si>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</si>
  <si>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</si>
  <si>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</si>
  <si>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</si>
  <si>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</si>
  <si>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</si>
  <si>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</si>
  <si>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</si>
  <si>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</si>
  <si>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</si>
  <si>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</si>
  <si>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</si>
  <si>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</si>
  <si>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</si>
  <si>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</si>
  <si>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</si>
  <si>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</si>
  <si>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</si>
  <si>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</si>
  <si>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</si>
  <si>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</si>
  <si>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</si>
  <si>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</si>
  <si>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</si>
  <si>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</si>
  <si>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</si>
  <si>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</si>
  <si>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</si>
  <si>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</si>
  <si>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</si>
  <si>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</si>
  <si>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</si>
  <si>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</si>
  <si>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</si>
  <si>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</si>
  <si>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</si>
  <si>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</si>
  <si>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</si>
  <si>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</si>
  <si>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</si>
  <si>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</si>
  <si>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</si>
  <si>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</si>
  <si>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</si>
  <si>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</si>
  <si>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</si>
  <si>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</si>
  <si>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</si>
  <si>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</si>
  <si>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</si>
  <si>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</si>
  <si>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</si>
  <si>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</si>
  <si>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</si>
  <si>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</si>
  <si>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</si>
  <si>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</si>
  <si>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</si>
  <si>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</si>
  <si>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</si>
  <si>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</si>
  <si>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</si>
  <si>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</si>
  <si>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</si>
  <si>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</si>
  <si>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</si>
  <si>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</si>
  <si>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</si>
  <si>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</si>
  <si>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</si>
  <si>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</si>
  <si>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</si>
  <si>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</si>
  <si>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</si>
  <si>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</si>
  <si>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</si>
  <si>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KOPPAL DISTRICT</t>
  </si>
  <si>
    <t>RAICHUR DISTRICT</t>
  </si>
  <si>
    <t>SINDHANURU</t>
  </si>
  <si>
    <t>CHIKKEBERAGI</t>
  </si>
  <si>
    <t>BUKKANAHATTI</t>
  </si>
  <si>
    <t>UMALOOTI</t>
  </si>
  <si>
    <t>PURA</t>
  </si>
  <si>
    <t>KUSHTAGI</t>
  </si>
  <si>
    <t>KANNALA</t>
  </si>
  <si>
    <t>METTHINALA</t>
  </si>
  <si>
    <t>MANEDHAL</t>
  </si>
  <si>
    <t>220kV S/C Sindhanur LILO Line</t>
  </si>
  <si>
    <t>110kV S/C TL on D/C Tower</t>
  </si>
  <si>
    <t>220kV D/C LINE</t>
  </si>
  <si>
    <t>LAKE Crossing</t>
  </si>
  <si>
    <t>Hill Crossing</t>
  </si>
  <si>
    <t xml:space="preserve">NH-50 (Hosapete - Kushtagi) </t>
  </si>
  <si>
    <t>HADAGALI</t>
  </si>
  <si>
    <t>VIRAPAPURA</t>
  </si>
  <si>
    <t>LINGADHAHALLI</t>
  </si>
  <si>
    <t>HOMMINALA</t>
  </si>
  <si>
    <t>GANADHALA</t>
  </si>
  <si>
    <t>YELBURGA</t>
  </si>
  <si>
    <t>KATAGIHAL</t>
  </si>
  <si>
    <t>THIPPANAHALA</t>
  </si>
  <si>
    <t>UCHHALAKUNTI</t>
  </si>
  <si>
    <t>GUNNALA</t>
  </si>
  <si>
    <t>HUNASIHALA</t>
  </si>
  <si>
    <t>BEVURA</t>
  </si>
  <si>
    <t>VANAGERI</t>
  </si>
  <si>
    <t>32/0-33/0</t>
  </si>
  <si>
    <t>Raichur</t>
  </si>
  <si>
    <t>Koppal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</si>
  <si>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</si>
  <si>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</si>
  <si>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</si>
  <si>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</si>
  <si>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</si>
  <si>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</si>
  <si>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</si>
  <si>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</si>
  <si>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 xml:space="preserve">VISUAL CHART -  765kV D/C KOPPAL II(PS) - RAICHUR TRANSMISSION LINE </t>
  </si>
  <si>
    <t>Today's Progress</t>
  </si>
  <si>
    <t>Check Survey</t>
  </si>
  <si>
    <t>Classification</t>
  </si>
  <si>
    <t>DFR</t>
  </si>
  <si>
    <t>11KV-2</t>
  </si>
  <si>
    <t>LT-3</t>
  </si>
  <si>
    <t>LT-2</t>
  </si>
  <si>
    <t>11KV-4</t>
  </si>
  <si>
    <t xml:space="preserve">LT-2 </t>
  </si>
  <si>
    <t>110kV D/C LINE</t>
  </si>
  <si>
    <r>
      <t xml:space="preserve">11KV-2           </t>
    </r>
    <r>
      <rPr>
        <sz val="8"/>
        <color theme="1" tint="4.9989318521683403E-2"/>
        <rFont val="Arial"/>
        <family val="2"/>
      </rPr>
      <t>LT-5</t>
    </r>
  </si>
  <si>
    <r>
      <rPr>
        <b/>
        <sz val="9"/>
        <color theme="1"/>
        <rFont val="Arial"/>
        <family val="2"/>
      </rPr>
      <t xml:space="preserve">SH-36     </t>
    </r>
    <r>
      <rPr>
        <b/>
        <sz val="8"/>
        <color theme="1"/>
        <rFont val="Arial"/>
        <family val="2"/>
      </rPr>
      <t xml:space="preserve">                                      110kV D/C LINE</t>
    </r>
  </si>
  <si>
    <t>TW-1</t>
  </si>
  <si>
    <t>TW-2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</si>
  <si>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</si>
  <si>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</si>
  <si>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</si>
  <si>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</si>
  <si>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</si>
  <si>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</si>
  <si>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</si>
  <si>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</si>
  <si>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</si>
  <si>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</si>
  <si>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</si>
  <si>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</si>
  <si>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</si>
  <si>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</si>
  <si>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</si>
  <si>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</si>
  <si>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</si>
  <si>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</si>
  <si>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</si>
  <si>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</si>
  <si>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</si>
  <si>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</si>
  <si>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110kV S/C TL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</si>
  <si>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</si>
  <si>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</si>
  <si>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</si>
  <si>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</si>
  <si>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</si>
  <si>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</si>
  <si>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</si>
  <si>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</si>
  <si>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</si>
  <si>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</si>
  <si>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</si>
  <si>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</si>
  <si>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</si>
  <si>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</si>
  <si>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</si>
  <si>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</si>
  <si>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</si>
  <si>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</si>
  <si>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</si>
  <si>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</si>
  <si>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</si>
  <si>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</si>
  <si>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</si>
  <si>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</si>
  <si>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</si>
  <si>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</si>
  <si>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</si>
  <si>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</si>
  <si>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</si>
  <si>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</si>
  <si>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</si>
  <si>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</si>
  <si>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</si>
  <si>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</si>
  <si>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</si>
  <si>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</si>
  <si>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</si>
  <si>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</si>
  <si>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</si>
  <si>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</si>
  <si>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</si>
  <si>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</si>
  <si>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</si>
  <si>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</si>
  <si>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</si>
  <si>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</si>
  <si>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TW-92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</si>
  <si>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</si>
  <si>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</si>
  <si>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</si>
  <si>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</si>
  <si>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</si>
  <si>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</si>
  <si>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</si>
  <si>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</si>
  <si>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</si>
  <si>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</si>
  <si>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</si>
  <si>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</si>
  <si>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</si>
  <si>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TW-85</t>
  </si>
  <si>
    <t>TW-86</t>
  </si>
  <si>
    <t>TW-87</t>
  </si>
  <si>
    <t>TW-88</t>
  </si>
  <si>
    <t>TW-89</t>
  </si>
  <si>
    <t>TW-90</t>
  </si>
  <si>
    <t>TW-91</t>
  </si>
  <si>
    <t>TW-93</t>
  </si>
  <si>
    <t>TW-94</t>
  </si>
  <si>
    <t>TW-95</t>
  </si>
  <si>
    <t>TW-96</t>
  </si>
  <si>
    <t>TW-97</t>
  </si>
  <si>
    <t>TW-98</t>
  </si>
  <si>
    <t>TW-99</t>
  </si>
  <si>
    <t>TW-100</t>
  </si>
  <si>
    <t>TW-101</t>
  </si>
  <si>
    <t>TW-102</t>
  </si>
  <si>
    <t>TW-103</t>
  </si>
  <si>
    <t>TW-104</t>
  </si>
  <si>
    <t>TW-105</t>
  </si>
  <si>
    <t>TW-106</t>
  </si>
  <si>
    <t>TW-107</t>
  </si>
  <si>
    <t>TW-108</t>
  </si>
  <si>
    <t>TW-109</t>
  </si>
  <si>
    <t>TW-110</t>
  </si>
  <si>
    <t>TW-112</t>
  </si>
  <si>
    <t>TW-111</t>
  </si>
  <si>
    <t>TW-113</t>
  </si>
  <si>
    <t>TW-114</t>
  </si>
  <si>
    <t>TW-115</t>
  </si>
  <si>
    <t>TW-116</t>
  </si>
  <si>
    <t>TW-117</t>
  </si>
  <si>
    <t>TW-118</t>
  </si>
  <si>
    <t>TW-119</t>
  </si>
  <si>
    <t>TW-120</t>
  </si>
  <si>
    <t>TW-121</t>
  </si>
  <si>
    <t>HT-S/C Power Line Crossing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</si>
  <si>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</si>
  <si>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</si>
  <si>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</si>
  <si>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</si>
  <si>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</si>
  <si>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</si>
  <si>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</si>
  <si>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</si>
  <si>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</si>
  <si>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</si>
  <si>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</si>
  <si>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</si>
  <si>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</si>
  <si>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</si>
  <si>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</si>
  <si>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</si>
  <si>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</si>
  <si>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</si>
  <si>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</si>
  <si>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</si>
  <si>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</si>
  <si>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</si>
  <si>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</si>
  <si>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</si>
  <si>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</si>
  <si>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</si>
  <si>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</si>
  <si>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</si>
  <si>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</si>
  <si>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</si>
  <si>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</si>
  <si>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</si>
  <si>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</si>
  <si>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</si>
  <si>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</si>
  <si>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</si>
  <si>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</si>
  <si>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</si>
  <si>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TA-418</t>
  </si>
  <si>
    <t>Date</t>
  </si>
  <si>
    <t>SBU Head</t>
  </si>
  <si>
    <t>Mr. Rajinder Gupta</t>
  </si>
  <si>
    <t>Project Name</t>
  </si>
  <si>
    <t>765KV D/C  KOPPAL  II(PS) - RAICHUR TL  (Part-1)</t>
  </si>
  <si>
    <t>PCH</t>
  </si>
  <si>
    <t>Mr. Sivaraman N</t>
  </si>
  <si>
    <t>Client Name</t>
  </si>
  <si>
    <t>Power Grid Corporation of India Limited</t>
  </si>
  <si>
    <t>11.12.2025</t>
  </si>
  <si>
    <t>Regional Manager</t>
  </si>
  <si>
    <t>Mr. Ajith Kumar MG</t>
  </si>
  <si>
    <t>Planning Engineer</t>
  </si>
  <si>
    <t>Mr.Ajith Jayasurya</t>
  </si>
  <si>
    <t>Project Manger</t>
  </si>
  <si>
    <t>Mr. Tamil Velan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</si>
  <si>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</si>
  <si>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</si>
  <si>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</si>
  <si>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</si>
  <si>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</si>
  <si>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</si>
  <si>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</si>
  <si>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</si>
  <si>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</si>
  <si>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</si>
  <si>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</si>
  <si>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</si>
  <si>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Name of Contractor : M/s KEC International Ltd</t>
  </si>
  <si>
    <t>Progress at a Glance :</t>
  </si>
  <si>
    <t>Sl. No.</t>
  </si>
  <si>
    <t>UoM</t>
  </si>
  <si>
    <t>Total Qty</t>
  </si>
  <si>
    <t>Stringing (Paying out)</t>
  </si>
  <si>
    <t>Line Length (KM):</t>
  </si>
  <si>
    <t>Stringing (Final Sag)</t>
  </si>
  <si>
    <t>GANG-2</t>
  </si>
  <si>
    <t>DA+3</t>
  </si>
  <si>
    <t>WFR</t>
  </si>
  <si>
    <t>GANG - 1</t>
  </si>
  <si>
    <t>GANG-1</t>
  </si>
  <si>
    <t>DA-3</t>
  </si>
  <si>
    <t>Team - 1 (Sanjay)</t>
  </si>
  <si>
    <t>Team - 3 (ATK-01)</t>
  </si>
  <si>
    <t>Team - 2 (SM Constr.)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</si>
  <si>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</si>
  <si>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</si>
  <si>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</si>
  <si>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</si>
  <si>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</si>
  <si>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</si>
  <si>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</si>
  <si>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</si>
  <si>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</si>
  <si>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</si>
  <si>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</si>
  <si>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</si>
  <si>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</si>
  <si>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</si>
  <si>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</si>
  <si>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</si>
  <si>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</si>
  <si>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</si>
  <si>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</si>
  <si>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</si>
  <si>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</si>
  <si>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</si>
  <si>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TW-3</t>
  </si>
  <si>
    <t>(ATK-02)</t>
  </si>
  <si>
    <t>DB1+0</t>
  </si>
  <si>
    <t>NOA Start Date</t>
  </si>
  <si>
    <t>12.03.2024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</si>
  <si>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</si>
  <si>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</si>
  <si>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</si>
  <si>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</si>
  <si>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</si>
  <si>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</si>
  <si>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</si>
  <si>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</si>
  <si>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</si>
  <si>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</si>
  <si>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</si>
  <si>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</si>
  <si>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</si>
  <si>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</si>
  <si>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</si>
  <si>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</si>
  <si>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</si>
  <si>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WET/WFR</t>
  </si>
  <si>
    <t>Supplied AS on Date</t>
  </si>
  <si>
    <t>34/0</t>
  </si>
  <si>
    <t>Gang-01 (Sanjay)</t>
  </si>
  <si>
    <t>Bindu</t>
  </si>
  <si>
    <t>LALA GANG</t>
  </si>
  <si>
    <t>Km</t>
  </si>
  <si>
    <t>35/06</t>
  </si>
  <si>
    <t>GANG - 4</t>
  </si>
  <si>
    <t>41/0</t>
  </si>
  <si>
    <t>43/0</t>
  </si>
  <si>
    <t>Adarsh Gang</t>
  </si>
  <si>
    <t>Balance as per L2</t>
  </si>
  <si>
    <t>Gang-02 (Sanjay)</t>
  </si>
  <si>
    <t>11KV</t>
  </si>
  <si>
    <t>45/02</t>
  </si>
  <si>
    <t>45/0</t>
  </si>
  <si>
    <t>DC1+3</t>
  </si>
  <si>
    <t>46/0</t>
  </si>
  <si>
    <t>DB1+6</t>
  </si>
  <si>
    <t>KAVAL CHAND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</si>
  <si>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</si>
  <si>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</si>
  <si>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</si>
  <si>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</si>
  <si>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</si>
  <si>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</si>
  <si>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</si>
  <si>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</si>
  <si>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</si>
  <si>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</si>
  <si>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</si>
  <si>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</si>
  <si>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 xml:space="preserve">765kV D/C KOPPAL II(PS) - RAICHUR TRANSMISSION LINE </t>
  </si>
  <si>
    <t>CROSSINGS PROPOSAL STATUS</t>
  </si>
  <si>
    <t>Crossing Type</t>
  </si>
  <si>
    <t>110kV</t>
  </si>
  <si>
    <t>220kV</t>
  </si>
  <si>
    <t>400kV</t>
  </si>
  <si>
    <t>765kV</t>
  </si>
  <si>
    <t>SH-Xing</t>
  </si>
  <si>
    <t>NH-Xing</t>
  </si>
  <si>
    <t>Railway Xing</t>
  </si>
  <si>
    <t>Total Nos</t>
  </si>
  <si>
    <t>Submitted Till Date</t>
  </si>
  <si>
    <t>Completed Till Date</t>
  </si>
  <si>
    <t>Balance to Execute</t>
  </si>
  <si>
    <t>Crossings Details</t>
  </si>
  <si>
    <t>FROM (AP)</t>
  </si>
  <si>
    <t>TO (AP)</t>
  </si>
  <si>
    <t>Name of the Line</t>
  </si>
  <si>
    <t>NAME OF CROSSING</t>
  </si>
  <si>
    <t>110kV S/C LINE on D/C TOWERS</t>
  </si>
  <si>
    <t>Power line</t>
  </si>
  <si>
    <t>110kV S/C LINE ON D/C TOWERS</t>
  </si>
  <si>
    <t>110kV D/C LINE UNDER CONSTRUCTION</t>
  </si>
  <si>
    <t xml:space="preserve">110kV D/C LINE </t>
  </si>
  <si>
    <t>220kV S/C Sindhanur LILO Line on DC Towers</t>
  </si>
  <si>
    <t>STATE HIGHWAY-30 (Sindhanur - Tawargere Section</t>
  </si>
  <si>
    <t>SH crossing</t>
  </si>
  <si>
    <t>STATE HIGHWAY-29 (Hulihaider - Tawargeri Section)</t>
  </si>
  <si>
    <t>STATE HIGHWAY-36 (Koppal - Kushtagi Section</t>
  </si>
  <si>
    <t>STATE HIGHWAY-130 (Bewoor - Yelburga Section</t>
  </si>
  <si>
    <t>NATIONAL HIGHWAY-50 (Hosapete - Kushtagi Section)</t>
  </si>
  <si>
    <t>NH crossing</t>
  </si>
  <si>
    <t>ANURADHA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</si>
  <si>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</si>
  <si>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</si>
  <si>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</si>
  <si>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</si>
  <si>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</si>
  <si>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</si>
  <si>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</si>
  <si>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</si>
  <si>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</si>
  <si>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</si>
  <si>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</si>
  <si>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</si>
  <si>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</si>
  <si>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</si>
  <si>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</si>
  <si>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</si>
  <si>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</si>
  <si>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TW-122</t>
  </si>
  <si>
    <t>TW-123</t>
  </si>
  <si>
    <t>TW-124</t>
  </si>
  <si>
    <t>TW-125</t>
  </si>
  <si>
    <t>TW-126</t>
  </si>
  <si>
    <t>TW-127</t>
  </si>
  <si>
    <r>
      <t xml:space="preserve">11KV-2           </t>
    </r>
    <r>
      <rPr>
        <sz val="8"/>
        <color theme="1" tint="4.9989318521683403E-2"/>
        <rFont val="Arial"/>
        <family val="2"/>
      </rPr>
      <t>LT-2</t>
    </r>
  </si>
  <si>
    <t>110kV DC</t>
  </si>
  <si>
    <t>LT-5</t>
  </si>
  <si>
    <t>LT-4</t>
  </si>
  <si>
    <t>KEC GANG -02</t>
  </si>
  <si>
    <t>KEVAL CHAND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</si>
  <si>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</si>
  <si>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</si>
  <si>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</si>
  <si>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</si>
  <si>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</si>
  <si>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</si>
  <si>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</si>
  <si>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</si>
  <si>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</si>
  <si>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</si>
  <si>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ADARSH</t>
  </si>
  <si>
    <t>55/0</t>
  </si>
  <si>
    <t>DB2+0</t>
  </si>
  <si>
    <t>DB2+9</t>
  </si>
  <si>
    <t>40/0</t>
  </si>
  <si>
    <t>32/0</t>
  </si>
  <si>
    <t>DC2+6</t>
  </si>
  <si>
    <t>Haque Constr.</t>
  </si>
  <si>
    <t>Section Length</t>
  </si>
  <si>
    <t>No. Of Towers B/W Angle Towers</t>
  </si>
  <si>
    <t>TSE Section    (In KM)</t>
  </si>
  <si>
    <t>Manual Section  (In KM)</t>
  </si>
  <si>
    <t>AP47/0</t>
  </si>
  <si>
    <t>48A/0</t>
  </si>
  <si>
    <t>49/0</t>
  </si>
  <si>
    <t>62/0</t>
  </si>
  <si>
    <t>63/0</t>
  </si>
  <si>
    <t>GNTY</t>
  </si>
  <si>
    <t>110kV DC YALBURGA-BEWOOR UNDER CONSTRUCTION T/L</t>
  </si>
  <si>
    <t>Date of First Submission</t>
  </si>
  <si>
    <t>Joint Inspection Status</t>
  </si>
  <si>
    <t>Provisional approval status</t>
  </si>
  <si>
    <t>Submitted</t>
  </si>
  <si>
    <t>38/2</t>
  </si>
  <si>
    <t>48A/1</t>
  </si>
  <si>
    <t>48A/2</t>
  </si>
  <si>
    <t>Koppal-II Gantry</t>
  </si>
  <si>
    <t xml:space="preserve">11KV-4 </t>
  </si>
  <si>
    <t>AP48A</t>
  </si>
  <si>
    <t>11KV-2           LT-2</t>
  </si>
  <si>
    <t>11KV-3</t>
  </si>
  <si>
    <t>11KV -2             LT-2</t>
  </si>
  <si>
    <r>
      <t xml:space="preserve">11KV-8           </t>
    </r>
    <r>
      <rPr>
        <sz val="8"/>
        <color theme="1" tint="4.9989318521683403E-2"/>
        <rFont val="Arial"/>
        <family val="2"/>
      </rPr>
      <t>LT-4</t>
    </r>
  </si>
  <si>
    <t>0.414KM</t>
  </si>
  <si>
    <t>11KV-3       33KV-1</t>
  </si>
  <si>
    <t>Canal/POND Crossing</t>
  </si>
  <si>
    <t>11KV-2          LT-2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</si>
  <si>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</si>
  <si>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</si>
  <si>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</si>
  <si>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</si>
  <si>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</si>
  <si>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</si>
  <si>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</si>
  <si>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</si>
  <si>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</si>
  <si>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</si>
  <si>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</si>
  <si>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</si>
  <si>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</si>
  <si>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</si>
  <si>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</si>
  <si>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</si>
  <si>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</si>
  <si>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</si>
  <si>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765KV D/C  KOPPAL  II(PS) - RAICHUR TL  (Part-1) | BALANCE WORK DETAILS</t>
  </si>
  <si>
    <t>ROW STATUS</t>
  </si>
  <si>
    <t>REMARKS</t>
  </si>
  <si>
    <t>Land Owner Not Accepted</t>
  </si>
  <si>
    <t>SEVERE ROW</t>
  </si>
  <si>
    <t>Village</t>
  </si>
  <si>
    <t>Tavaragera</t>
  </si>
  <si>
    <t>Manadhal</t>
  </si>
  <si>
    <t>Hirevankalakunta</t>
  </si>
  <si>
    <t>Uchhalakunti</t>
  </si>
  <si>
    <t>Gunnala</t>
  </si>
  <si>
    <t>Hunasihala</t>
  </si>
  <si>
    <t>Bevura</t>
  </si>
  <si>
    <t>Yalaburga</t>
  </si>
  <si>
    <t>Vanageri</t>
  </si>
  <si>
    <t>Gutthura</t>
  </si>
  <si>
    <t>Lakamagooli</t>
  </si>
  <si>
    <t>DC2+0</t>
  </si>
  <si>
    <t>OPGW  supply</t>
  </si>
  <si>
    <t>KEC GANG -04</t>
  </si>
  <si>
    <t>56/0</t>
  </si>
  <si>
    <t>KPK</t>
  </si>
  <si>
    <t>DA+0 (RC)</t>
  </si>
  <si>
    <t>DA+6 (RC)</t>
  </si>
  <si>
    <t>Gang-02(Sanjay)</t>
  </si>
  <si>
    <t>Gang-01(Sanjay)</t>
  </si>
  <si>
    <t>DFR/WFR</t>
  </si>
  <si>
    <t>DD60+6</t>
  </si>
  <si>
    <r>
      <t xml:space="preserve">DFR - </t>
    </r>
    <r>
      <rPr>
        <b/>
        <sz val="8"/>
        <rFont val="Arial"/>
        <family val="2"/>
      </rPr>
      <t>RC</t>
    </r>
  </si>
  <si>
    <t>52/0</t>
  </si>
  <si>
    <t>DFR - RC</t>
  </si>
  <si>
    <t>DA+3 (RC)</t>
  </si>
  <si>
    <t>07-01-2025               25-5-25</t>
  </si>
  <si>
    <t>33/0</t>
  </si>
  <si>
    <t>KEC GANG -05</t>
  </si>
  <si>
    <t>DB1+9 (RC)</t>
  </si>
  <si>
    <t>KEC GANG -06</t>
  </si>
  <si>
    <t>DB+9</t>
  </si>
  <si>
    <t>39/0</t>
  </si>
  <si>
    <t xml:space="preserve">DA+0 </t>
  </si>
  <si>
    <t>44/0</t>
  </si>
  <si>
    <t>DC1-3</t>
  </si>
  <si>
    <t>KEC GANG -07</t>
  </si>
  <si>
    <t>*SUPPORT REQUIRED :</t>
  </si>
  <si>
    <t>DA-1.5</t>
  </si>
  <si>
    <t xml:space="preserve">* </t>
  </si>
  <si>
    <t>Nature of Work</t>
  </si>
  <si>
    <t>GANG NAME</t>
  </si>
  <si>
    <t>WIP LOCATION</t>
  </si>
  <si>
    <t>48/0</t>
  </si>
  <si>
    <t>NIL</t>
  </si>
  <si>
    <t>KEC GANG - 06</t>
  </si>
  <si>
    <t>KEC GANG - 08</t>
  </si>
  <si>
    <t>KEC GANG -09</t>
  </si>
  <si>
    <t>47/0</t>
  </si>
  <si>
    <t>11-08-2024 and 01-07-25</t>
  </si>
  <si>
    <t>53/0</t>
  </si>
  <si>
    <t>KEC GANG - 09</t>
  </si>
  <si>
    <t>13-07-2025 &amp; 26-7-25</t>
  </si>
  <si>
    <t>KEC GANG -07 - HQ</t>
  </si>
  <si>
    <t>M/s  SUBASH</t>
  </si>
  <si>
    <t>SUBHASH</t>
  </si>
  <si>
    <t>SAVITHA</t>
  </si>
  <si>
    <t>KEC - 01 (Barkat Ali)</t>
  </si>
  <si>
    <t>KEC - 02 (Barkat Ali)</t>
  </si>
  <si>
    <t>Gang-02(Sanjay) / KEC - 02 (Barkat Ali)</t>
  </si>
  <si>
    <t>M/s  SAVITHA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</si>
  <si>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</si>
  <si>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</si>
  <si>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</si>
  <si>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</si>
  <si>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</si>
  <si>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</si>
  <si>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COMPLETED</t>
  </si>
  <si>
    <t>PENDING</t>
  </si>
  <si>
    <t>As per L2 till Sep'25</t>
  </si>
  <si>
    <t>DD60+0</t>
  </si>
  <si>
    <t xml:space="preserve">Tree Cutting arrangements for Planned stringing stretches. </t>
  </si>
  <si>
    <t>M/S MDPL</t>
  </si>
  <si>
    <t>1st Section Completed</t>
  </si>
  <si>
    <t xml:space="preserve">Balance Quantity will be supplied in SEP'25 </t>
  </si>
  <si>
    <t>M/s MDPL</t>
  </si>
  <si>
    <t>M/s BARKAT ALI - 02</t>
  </si>
  <si>
    <r>
      <rPr>
        <sz val="12"/>
        <color theme="1"/>
        <rFont val="Calibri"/>
        <family val="2"/>
        <scheme val="minor"/>
      </rPr>
      <t>1st section completed- material and T&amp;P stucked at location.</t>
    </r>
    <r>
      <rPr>
        <b/>
        <sz val="16"/>
        <color rgb="FFFF0000"/>
        <rFont val="Calibri"/>
        <family val="2"/>
        <scheme val="minor"/>
      </rPr>
      <t>ROW</t>
    </r>
  </si>
  <si>
    <t>M/s TOFIT</t>
  </si>
  <si>
    <t>Team demobilised due to non availability of further  work front.</t>
  </si>
  <si>
    <t xml:space="preserve"> (ROW)</t>
  </si>
  <si>
    <t>Formal Approval Awaited</t>
  </si>
  <si>
    <t>42/0 - 43/0</t>
  </si>
  <si>
    <t>SUFIYAN</t>
  </si>
  <si>
    <t>Paying out Done/ Final sag</t>
  </si>
  <si>
    <t>Next Erection front Required for material shifting</t>
  </si>
  <si>
    <t xml:space="preserve">Bottom  crossarm work under progress. </t>
  </si>
  <si>
    <t xml:space="preserve">1st section work under progress. </t>
  </si>
  <si>
    <t xml:space="preserve">top CrossArm section work under progress. </t>
  </si>
  <si>
    <t>Middle section work under progress</t>
  </si>
  <si>
    <t xml:space="preserve">Middle Crossarm section work under progress. </t>
  </si>
  <si>
    <t xml:space="preserve">Material shifting work under progress. </t>
  </si>
  <si>
    <t>41/0 - 42/0</t>
  </si>
  <si>
    <t>Insulator Hosting work in progress</t>
  </si>
  <si>
    <t>Material shifting Under Progress</t>
  </si>
  <si>
    <t xml:space="preserve">Balance Quantity will be supplied in Oct'25 </t>
  </si>
  <si>
    <t>Balance Quantity will be supplied in OCT'25</t>
  </si>
  <si>
    <t>Balance Quantity will be supplied in 4th week of OCT'25</t>
  </si>
  <si>
    <t>Starting Date</t>
  </si>
  <si>
    <t>Tower Weight</t>
  </si>
  <si>
    <t>Completion Date</t>
  </si>
  <si>
    <t>LOA End Date</t>
  </si>
  <si>
    <t>Section Incharge</t>
  </si>
  <si>
    <t>Supervisor</t>
  </si>
  <si>
    <t>765KV D/C HEXA AHMEDABAD - NAVSARI TL 
(PKG 02)</t>
  </si>
  <si>
    <t>PGKTL</t>
  </si>
  <si>
    <t>Mr. Bikash Ranjan Pradhan</t>
  </si>
  <si>
    <t>Mr. Sivaraman Natrajan</t>
  </si>
  <si>
    <t>Mr. Nitin Bandale</t>
  </si>
  <si>
    <t>Mr. Sanjeev Garg</t>
  </si>
  <si>
    <t>Prabin Patra</t>
  </si>
  <si>
    <t>Rupesh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</si>
  <si>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</si>
  <si>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</si>
  <si>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</si>
  <si>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</si>
  <si>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</si>
  <si>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</si>
  <si>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</si>
  <si>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</si>
  <si>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</si>
  <si>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</si>
  <si>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</si>
  <si>
    <t>TA 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</si>
</sst>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.00_-;\-&quot;£&quot;* #,##0.00_-;_-&quot;£&quot;* &quot;-&quot;??_-;_-@_-"/>
    <numFmt numFmtId="168" formatCode="0.0"/>
    <numFmt numFmtId="169" formatCode="0.000"/>
    <numFmt numFmtId="170" formatCode="_ * #,##0.000_ ;_ * \-#,##0.000_ ;_ * &quot;-&quot;??_ ;_ @_ "/>
    <numFmt numFmtId="171" formatCode="[$-409]dd/mmm/yy;@"/>
    <numFmt numFmtId="172" formatCode="0.0_)"/>
    <numFmt numFmtId="173" formatCode="#,##0.000_);\(#,##0.000\)"/>
    <numFmt numFmtId="174" formatCode=";;"/>
    <numFmt numFmtId="175" formatCode="General_)"/>
    <numFmt numFmtId="176" formatCode="&quot;\&quot;#,##0.00;[Red]\-&quot;\&quot;#,##0.00"/>
    <numFmt numFmtId="177" formatCode="_(* #,##0.00_);_(* \(#,##0.00\);_(* \-??_);_(@_)"/>
    <numFmt numFmtId="178" formatCode="[$-409]mmm\-yy;@"/>
    <numFmt numFmtId="179" formatCode="_(&quot;Rs.&quot;* #,##0_);_(&quot;Rs.&quot;* \(#,##0\);_(&quot;Rs.&quot;* &quot;-&quot;_);_(@_)"/>
    <numFmt numFmtId="180" formatCode="_(&quot;$&quot;\ * #,##0.00_);_(&quot;$&quot;\ * \(#,##0.00\);_(&quot;$&quot;\ * &quot;-&quot;??_);_(@_)"/>
    <numFmt numFmtId="181" formatCode="_(&quot;Rs.&quot;* #,##0.00_);_(&quot;Rs.&quot;* \(#,##0.00\);_(&quot;Rs.&quot;* &quot;-&quot;??_);_(@_)"/>
    <numFmt numFmtId="182" formatCode="_-* #,##0\ _k_r_-;\-* #,##0\ _k_r_-;_-* &quot;-&quot;\ _k_r_-;_-@_-"/>
    <numFmt numFmtId="183" formatCode="_-* #,##0.00\ _k_r_-;\-* #,##0.00\ _k_r_-;_-* &quot;-&quot;??\ _k_r_-;_-@_-"/>
    <numFmt numFmtId="184" formatCode="_([$€-2]* #,##0.00_);_([$€-2]* \(#,##0.00\);_([$€-2]* &quot;-&quot;??_)"/>
    <numFmt numFmtId="185" formatCode="[$-409]General"/>
    <numFmt numFmtId="186" formatCode="&quot;Rs.&quot;#,##0.00_);[Red]\(&quot;Rs.&quot;#,##0.00\)"/>
    <numFmt numFmtId="187" formatCode="#,##0.0"/>
    <numFmt numFmtId="188" formatCode="0.00_)"/>
    <numFmt numFmtId="189" formatCode="&quot;Rs.&quot;#,##0.00_);\(&quot;Rs.&quot;#,##0.00\)"/>
    <numFmt numFmtId="190" formatCode="_-* #,##0\ _D_M_-;\-* #,##0\ _D_M_-;_-* &quot;-&quot;\ _D_M_-;_-@_-"/>
    <numFmt numFmtId="191" formatCode="_-* #,##0.00\ _D_M_-;\-* #,##0.00\ _D_M_-;_-* &quot;-&quot;??\ _D_M_-;_-@_-"/>
    <numFmt numFmtId="192" formatCode="_-* #,##0\ _F_-;\-* #,##0\ _F_-;_-* &quot;-&quot;\ _F_-;_-@_-"/>
    <numFmt numFmtId="193" formatCode="_-* #,##0.00\ _F_-;\-* #,##0.00\ _F_-;_-* &quot;-&quot;??\ _F_-;_-@_-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  <numFmt numFmtId="196" formatCode="_-* #,##0\ &quot;F&quot;_-;\-* #,##0\ &quot;F&quot;_-;_-* &quot;-&quot;\ &quot;F&quot;_-;_-@_-"/>
    <numFmt numFmtId="197" formatCode="_-* #,##0.00\ &quot;F&quot;_-;\-* #,##0.00\ &quot;F&quot;_-;_-* &quot;-&quot;??\ &quot;F&quot;_-;_-@_-"/>
    <numFmt numFmtId="198" formatCode="_ &quot;CHF&quot;\ * #,##0_ ;_ &quot;CHF&quot;\ * \-#,##0_ ;_ &quot;CHF&quot;\ * &quot;-&quot;_ ;_ @_ "/>
    <numFmt numFmtId="199" formatCode="_ &quot;kr&quot;\ * #,##0_ ;_ &quot;kr&quot;\ * \-#,##0_ ;_ &quot;kr&quot;\ * &quot;-&quot;_ ;_ @_ "/>
    <numFmt numFmtId="200" formatCode="_ &quot;CHF&quot;\ * #,##0.00_ ;_ &quot;CHF&quot;\ * \-#,##0.00_ ;_ &quot;CHF&quot;\ * &quot;-&quot;??_ ;_ @_ "/>
    <numFmt numFmtId="201" formatCode="_-* #,##0\ &quot;kr&quot;_-;\-* #,##0\ &quot;kr&quot;_-;_-* &quot;-&quot;\ &quot;kr&quot;_-;_-@_-"/>
    <numFmt numFmtId="202" formatCode="_-* #,##0.00\ &quot;kr&quot;_-;\-* #,##0.00\ &quot;kr&quot;_-;_-* &quot;-&quot;??\ &quot;kr&quot;_-;_-@_-"/>
    <numFmt numFmtId="203" formatCode="_ &quot;\&quot;* #,##0_ ;_ &quot;\&quot;* \-#,##0_ ;_ &quot;\&quot;* &quot;-&quot;_ ;_ @_ "/>
    <numFmt numFmtId="204" formatCode="_ &quot;\&quot;* #,##0.00_ ;_ &quot;\&quot;* \-#,##0.00_ ;_ &quot;\&quot;* &quot;-&quot;??_ ;_ @_ "/>
    <numFmt numFmtId="205" formatCode="_ * #,##0.0_ ;_ * \-#,##0.0_ ;_ * &quot;-&quot;??_ ;_ @_ "/>
    <numFmt numFmtId="206" formatCode="#0.000\ [$KM]"/>
    <numFmt numFmtId="207" formatCode="#0.000[$KM]"/>
    <numFmt numFmtId="208" formatCode="_ * #,##0_ ;_ * \-#,##0_ ;_ * &quot;-&quot;??_ ;_ @_ "/>
    <numFmt numFmtId="209" formatCode="_(* #,##0.0_);_(* \(#,##0.0\);_(* &quot;-&quot;_);_(@_)"/>
  </numFmts>
  <fonts count="20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1"/>
      <color rgb="FF006100"/>
      <name val="Calibri"/>
      <family val="2"/>
      <scheme val="minor"/>
    </font>
    <font>
      <b/>
      <sz val="11"/>
      <color theme="5" tint="-0.499984740745262"/>
      <name val="Arial"/>
      <family val="2"/>
    </font>
    <font>
      <sz val="10"/>
      <color indexed="17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02060"/>
      <name val="Arial"/>
      <family val="2"/>
    </font>
    <font>
      <sz val="10"/>
      <color rgb="FF000099"/>
      <name val="Arial"/>
      <family val="2"/>
    </font>
    <font>
      <b/>
      <u/>
      <sz val="12"/>
      <color rgb="FF00B050"/>
      <name val="Arial"/>
      <family val="2"/>
    </font>
    <font>
      <b/>
      <sz val="10"/>
      <color rgb="FF0070C0"/>
      <name val="Arial"/>
      <family val="2"/>
    </font>
    <font>
      <b/>
      <u/>
      <sz val="11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rgb="FF7030A0"/>
      <name val="Arial"/>
      <family val="2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indexed="8"/>
      <name val="Arial"/>
      <family val="2"/>
    </font>
    <font>
      <b/>
      <sz val="8"/>
      <color rgb="FF0070C0"/>
      <name val="Arial"/>
      <family val="2"/>
    </font>
    <font>
      <b/>
      <sz val="8"/>
      <color rgb="FF000099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8"/>
      <name val="Agency FB"/>
      <family val="2"/>
    </font>
    <font>
      <sz val="8"/>
      <color theme="1"/>
      <name val="Agency FB"/>
      <family val="2"/>
    </font>
    <font>
      <b/>
      <sz val="10"/>
      <color rgb="FF4E515E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u/>
      <sz val="18"/>
      <color rgb="FF7030A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theme="2" tint="-0.74999237037263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 Narrow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8"/>
      <name val="Arial"/>
      <family val="2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6"/>
      <color theme="2" tint="-0.74999237037263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b/>
      <sz val="9"/>
      <color theme="2" tint="-0.749992370372631"/>
      <name val="Calibri Light"/>
      <family val="2"/>
      <scheme val="maj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indexed="12"/>
      <name val="Calibri"/>
      <family val="2"/>
      <scheme val="minor"/>
    </font>
    <font>
      <sz val="10"/>
      <color theme="1"/>
      <name val="Calibri Light"/>
      <family val="2"/>
      <scheme val="major"/>
    </font>
  </fonts>
  <fills count="8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FF7A5B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rgb="FFFF9900"/>
      </top>
      <bottom style="hair">
        <color rgb="FFFF99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dotted">
        <color rgb="FFFFC000"/>
      </right>
      <top/>
      <bottom/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dotted">
        <color rgb="FFFFC000"/>
      </left>
      <right/>
      <top style="dotted">
        <color rgb="FFFFC000"/>
      </top>
      <bottom style="dotted">
        <color rgb="FFFFC000"/>
      </bottom>
      <diagonal/>
    </border>
    <border>
      <left/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/>
      <right/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/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/>
    <xf numFmtId="9" fontId="19" fillId="0" borderId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8" borderId="0" applyNumberFormat="0" applyBorder="0" applyAlignment="0" applyProtection="0"/>
    <xf numFmtId="171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0" fontId="18" fillId="43" borderId="0" applyNumberFormat="0" applyBorder="0" applyAlignment="0" applyProtection="0"/>
    <xf numFmtId="171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167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/>
    <xf numFmtId="171" fontId="21" fillId="0" borderId="0"/>
    <xf numFmtId="0" fontId="20" fillId="0" borderId="0"/>
    <xf numFmtId="0" fontId="20" fillId="0" borderId="0"/>
    <xf numFmtId="171" fontId="21" fillId="0" borderId="0"/>
    <xf numFmtId="0" fontId="20" fillId="0" borderId="0"/>
    <xf numFmtId="0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5" fontId="23" fillId="0" borderId="3">
      <protection locked="0"/>
    </xf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38" fontId="25" fillId="0" borderId="0" applyFill="0" applyBorder="0" applyAlignment="0" applyProtection="0"/>
    <xf numFmtId="0" fontId="26" fillId="0" borderId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8" fillId="0" borderId="27" applyNumberFormat="0" applyFill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176" fontId="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7" fontId="1" fillId="0" borderId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3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1" fillId="0" borderId="0">
      <protection locked="0"/>
    </xf>
    <xf numFmtId="0" fontId="1" fillId="47" borderId="29" applyNumberFormat="0" applyFont="0" applyAlignment="0" applyProtection="0"/>
    <xf numFmtId="0" fontId="32" fillId="0" borderId="0"/>
    <xf numFmtId="175" fontId="33" fillId="0" borderId="14" applyNumberFormat="0" applyBorder="0" applyAlignment="0" applyProtection="0">
      <protection locked="0"/>
    </xf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1" fontId="1" fillId="0" borderId="0">
      <protection locked="0"/>
    </xf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6" fillId="0" borderId="0">
      <protection locked="0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7" fillId="48" borderId="0" applyNumberFormat="0" applyBorder="0" applyAlignment="0" applyProtection="0"/>
    <xf numFmtId="171" fontId="37" fillId="48" borderId="0" applyNumberFormat="0" applyBorder="0" applyAlignment="0" applyProtection="0"/>
    <xf numFmtId="0" fontId="37" fillId="49" borderId="0" applyNumberFormat="0" applyBorder="0" applyAlignment="0" applyProtection="0"/>
    <xf numFmtId="171" fontId="37" fillId="49" borderId="0" applyNumberFormat="0" applyBorder="0" applyAlignment="0" applyProtection="0"/>
    <xf numFmtId="0" fontId="37" fillId="50" borderId="0" applyNumberFormat="0" applyBorder="0" applyAlignment="0" applyProtection="0"/>
    <xf numFmtId="171" fontId="37" fillId="50" borderId="0" applyNumberFormat="0" applyBorder="0" applyAlignment="0" applyProtection="0"/>
    <xf numFmtId="0" fontId="38" fillId="24" borderId="26" applyNumberFormat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39" fillId="0" borderId="0"/>
    <xf numFmtId="0" fontId="40" fillId="0" borderId="0"/>
    <xf numFmtId="0" fontId="8" fillId="0" borderId="0"/>
    <xf numFmtId="185" fontId="41" fillId="0" borderId="0"/>
    <xf numFmtId="0" fontId="1" fillId="0" borderId="0"/>
    <xf numFmtId="0" fontId="3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186" fontId="1" fillId="0" borderId="0">
      <protection locked="0"/>
    </xf>
    <xf numFmtId="0" fontId="23" fillId="0" borderId="15" applyNumberFormat="0" applyFill="0" applyBorder="0" applyAlignment="0" applyProtection="0">
      <protection locked="0"/>
    </xf>
    <xf numFmtId="171" fontId="23" fillId="0" borderId="15" applyNumberFormat="0" applyFill="0" applyBorder="0" applyAlignment="0" applyProtection="0">
      <protection locked="0"/>
    </xf>
    <xf numFmtId="187" fontId="45" fillId="0" borderId="24">
      <alignment horizontal="right"/>
    </xf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38" fontId="47" fillId="51" borderId="0" applyNumberFormat="0" applyBorder="0" applyAlignment="0" applyProtection="0"/>
    <xf numFmtId="0" fontId="48" fillId="0" borderId="0" applyNumberFormat="0" applyFont="0" applyBorder="0" applyAlignment="0"/>
    <xf numFmtId="0" fontId="48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71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71" fontId="10" fillId="0" borderId="31">
      <alignment horizontal="left" vertical="center"/>
    </xf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8" fontId="52" fillId="0" borderId="5" applyNumberFormat="0" applyFont="0" applyBorder="0" applyAlignment="0"/>
    <xf numFmtId="188" fontId="52" fillId="0" borderId="5" applyNumberFormat="0" applyFont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71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0" fontId="47" fillId="52" borderId="1" applyNumberFormat="0" applyBorder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24" fillId="20" borderId="0" applyNumberFormat="0" applyBorder="0" applyAlignment="0" applyProtection="0"/>
    <xf numFmtId="0" fontId="57" fillId="53" borderId="30"/>
    <xf numFmtId="0" fontId="58" fillId="53" borderId="30"/>
    <xf numFmtId="0" fontId="57" fillId="53" borderId="30"/>
    <xf numFmtId="0" fontId="57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7" fillId="53" borderId="30"/>
    <xf numFmtId="0" fontId="57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37" fontId="60" fillId="0" borderId="0"/>
    <xf numFmtId="188" fontId="61" fillId="0" borderId="0"/>
    <xf numFmtId="188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171" fontId="1" fillId="0" borderId="0"/>
    <xf numFmtId="0" fontId="63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5" fillId="0" borderId="0"/>
    <xf numFmtId="171" fontId="1" fillId="0" borderId="0"/>
    <xf numFmtId="0" fontId="64" fillId="0" borderId="0"/>
    <xf numFmtId="0" fontId="6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23" fillId="0" borderId="0"/>
    <xf numFmtId="0" fontId="23" fillId="0" borderId="0"/>
    <xf numFmtId="171" fontId="1" fillId="0" borderId="0"/>
    <xf numFmtId="0" fontId="23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30" fillId="0" borderId="0"/>
    <xf numFmtId="0" fontId="30" fillId="0" borderId="0"/>
    <xf numFmtId="0" fontId="63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0" fontId="5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185" fontId="41" fillId="0" borderId="0" applyBorder="0" applyProtection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8" fillId="0" borderId="0"/>
    <xf numFmtId="0" fontId="5" fillId="0" borderId="0"/>
    <xf numFmtId="0" fontId="64" fillId="0" borderId="0"/>
    <xf numFmtId="171" fontId="5" fillId="0" borderId="0"/>
    <xf numFmtId="171" fontId="5" fillId="0" borderId="0"/>
    <xf numFmtId="0" fontId="6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8" fillId="0" borderId="0"/>
    <xf numFmtId="0" fontId="1" fillId="0" borderId="0"/>
    <xf numFmtId="0" fontId="63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67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21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 applyFont="0"/>
    <xf numFmtId="0" fontId="70" fillId="0" borderId="0" applyFont="0"/>
    <xf numFmtId="9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6" fillId="21" borderId="0" applyNumberFormat="0" applyBorder="0" applyAlignment="0" applyProtection="0"/>
    <xf numFmtId="0" fontId="71" fillId="0" borderId="0" applyNumberFormat="0" applyFill="0" applyBorder="0" applyAlignment="0" applyProtection="0"/>
    <xf numFmtId="171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45" borderId="35" applyNumberFormat="0" applyAlignment="0" applyProtection="0"/>
    <xf numFmtId="0" fontId="25" fillId="0" borderId="0"/>
    <xf numFmtId="0" fontId="1" fillId="0" borderId="0"/>
    <xf numFmtId="171" fontId="21" fillId="0" borderId="0"/>
    <xf numFmtId="0" fontId="1" fillId="0" borderId="0"/>
    <xf numFmtId="0" fontId="23" fillId="0" borderId="0">
      <alignment horizontal="right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42" fillId="0" borderId="0" applyNumberFormat="0" applyFill="0" applyBorder="0" applyAlignment="0" applyProtection="0"/>
    <xf numFmtId="40" fontId="75" fillId="0" borderId="0"/>
    <xf numFmtId="0" fontId="76" fillId="55" borderId="0"/>
    <xf numFmtId="0" fontId="77" fillId="55" borderId="0"/>
    <xf numFmtId="0" fontId="76" fillId="55" borderId="0"/>
    <xf numFmtId="0" fontId="76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57" fillId="0" borderId="37"/>
    <xf numFmtId="0" fontId="58" fillId="0" borderId="37"/>
    <xf numFmtId="0" fontId="57" fillId="0" borderId="37"/>
    <xf numFmtId="0" fontId="57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7" fillId="0" borderId="37"/>
    <xf numFmtId="0" fontId="57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0"/>
    <xf numFmtId="0" fontId="58" fillId="0" borderId="30"/>
    <xf numFmtId="0" fontId="57" fillId="0" borderId="30"/>
    <xf numFmtId="0" fontId="57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7" fillId="0" borderId="30"/>
    <xf numFmtId="0" fontId="57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9" fontId="1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29" fillId="46" borderId="28" applyNumberFormat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0" fontId="80" fillId="0" borderId="0"/>
    <xf numFmtId="0" fontId="81" fillId="56" borderId="0" applyNumberFormat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7" fillId="0" borderId="0" applyFont="0" applyFill="0" applyBorder="0" applyAlignment="0" applyProtection="0"/>
  </cellStyleXfs>
  <cellXfs count="75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0" borderId="38" xfId="0" applyFont="1" applyFill="1" applyBorder="1" applyAlignment="1">
      <alignment horizontal="center" vertical="center"/>
    </xf>
    <xf numFmtId="0" fontId="9" fillId="57" borderId="38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59" borderId="38" xfId="0" applyFont="1" applyFill="1" applyBorder="1" applyAlignment="1">
      <alignment horizontal="center" vertical="center"/>
    </xf>
    <xf numFmtId="0" fontId="84" fillId="61" borderId="38" xfId="0" applyFont="1" applyFill="1" applyBorder="1" applyAlignment="1">
      <alignment horizontal="center" vertical="center"/>
    </xf>
    <xf numFmtId="0" fontId="31" fillId="0" borderId="19" xfId="0" applyFont="1" applyBorder="1"/>
    <xf numFmtId="0" fontId="31" fillId="0" borderId="19" xfId="0" applyFont="1" applyBorder="1" applyAlignment="1">
      <alignment horizontal="left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86" fillId="0" borderId="1" xfId="0" applyNumberFormat="1" applyFont="1" applyBorder="1" applyAlignment="1">
      <alignment horizontal="center" vertical="center" wrapText="1"/>
    </xf>
    <xf numFmtId="0" fontId="14" fillId="58" borderId="12" xfId="0" applyFont="1" applyFill="1" applyBorder="1"/>
    <xf numFmtId="0" fontId="14" fillId="58" borderId="18" xfId="0" applyFont="1" applyFill="1" applyBorder="1"/>
    <xf numFmtId="0" fontId="16" fillId="0" borderId="15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9" fontId="14" fillId="0" borderId="1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1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7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4" fillId="58" borderId="13" xfId="0" applyFont="1" applyFill="1" applyBorder="1"/>
    <xf numFmtId="0" fontId="92" fillId="0" borderId="11" xfId="0" applyFont="1" applyBorder="1" applyAlignment="1">
      <alignment vertical="center"/>
    </xf>
    <xf numFmtId="0" fontId="99" fillId="0" borderId="0" xfId="0" applyFont="1" applyAlignment="1">
      <alignment horizontal="center" vertical="center"/>
    </xf>
    <xf numFmtId="2" fontId="99" fillId="0" borderId="15" xfId="0" applyNumberFormat="1" applyFont="1" applyBorder="1" applyAlignment="1">
      <alignment horizontal="center" vertical="center"/>
    </xf>
    <xf numFmtId="2" fontId="2" fillId="5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2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83" fillId="3" borderId="0" xfId="2340" applyFont="1" applyFill="1" applyBorder="1"/>
    <xf numFmtId="0" fontId="99" fillId="3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4" fillId="0" borderId="0" xfId="0" applyFont="1"/>
    <xf numFmtId="0" fontId="9" fillId="3" borderId="62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9" fillId="63" borderId="49" xfId="0" applyFont="1" applyFill="1" applyBorder="1" applyAlignment="1">
      <alignment horizontal="center" vertical="center"/>
    </xf>
    <xf numFmtId="0" fontId="9" fillId="63" borderId="1" xfId="0" applyFont="1" applyFill="1" applyBorder="1" applyAlignment="1">
      <alignment horizontal="center" vertical="center"/>
    </xf>
    <xf numFmtId="0" fontId="105" fillId="4" borderId="10" xfId="2" quotePrefix="1" applyFont="1" applyBorder="1" applyAlignment="1">
      <alignment horizontal="center" vertical="center"/>
    </xf>
    <xf numFmtId="0" fontId="106" fillId="2" borderId="64" xfId="2" applyFont="1" applyFill="1" applyBorder="1" applyAlignment="1">
      <alignment horizontal="center" vertical="center"/>
    </xf>
    <xf numFmtId="0" fontId="107" fillId="0" borderId="59" xfId="0" applyFont="1" applyBorder="1" applyAlignment="1">
      <alignment horizontal="center" vertical="center"/>
    </xf>
    <xf numFmtId="0" fontId="107" fillId="5" borderId="61" xfId="0" applyFont="1" applyFill="1" applyBorder="1" applyAlignment="1">
      <alignment horizontal="center" vertical="center"/>
    </xf>
    <xf numFmtId="0" fontId="107" fillId="0" borderId="65" xfId="0" applyFont="1" applyBorder="1" applyAlignment="1">
      <alignment horizontal="center" vertical="center"/>
    </xf>
    <xf numFmtId="0" fontId="107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31" fillId="0" borderId="68" xfId="0" applyFont="1" applyBorder="1"/>
    <xf numFmtId="0" fontId="31" fillId="0" borderId="67" xfId="0" applyFont="1" applyBorder="1"/>
    <xf numFmtId="0" fontId="31" fillId="0" borderId="68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right"/>
    </xf>
    <xf numFmtId="0" fontId="1" fillId="0" borderId="68" xfId="210" applyBorder="1"/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09" fillId="3" borderId="14" xfId="0" applyFont="1" applyFill="1" applyBorder="1" applyAlignment="1">
      <alignment horizontal="center" vertical="center"/>
    </xf>
    <xf numFmtId="2" fontId="109" fillId="0" borderId="15" xfId="0" applyNumberFormat="1" applyFont="1" applyBorder="1" applyAlignment="1">
      <alignment horizontal="center" vertical="center"/>
    </xf>
    <xf numFmtId="0" fontId="15" fillId="63" borderId="49" xfId="0" applyFont="1" applyFill="1" applyBorder="1" applyAlignment="1">
      <alignment horizontal="center" vertical="center"/>
    </xf>
    <xf numFmtId="0" fontId="15" fillId="63" borderId="1" xfId="0" applyFont="1" applyFill="1" applyBorder="1" applyAlignment="1">
      <alignment horizontal="center" vertical="center"/>
    </xf>
    <xf numFmtId="0" fontId="111" fillId="63" borderId="49" xfId="0" applyFont="1" applyFill="1" applyBorder="1" applyAlignment="1">
      <alignment horizontal="center" vertical="center"/>
    </xf>
    <xf numFmtId="0" fontId="111" fillId="63" borderId="1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1" fillId="3" borderId="14" xfId="0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1" fillId="0" borderId="15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3" borderId="70" xfId="0" applyFont="1" applyFill="1" applyBorder="1" applyAlignment="1">
      <alignment horizontal="center" vertical="center"/>
    </xf>
    <xf numFmtId="207" fontId="109" fillId="3" borderId="57" xfId="0" applyNumberFormat="1" applyFont="1" applyFill="1" applyBorder="1" applyAlignment="1">
      <alignment vertical="center"/>
    </xf>
    <xf numFmtId="0" fontId="111" fillId="3" borderId="15" xfId="0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13" fillId="3" borderId="19" xfId="0" applyFont="1" applyFill="1" applyBorder="1" applyAlignment="1">
      <alignment vertical="center"/>
    </xf>
    <xf numFmtId="2" fontId="15" fillId="0" borderId="17" xfId="0" applyNumberFormat="1" applyFont="1" applyBorder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85" fillId="3" borderId="61" xfId="0" applyFont="1" applyFill="1" applyBorder="1" applyAlignment="1">
      <alignment horizontal="center" vertical="center"/>
    </xf>
    <xf numFmtId="0" fontId="84" fillId="3" borderId="61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208" fontId="0" fillId="0" borderId="1" xfId="0" applyNumberFormat="1" applyBorder="1" applyAlignment="1">
      <alignment horizontal="center" vertical="center"/>
    </xf>
    <xf numFmtId="208" fontId="0" fillId="0" borderId="43" xfId="0" applyNumberFormat="1" applyBorder="1" applyAlignment="1">
      <alignment horizontal="center" vertical="center"/>
    </xf>
    <xf numFmtId="208" fontId="107" fillId="0" borderId="59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07" fontId="109" fillId="3" borderId="15" xfId="0" applyNumberFormat="1" applyFont="1" applyFill="1" applyBorder="1" applyAlignment="1">
      <alignment vertical="center"/>
    </xf>
    <xf numFmtId="0" fontId="109" fillId="0" borderId="14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1" fillId="0" borderId="0" xfId="248" applyAlignment="1">
      <alignment horizontal="left"/>
    </xf>
    <xf numFmtId="0" fontId="1" fillId="0" borderId="0" xfId="261" applyAlignment="1">
      <alignment horizontal="left"/>
    </xf>
    <xf numFmtId="0" fontId="31" fillId="0" borderId="0" xfId="0" applyFont="1" applyAlignment="1">
      <alignment horizontal="left" vertical="top"/>
    </xf>
    <xf numFmtId="0" fontId="1" fillId="0" borderId="0" xfId="253" applyAlignment="1">
      <alignment horizontal="left"/>
    </xf>
    <xf numFmtId="49" fontId="31" fillId="0" borderId="0" xfId="0" applyNumberFormat="1" applyFont="1" applyAlignment="1">
      <alignment horizontal="center" vertical="center"/>
    </xf>
    <xf numFmtId="0" fontId="1" fillId="0" borderId="0" xfId="255" applyAlignment="1">
      <alignment horizontal="center"/>
    </xf>
    <xf numFmtId="0" fontId="1" fillId="0" borderId="0" xfId="238" applyAlignment="1">
      <alignment horizontal="center"/>
    </xf>
    <xf numFmtId="0" fontId="1" fillId="0" borderId="0" xfId="255"/>
    <xf numFmtId="0" fontId="1" fillId="0" borderId="0" xfId="259" applyAlignment="1">
      <alignment horizontal="center" vertical="center"/>
    </xf>
    <xf numFmtId="0" fontId="1" fillId="0" borderId="19" xfId="206" applyBorder="1" applyAlignment="1">
      <alignment horizontal="left" vertical="center"/>
    </xf>
    <xf numFmtId="0" fontId="87" fillId="0" borderId="4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169" fontId="0" fillId="3" borderId="0" xfId="0" applyNumberFormat="1" applyFill="1" applyAlignment="1">
      <alignment vertical="center"/>
    </xf>
    <xf numFmtId="0" fontId="87" fillId="67" borderId="58" xfId="0" applyFont="1" applyFill="1" applyBorder="1" applyAlignment="1">
      <alignment horizontal="center" vertical="center"/>
    </xf>
    <xf numFmtId="0" fontId="87" fillId="0" borderId="47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17" fillId="64" borderId="76" xfId="0" applyFont="1" applyFill="1" applyBorder="1" applyAlignment="1">
      <alignment horizontal="center" vertical="center" wrapText="1"/>
    </xf>
    <xf numFmtId="0" fontId="122" fillId="59" borderId="6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wrapText="1"/>
    </xf>
    <xf numFmtId="169" fontId="126" fillId="0" borderId="0" xfId="0" applyNumberFormat="1" applyFont="1"/>
    <xf numFmtId="0" fontId="126" fillId="0" borderId="0" xfId="0" applyFont="1" applyAlignment="1">
      <alignment vertical="center" wrapText="1"/>
    </xf>
    <xf numFmtId="16" fontId="128" fillId="3" borderId="0" xfId="0" quotePrefix="1" applyNumberFormat="1" applyFont="1" applyFill="1" applyAlignment="1">
      <alignment horizontal="center" vertical="center"/>
    </xf>
    <xf numFmtId="0" fontId="128" fillId="0" borderId="0" xfId="0" applyFont="1"/>
    <xf numFmtId="0" fontId="129" fillId="0" borderId="0" xfId="0" applyFont="1"/>
    <xf numFmtId="168" fontId="126" fillId="0" borderId="0" xfId="0" applyNumberFormat="1" applyFont="1"/>
    <xf numFmtId="0" fontId="125" fillId="0" borderId="81" xfId="0" applyFont="1" applyBorder="1" applyAlignment="1">
      <alignment horizontal="center" vertical="center" wrapText="1"/>
    </xf>
    <xf numFmtId="0" fontId="123" fillId="64" borderId="81" xfId="0" applyFont="1" applyFill="1" applyBorder="1" applyAlignment="1">
      <alignment horizontal="center" vertical="center" wrapText="1"/>
    </xf>
    <xf numFmtId="0" fontId="131" fillId="0" borderId="81" xfId="0" applyFont="1" applyBorder="1" applyAlignment="1">
      <alignment horizontal="center" vertical="center" wrapText="1"/>
    </xf>
    <xf numFmtId="0" fontId="132" fillId="64" borderId="81" xfId="0" applyFont="1" applyFill="1" applyBorder="1" applyAlignment="1">
      <alignment horizontal="center" vertical="center" wrapText="1"/>
    </xf>
    <xf numFmtId="14" fontId="132" fillId="0" borderId="81" xfId="0" applyNumberFormat="1" applyFont="1" applyBorder="1" applyAlignment="1">
      <alignment horizontal="center" vertical="center" wrapText="1"/>
    </xf>
    <xf numFmtId="0" fontId="133" fillId="0" borderId="81" xfId="0" applyFont="1" applyBorder="1" applyAlignment="1">
      <alignment horizontal="center" vertical="center" wrapText="1"/>
    </xf>
    <xf numFmtId="2" fontId="126" fillId="0" borderId="0" xfId="0" applyNumberFormat="1" applyFont="1"/>
    <xf numFmtId="0" fontId="134" fillId="0" borderId="1" xfId="0" applyFont="1" applyBorder="1" applyAlignment="1">
      <alignment horizontal="center" vertical="center"/>
    </xf>
    <xf numFmtId="16" fontId="134" fillId="0" borderId="1" xfId="0" quotePrefix="1" applyNumberFormat="1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center" vertical="center"/>
    </xf>
    <xf numFmtId="169" fontId="134" fillId="0" borderId="1" xfId="0" applyNumberFormat="1" applyFont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16" fontId="134" fillId="3" borderId="1" xfId="0" quotePrefix="1" applyNumberFormat="1" applyFont="1" applyFill="1" applyBorder="1" applyAlignment="1">
      <alignment horizontal="center" vertical="center"/>
    </xf>
    <xf numFmtId="14" fontId="134" fillId="3" borderId="1" xfId="0" applyNumberFormat="1" applyFont="1" applyFill="1" applyBorder="1" applyAlignment="1">
      <alignment horizontal="center" vertical="center"/>
    </xf>
    <xf numFmtId="169" fontId="134" fillId="3" borderId="1" xfId="0" applyNumberFormat="1" applyFont="1" applyFill="1" applyBorder="1" applyAlignment="1">
      <alignment horizontal="center" vertical="center"/>
    </xf>
    <xf numFmtId="0" fontId="9" fillId="60" borderId="61" xfId="0" applyFont="1" applyFill="1" applyBorder="1" applyAlignment="1">
      <alignment horizontal="center" vertical="center"/>
    </xf>
    <xf numFmtId="0" fontId="6" fillId="0" borderId="1" xfId="206" applyFont="1" applyBorder="1" applyAlignment="1">
      <alignment horizontal="center" vertical="center"/>
    </xf>
    <xf numFmtId="0" fontId="136" fillId="57" borderId="1" xfId="206" applyFont="1" applyFill="1" applyBorder="1" applyAlignment="1">
      <alignment horizontal="center" vertical="center"/>
    </xf>
    <xf numFmtId="0" fontId="6" fillId="0" borderId="43" xfId="206" applyFont="1" applyBorder="1" applyAlignment="1">
      <alignment horizontal="center" vertical="center"/>
    </xf>
    <xf numFmtId="0" fontId="30" fillId="0" borderId="1" xfId="206" applyFont="1" applyBorder="1" applyAlignment="1">
      <alignment horizontal="center" vertical="center"/>
    </xf>
    <xf numFmtId="0" fontId="137" fillId="0" borderId="1" xfId="206" applyFont="1" applyBorder="1" applyAlignment="1">
      <alignment horizontal="center" vertical="center"/>
    </xf>
    <xf numFmtId="0" fontId="30" fillId="0" borderId="83" xfId="206" applyFont="1" applyBorder="1" applyAlignment="1">
      <alignment horizontal="center" vertical="center"/>
    </xf>
    <xf numFmtId="0" fontId="9" fillId="70" borderId="61" xfId="0" applyFont="1" applyFill="1" applyBorder="1" applyAlignment="1">
      <alignment horizontal="center" vertical="center"/>
    </xf>
    <xf numFmtId="0" fontId="1" fillId="70" borderId="6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4" fillId="0" borderId="9" xfId="0" applyNumberFormat="1" applyFont="1" applyBorder="1" applyAlignment="1">
      <alignment horizontal="center" vertical="center"/>
    </xf>
    <xf numFmtId="168" fontId="4" fillId="69" borderId="1" xfId="206" applyNumberFormat="1" applyFont="1" applyFill="1" applyBorder="1" applyAlignment="1">
      <alignment horizontal="center" vertical="center" wrapText="1"/>
    </xf>
    <xf numFmtId="168" fontId="30" fillId="69" borderId="1" xfId="206" applyNumberFormat="1" applyFont="1" applyFill="1" applyBorder="1" applyAlignment="1">
      <alignment horizontal="center" vertical="center" wrapText="1"/>
    </xf>
    <xf numFmtId="168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14" fontId="82" fillId="0" borderId="0" xfId="0" applyNumberFormat="1" applyFont="1" applyAlignment="1">
      <alignment horizontal="left" vertical="center"/>
    </xf>
    <xf numFmtId="14" fontId="8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5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/>
    </xf>
    <xf numFmtId="0" fontId="47" fillId="3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right" vertical="top"/>
    </xf>
    <xf numFmtId="0" fontId="94" fillId="0" borderId="0" xfId="0" applyFont="1" applyAlignment="1">
      <alignment vertical="top"/>
    </xf>
    <xf numFmtId="2" fontId="9" fillId="3" borderId="0" xfId="0" applyNumberFormat="1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3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vertical="center"/>
    </xf>
    <xf numFmtId="207" fontId="109" fillId="3" borderId="0" xfId="0" applyNumberFormat="1" applyFont="1" applyFill="1" applyAlignment="1">
      <alignment vertical="center"/>
    </xf>
    <xf numFmtId="0" fontId="89" fillId="3" borderId="0" xfId="0" applyFont="1" applyFill="1" applyAlignment="1">
      <alignment horizontal="right" vertical="center"/>
    </xf>
    <xf numFmtId="0" fontId="89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9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left" vertical="center"/>
    </xf>
    <xf numFmtId="0" fontId="116" fillId="0" borderId="0" xfId="0" applyFont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16" fillId="3" borderId="0" xfId="0" applyFont="1" applyFill="1" applyAlignment="1">
      <alignment horizontal="center"/>
    </xf>
    <xf numFmtId="0" fontId="90" fillId="3" borderId="0" xfId="0" applyFont="1" applyFill="1" applyAlignment="1">
      <alignment vertical="center" wrapText="1"/>
    </xf>
    <xf numFmtId="0" fontId="111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 wrapText="1"/>
    </xf>
    <xf numFmtId="0" fontId="126" fillId="0" borderId="0" xfId="0" applyFont="1" applyAlignment="1">
      <alignment vertical="center"/>
    </xf>
    <xf numFmtId="0" fontId="95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164" fontId="9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70" fontId="16" fillId="0" borderId="1" xfId="0" applyNumberFormat="1" applyFont="1" applyBorder="1" applyAlignment="1">
      <alignment horizontal="right" vertical="center"/>
    </xf>
    <xf numFmtId="0" fontId="92" fillId="0" borderId="43" xfId="0" applyFont="1" applyBorder="1" applyAlignment="1">
      <alignment horizontal="right" vertical="center"/>
    </xf>
    <xf numFmtId="164" fontId="92" fillId="0" borderId="43" xfId="0" applyNumberFormat="1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164" fontId="96" fillId="0" borderId="11" xfId="0" applyNumberFormat="1" applyFont="1" applyBorder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139" fillId="71" borderId="1" xfId="1777" applyFont="1" applyFill="1" applyBorder="1" applyAlignment="1">
      <alignment horizontal="center" vertical="center" wrapText="1"/>
    </xf>
    <xf numFmtId="0" fontId="16" fillId="59" borderId="61" xfId="0" applyFont="1" applyFill="1" applyBorder="1" applyAlignment="1">
      <alignment horizontal="center" vertical="center"/>
    </xf>
    <xf numFmtId="0" fontId="85" fillId="70" borderId="61" xfId="0" applyFont="1" applyFill="1" applyBorder="1" applyAlignment="1">
      <alignment horizontal="center" vertical="center"/>
    </xf>
    <xf numFmtId="0" fontId="122" fillId="3" borderId="61" xfId="0" applyFont="1" applyFill="1" applyBorder="1" applyAlignment="1">
      <alignment horizontal="center" vertical="center"/>
    </xf>
    <xf numFmtId="0" fontId="142" fillId="72" borderId="61" xfId="0" applyFont="1" applyFill="1" applyBorder="1" applyAlignment="1">
      <alignment horizontal="center" vertical="center"/>
    </xf>
    <xf numFmtId="0" fontId="9" fillId="73" borderId="6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6" fillId="0" borderId="4" xfId="0" applyNumberFormat="1" applyFont="1" applyBorder="1" applyAlignment="1">
      <alignment horizontal="right" vertical="center"/>
    </xf>
    <xf numFmtId="164" fontId="92" fillId="0" borderId="11" xfId="0" applyNumberFormat="1" applyFont="1" applyBorder="1" applyAlignment="1">
      <alignment horizontal="right" vertical="center"/>
    </xf>
    <xf numFmtId="164" fontId="16" fillId="0" borderId="1" xfId="0" applyNumberFormat="1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0" fontId="92" fillId="0" borderId="11" xfId="0" applyFont="1" applyBorder="1" applyAlignment="1">
      <alignment horizontal="right" vertical="center"/>
    </xf>
    <xf numFmtId="168" fontId="4" fillId="72" borderId="9" xfId="0" applyNumberFormat="1" applyFont="1" applyFill="1" applyBorder="1" applyAlignment="1">
      <alignment horizontal="center" vertical="center"/>
    </xf>
    <xf numFmtId="168" fontId="4" fillId="72" borderId="1" xfId="206" applyNumberFormat="1" applyFont="1" applyFill="1" applyBorder="1" applyAlignment="1">
      <alignment horizontal="center" vertical="center" wrapText="1"/>
    </xf>
    <xf numFmtId="168" fontId="0" fillId="72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43" fillId="0" borderId="1" xfId="0" applyNumberFormat="1" applyFont="1" applyBorder="1" applyAlignment="1">
      <alignment horizontal="center" vertical="center" wrapText="1"/>
    </xf>
    <xf numFmtId="2" fontId="143" fillId="72" borderId="1" xfId="206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208" fontId="0" fillId="0" borderId="0" xfId="0" applyNumberFormat="1"/>
    <xf numFmtId="0" fontId="148" fillId="0" borderId="53" xfId="1777" applyFont="1" applyBorder="1" applyAlignment="1">
      <alignment horizontal="center" vertical="center"/>
    </xf>
    <xf numFmtId="0" fontId="148" fillId="0" borderId="53" xfId="1777" applyFont="1" applyBorder="1" applyAlignment="1">
      <alignment vertical="center"/>
    </xf>
    <xf numFmtId="0" fontId="146" fillId="0" borderId="90" xfId="1777" applyFont="1" applyBorder="1" applyAlignment="1">
      <alignment horizontal="center" vertical="center"/>
    </xf>
    <xf numFmtId="0" fontId="148" fillId="3" borderId="90" xfId="1777" applyFont="1" applyFill="1" applyBorder="1" applyAlignment="1">
      <alignment horizontal="center" vertical="center"/>
    </xf>
    <xf numFmtId="0" fontId="148" fillId="0" borderId="8" xfId="1777" applyFont="1" applyBorder="1" applyAlignment="1">
      <alignment horizontal="right" vertical="center"/>
    </xf>
    <xf numFmtId="0" fontId="134" fillId="0" borderId="0" xfId="1777" applyFont="1" applyAlignment="1">
      <alignment vertical="center"/>
    </xf>
    <xf numFmtId="0" fontId="148" fillId="0" borderId="31" xfId="1777" applyFont="1" applyBorder="1" applyAlignment="1">
      <alignment horizontal="center" vertical="center"/>
    </xf>
    <xf numFmtId="0" fontId="148" fillId="3" borderId="31" xfId="1777" applyFont="1" applyFill="1" applyBorder="1" applyAlignment="1">
      <alignment horizontal="center" vertical="center"/>
    </xf>
    <xf numFmtId="0" fontId="148" fillId="0" borderId="92" xfId="1777" applyFont="1" applyBorder="1" applyAlignment="1">
      <alignment horizontal="center" vertical="center"/>
    </xf>
    <xf numFmtId="0" fontId="149" fillId="0" borderId="14" xfId="1777" applyFont="1" applyBorder="1" applyAlignment="1">
      <alignment horizontal="center" vertical="center"/>
    </xf>
    <xf numFmtId="0" fontId="150" fillId="0" borderId="0" xfId="1777" applyFont="1" applyAlignment="1">
      <alignment horizontal="center" vertical="center"/>
    </xf>
    <xf numFmtId="0" fontId="7" fillId="0" borderId="0" xfId="1777" applyFont="1" applyAlignment="1">
      <alignment horizontal="center" vertical="center"/>
    </xf>
    <xf numFmtId="0" fontId="150" fillId="3" borderId="0" xfId="1777" applyFont="1" applyFill="1" applyAlignment="1">
      <alignment horizontal="center" vertical="center"/>
    </xf>
    <xf numFmtId="0" fontId="150" fillId="0" borderId="15" xfId="1777" applyFont="1" applyBorder="1" applyAlignment="1">
      <alignment horizontal="center" vertical="center"/>
    </xf>
    <xf numFmtId="0" fontId="151" fillId="0" borderId="0" xfId="1777" applyFont="1"/>
    <xf numFmtId="0" fontId="152" fillId="0" borderId="0" xfId="1777" applyFont="1" applyAlignment="1">
      <alignment vertical="center"/>
    </xf>
    <xf numFmtId="0" fontId="153" fillId="0" borderId="6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/>
    </xf>
    <xf numFmtId="0" fontId="154" fillId="3" borderId="1" xfId="0" applyFont="1" applyFill="1" applyBorder="1" applyAlignment="1">
      <alignment horizontal="center" vertical="center"/>
    </xf>
    <xf numFmtId="0" fontId="152" fillId="0" borderId="0" xfId="1777" applyFont="1"/>
    <xf numFmtId="0" fontId="157" fillId="0" borderId="1" xfId="1777" applyFont="1" applyBorder="1" applyAlignment="1">
      <alignment horizontal="left" vertical="center"/>
    </xf>
    <xf numFmtId="0" fontId="157" fillId="0" borderId="0" xfId="1777" applyFont="1" applyAlignment="1">
      <alignment vertical="center"/>
    </xf>
    <xf numFmtId="0" fontId="157" fillId="0" borderId="0" xfId="1777" applyFont="1"/>
    <xf numFmtId="0" fontId="152" fillId="0" borderId="0" xfId="1777" applyFont="1" applyAlignment="1">
      <alignment horizontal="center" vertical="center"/>
    </xf>
    <xf numFmtId="0" fontId="151" fillId="0" borderId="0" xfId="1777" applyFont="1" applyAlignment="1">
      <alignment horizontal="center" vertical="center"/>
    </xf>
    <xf numFmtId="0" fontId="151" fillId="0" borderId="0" xfId="1777" applyFont="1" applyAlignment="1">
      <alignment horizontal="center"/>
    </xf>
    <xf numFmtId="0" fontId="5" fillId="0" borderId="0" xfId="1777" applyFont="1" applyAlignment="1">
      <alignment horizontal="center"/>
    </xf>
    <xf numFmtId="0" fontId="160" fillId="0" borderId="0" xfId="1777" applyFont="1" applyAlignment="1">
      <alignment horizontal="center" vertical="center"/>
    </xf>
    <xf numFmtId="0" fontId="151" fillId="3" borderId="0" xfId="1777" applyFont="1" applyFill="1" applyAlignment="1">
      <alignment horizontal="center"/>
    </xf>
    <xf numFmtId="0" fontId="156" fillId="0" borderId="0" xfId="219" applyFont="1" applyAlignment="1" applyProtection="1">
      <alignment vertical="center" wrapText="1"/>
      <protection locked="0"/>
    </xf>
    <xf numFmtId="0" fontId="146" fillId="0" borderId="0" xfId="219" applyFont="1" applyAlignment="1">
      <alignment horizontal="center" vertical="center" wrapText="1"/>
    </xf>
    <xf numFmtId="0" fontId="157" fillId="0" borderId="0" xfId="1777" applyFont="1" applyAlignment="1">
      <alignment vertical="center" wrapText="1"/>
    </xf>
    <xf numFmtId="0" fontId="154" fillId="0" borderId="0" xfId="0" applyFont="1" applyAlignment="1">
      <alignment horizontal="center" vertical="center"/>
    </xf>
    <xf numFmtId="0" fontId="154" fillId="3" borderId="0" xfId="0" applyFont="1" applyFill="1" applyAlignment="1">
      <alignment horizontal="center" vertical="center"/>
    </xf>
    <xf numFmtId="0" fontId="152" fillId="0" borderId="0" xfId="0" applyFont="1" applyAlignment="1">
      <alignment vertical="center"/>
    </xf>
    <xf numFmtId="0" fontId="153" fillId="0" borderId="93" xfId="0" applyFont="1" applyBorder="1" applyAlignment="1">
      <alignment horizontal="center" vertical="center" wrapText="1"/>
    </xf>
    <xf numFmtId="0" fontId="154" fillId="0" borderId="93" xfId="0" applyFont="1" applyBorder="1" applyAlignment="1">
      <alignment horizontal="center" vertical="center"/>
    </xf>
    <xf numFmtId="0" fontId="148" fillId="74" borderId="7" xfId="0" applyFont="1" applyFill="1" applyBorder="1" applyAlignment="1">
      <alignment horizontal="center" vertical="center" wrapText="1"/>
    </xf>
    <xf numFmtId="0" fontId="148" fillId="74" borderId="10" xfId="0" applyFont="1" applyFill="1" applyBorder="1" applyAlignment="1">
      <alignment horizontal="center" vertical="center"/>
    </xf>
    <xf numFmtId="0" fontId="146" fillId="74" borderId="10" xfId="0" applyFont="1" applyFill="1" applyBorder="1" applyAlignment="1">
      <alignment horizontal="center" vertical="center"/>
    </xf>
    <xf numFmtId="0" fontId="148" fillId="74" borderId="10" xfId="0" applyFont="1" applyFill="1" applyBorder="1" applyAlignment="1">
      <alignment horizontal="center" vertical="center" wrapText="1"/>
    </xf>
    <xf numFmtId="0" fontId="148" fillId="74" borderId="8" xfId="0" applyFont="1" applyFill="1" applyBorder="1" applyAlignment="1">
      <alignment horizontal="center" vertical="center"/>
    </xf>
    <xf numFmtId="0" fontId="152" fillId="0" borderId="9" xfId="0" applyFont="1" applyBorder="1" applyAlignment="1">
      <alignment vertical="center" wrapText="1"/>
    </xf>
    <xf numFmtId="0" fontId="152" fillId="0" borderId="9" xfId="0" applyFont="1" applyBorder="1" applyAlignment="1">
      <alignment vertical="center"/>
    </xf>
    <xf numFmtId="0" fontId="153" fillId="0" borderId="41" xfId="0" applyFont="1" applyBorder="1" applyAlignment="1">
      <alignment horizontal="center" vertical="center" wrapText="1"/>
    </xf>
    <xf numFmtId="0" fontId="154" fillId="0" borderId="11" xfId="0" applyFont="1" applyBorder="1" applyAlignment="1">
      <alignment horizontal="center" vertical="center"/>
    </xf>
    <xf numFmtId="0" fontId="154" fillId="3" borderId="11" xfId="0" applyFont="1" applyFill="1" applyBorder="1" applyAlignment="1">
      <alignment horizontal="center" vertical="center"/>
    </xf>
    <xf numFmtId="0" fontId="152" fillId="0" borderId="42" xfId="0" applyFont="1" applyBorder="1" applyAlignment="1">
      <alignment vertical="center"/>
    </xf>
    <xf numFmtId="0" fontId="157" fillId="0" borderId="6" xfId="1777" applyFont="1" applyBorder="1" applyAlignment="1">
      <alignment horizontal="center" vertical="center"/>
    </xf>
    <xf numFmtId="2" fontId="157" fillId="3" borderId="1" xfId="0" quotePrefix="1" applyNumberFormat="1" applyFont="1" applyFill="1" applyBorder="1" applyAlignment="1">
      <alignment horizontal="center" vertical="center" wrapText="1"/>
    </xf>
    <xf numFmtId="2" fontId="157" fillId="3" borderId="1" xfId="0" applyNumberFormat="1" applyFont="1" applyFill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/>
    </xf>
    <xf numFmtId="0" fontId="157" fillId="0" borderId="1" xfId="0" applyFont="1" applyBorder="1" applyAlignment="1">
      <alignment horizontal="left" vertical="center"/>
    </xf>
    <xf numFmtId="0" fontId="157" fillId="0" borderId="1" xfId="0" applyFont="1" applyBorder="1" applyAlignment="1">
      <alignment horizontal="left" vertical="center" wrapText="1"/>
    </xf>
    <xf numFmtId="2" fontId="157" fillId="0" borderId="1" xfId="0" applyNumberFormat="1" applyFont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left" vertical="center" wrapText="1"/>
    </xf>
    <xf numFmtId="0" fontId="157" fillId="3" borderId="1" xfId="0" applyFont="1" applyFill="1" applyBorder="1" applyAlignment="1">
      <alignment horizontal="center" vertical="center"/>
    </xf>
    <xf numFmtId="2" fontId="157" fillId="0" borderId="11" xfId="0" applyNumberFormat="1" applyFont="1" applyBorder="1" applyAlignment="1">
      <alignment horizontal="center" vertical="center" wrapText="1"/>
    </xf>
    <xf numFmtId="0" fontId="157" fillId="0" borderId="11" xfId="0" applyFont="1" applyBorder="1" applyAlignment="1">
      <alignment horizontal="left" vertical="center"/>
    </xf>
    <xf numFmtId="0" fontId="157" fillId="0" borderId="1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61" fillId="0" borderId="94" xfId="0" applyFont="1" applyBorder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63" fillId="0" borderId="94" xfId="0" applyFont="1" applyBorder="1" applyAlignment="1">
      <alignment horizontal="center" vertical="center" wrapText="1"/>
    </xf>
    <xf numFmtId="0" fontId="164" fillId="0" borderId="94" xfId="0" applyFont="1" applyBorder="1" applyAlignment="1">
      <alignment horizontal="center" vertical="center" wrapText="1"/>
    </xf>
    <xf numFmtId="0" fontId="123" fillId="64" borderId="96" xfId="0" applyFont="1" applyFill="1" applyBorder="1" applyAlignment="1">
      <alignment horizontal="center" vertical="center" wrapText="1"/>
    </xf>
    <xf numFmtId="0" fontId="123" fillId="64" borderId="95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wrapText="1"/>
    </xf>
    <xf numFmtId="2" fontId="1" fillId="3" borderId="0" xfId="0" quotePrefix="1" applyNumberFormat="1" applyFont="1" applyFill="1" applyAlignment="1">
      <alignment horizontal="center" vertical="center" wrapText="1"/>
    </xf>
    <xf numFmtId="0" fontId="165" fillId="3" borderId="0" xfId="0" applyFont="1" applyFill="1" applyAlignment="1">
      <alignment horizontal="center" vertical="center" wrapText="1"/>
    </xf>
    <xf numFmtId="0" fontId="106" fillId="0" borderId="0" xfId="0" applyFont="1" applyAlignment="1">
      <alignment horizontal="right"/>
    </xf>
    <xf numFmtId="0" fontId="105" fillId="4" borderId="7" xfId="2" quotePrefix="1" applyFont="1" applyBorder="1" applyAlignment="1">
      <alignment horizontal="center" vertical="center"/>
    </xf>
    <xf numFmtId="208" fontId="0" fillId="0" borderId="6" xfId="0" applyNumberFormat="1" applyBorder="1" applyAlignment="1">
      <alignment horizontal="center" vertical="center"/>
    </xf>
    <xf numFmtId="208" fontId="0" fillId="0" borderId="46" xfId="0" applyNumberFormat="1" applyBorder="1" applyAlignment="1">
      <alignment horizontal="center" vertical="center"/>
    </xf>
    <xf numFmtId="208" fontId="107" fillId="0" borderId="5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67" fillId="0" borderId="81" xfId="0" applyFont="1" applyBorder="1" applyAlignment="1">
      <alignment horizontal="center" vertical="center" wrapText="1"/>
    </xf>
    <xf numFmtId="1" fontId="167" fillId="0" borderId="81" xfId="0" applyNumberFormat="1" applyFont="1" applyBorder="1" applyAlignment="1">
      <alignment horizontal="center" vertical="center" wrapText="1"/>
    </xf>
    <xf numFmtId="0" fontId="167" fillId="66" borderId="81" xfId="0" applyFont="1" applyFill="1" applyBorder="1" applyAlignment="1">
      <alignment horizontal="center" vertical="center" wrapText="1"/>
    </xf>
    <xf numFmtId="0" fontId="129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23" fillId="0" borderId="81" xfId="0" applyFont="1" applyBorder="1" applyAlignment="1">
      <alignment horizontal="center" vertical="center" wrapText="1"/>
    </xf>
    <xf numFmtId="0" fontId="132" fillId="0" borderId="81" xfId="0" applyFont="1" applyBorder="1" applyAlignment="1">
      <alignment horizontal="center" vertical="center" wrapText="1"/>
    </xf>
    <xf numFmtId="2" fontId="132" fillId="0" borderId="81" xfId="0" applyNumberFormat="1" applyFont="1" applyBorder="1" applyAlignment="1">
      <alignment horizontal="center" vertical="center" wrapText="1"/>
    </xf>
    <xf numFmtId="2" fontId="132" fillId="3" borderId="81" xfId="0" applyNumberFormat="1" applyFont="1" applyFill="1" applyBorder="1" applyAlignment="1">
      <alignment horizontal="center" vertical="center" wrapText="1"/>
    </xf>
    <xf numFmtId="2" fontId="132" fillId="65" borderId="81" xfId="0" applyNumberFormat="1" applyFont="1" applyFill="1" applyBorder="1" applyAlignment="1">
      <alignment horizontal="center" vertical="center" wrapText="1"/>
    </xf>
    <xf numFmtId="0" fontId="145" fillId="0" borderId="81" xfId="0" applyFont="1" applyBorder="1" applyAlignment="1">
      <alignment horizontal="center" vertical="center" wrapText="1"/>
    </xf>
    <xf numFmtId="2" fontId="145" fillId="3" borderId="81" xfId="0" applyNumberFormat="1" applyFont="1" applyFill="1" applyBorder="1" applyAlignment="1">
      <alignment horizontal="center" vertical="center" wrapText="1"/>
    </xf>
    <xf numFmtId="0" fontId="122" fillId="72" borderId="61" xfId="0" applyFont="1" applyFill="1" applyBorder="1" applyAlignment="1">
      <alignment horizontal="center" vertical="center"/>
    </xf>
    <xf numFmtId="2" fontId="126" fillId="0" borderId="0" xfId="0" applyNumberFormat="1" applyFont="1" applyAlignment="1">
      <alignment vertical="center" wrapText="1"/>
    </xf>
    <xf numFmtId="0" fontId="159" fillId="0" borderId="0" xfId="0" applyFont="1"/>
    <xf numFmtId="0" fontId="106" fillId="0" borderId="0" xfId="0" applyFont="1"/>
    <xf numFmtId="0" fontId="146" fillId="0" borderId="0" xfId="0" applyFont="1" applyAlignment="1">
      <alignment horizontal="center" vertical="center"/>
    </xf>
    <xf numFmtId="0" fontId="169" fillId="74" borderId="1" xfId="0" applyFont="1" applyFill="1" applyBorder="1" applyAlignment="1">
      <alignment horizontal="center" vertical="center" wrapText="1"/>
    </xf>
    <xf numFmtId="0" fontId="151" fillId="0" borderId="6" xfId="0" applyFont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168" fontId="151" fillId="3" borderId="1" xfId="0" applyNumberFormat="1" applyFont="1" applyFill="1" applyBorder="1" applyAlignment="1">
      <alignment horizontal="center" vertical="center" wrapText="1"/>
    </xf>
    <xf numFmtId="208" fontId="152" fillId="3" borderId="1" xfId="0" applyNumberFormat="1" applyFont="1" applyFill="1" applyBorder="1" applyAlignment="1">
      <alignment horizontal="right" vertical="center" wrapText="1"/>
    </xf>
    <xf numFmtId="0" fontId="152" fillId="3" borderId="1" xfId="0" applyFont="1" applyFill="1" applyBorder="1" applyAlignment="1">
      <alignment horizontal="right" vertical="center" wrapText="1"/>
    </xf>
    <xf numFmtId="168" fontId="152" fillId="3" borderId="1" xfId="0" applyNumberFormat="1" applyFont="1" applyFill="1" applyBorder="1" applyAlignment="1">
      <alignment horizontal="right" vertical="center" wrapText="1"/>
    </xf>
    <xf numFmtId="0" fontId="170" fillId="3" borderId="1" xfId="0" quotePrefix="1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87" fillId="3" borderId="1" xfId="0" quotePrefix="1" applyFont="1" applyFill="1" applyBorder="1" applyAlignment="1">
      <alignment horizontal="center" vertical="center"/>
    </xf>
    <xf numFmtId="168" fontId="0" fillId="3" borderId="1" xfId="0" quotePrefix="1" applyNumberFormat="1" applyFill="1" applyBorder="1" applyAlignment="1">
      <alignment horizontal="center" vertical="center"/>
    </xf>
    <xf numFmtId="168" fontId="171" fillId="0" borderId="11" xfId="0" applyNumberFormat="1" applyFont="1" applyBorder="1" applyAlignment="1">
      <alignment horizontal="center" vertical="center" wrapText="1"/>
    </xf>
    <xf numFmtId="1" fontId="171" fillId="0" borderId="11" xfId="0" applyNumberFormat="1" applyFont="1" applyBorder="1" applyAlignment="1">
      <alignment horizontal="right" vertical="center" wrapText="1"/>
    </xf>
    <xf numFmtId="168" fontId="171" fillId="0" borderId="11" xfId="0" applyNumberFormat="1" applyFont="1" applyBorder="1" applyAlignment="1">
      <alignment horizontal="right" vertical="center" wrapText="1"/>
    </xf>
    <xf numFmtId="0" fontId="172" fillId="0" borderId="0" xfId="0" applyFont="1"/>
    <xf numFmtId="14" fontId="157" fillId="0" borderId="1" xfId="1777" applyNumberFormat="1" applyFont="1" applyBorder="1" applyAlignment="1">
      <alignment horizontal="center" vertical="center"/>
    </xf>
    <xf numFmtId="0" fontId="147" fillId="0" borderId="1" xfId="1777" applyFont="1" applyBorder="1" applyAlignment="1">
      <alignment horizontal="center" vertical="center" wrapText="1"/>
    </xf>
    <xf numFmtId="14" fontId="159" fillId="0" borderId="1" xfId="1777" applyNumberFormat="1" applyFont="1" applyBorder="1" applyAlignment="1">
      <alignment horizontal="center" vertical="center"/>
    </xf>
    <xf numFmtId="14" fontId="157" fillId="0" borderId="11" xfId="1777" applyNumberFormat="1" applyFont="1" applyBorder="1" applyAlignment="1">
      <alignment horizontal="center" vertical="center"/>
    </xf>
    <xf numFmtId="0" fontId="158" fillId="0" borderId="9" xfId="1777" applyFont="1" applyBorder="1" applyAlignment="1">
      <alignment horizontal="center" vertical="center"/>
    </xf>
    <xf numFmtId="0" fontId="157" fillId="0" borderId="41" xfId="1777" applyFont="1" applyBorder="1" applyAlignment="1">
      <alignment horizontal="center" vertical="center"/>
    </xf>
    <xf numFmtId="0" fontId="158" fillId="0" borderId="42" xfId="1777" applyFont="1" applyBorder="1" applyAlignment="1">
      <alignment horizontal="center" vertical="center"/>
    </xf>
    <xf numFmtId="14" fontId="147" fillId="0" borderId="11" xfId="1777" applyNumberFormat="1" applyFont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/>
    </xf>
    <xf numFmtId="0" fontId="0" fillId="57" borderId="6" xfId="0" applyFill="1" applyBorder="1" applyAlignment="1">
      <alignment horizontal="center"/>
    </xf>
    <xf numFmtId="168" fontId="137" fillId="75" borderId="1" xfId="206" applyNumberFormat="1" applyFont="1" applyFill="1" applyBorder="1" applyAlignment="1">
      <alignment horizontal="center" vertical="center" wrapText="1"/>
    </xf>
    <xf numFmtId="168" fontId="137" fillId="75" borderId="9" xfId="0" applyNumberFormat="1" applyFont="1" applyFill="1" applyBorder="1" applyAlignment="1">
      <alignment horizontal="center" vertical="center"/>
    </xf>
    <xf numFmtId="2" fontId="137" fillId="75" borderId="1" xfId="206" applyNumberFormat="1" applyFont="1" applyFill="1" applyBorder="1" applyAlignment="1">
      <alignment horizontal="center" vertical="center" wrapText="1"/>
    </xf>
    <xf numFmtId="168" fontId="141" fillId="75" borderId="9" xfId="0" applyNumberFormat="1" applyFont="1" applyFill="1" applyBorder="1" applyAlignment="1">
      <alignment horizontal="center" vertical="center"/>
    </xf>
    <xf numFmtId="2" fontId="137" fillId="75" borderId="1" xfId="0" applyNumberFormat="1" applyFont="1" applyFill="1" applyBorder="1" applyAlignment="1">
      <alignment horizontal="center" vertical="center" wrapText="1"/>
    </xf>
    <xf numFmtId="2" fontId="137" fillId="75" borderId="1" xfId="0" applyNumberFormat="1" applyFont="1" applyFill="1" applyBorder="1" applyAlignment="1">
      <alignment horizontal="center" vertical="center"/>
    </xf>
    <xf numFmtId="0" fontId="141" fillId="75" borderId="1" xfId="0" applyFont="1" applyFill="1" applyBorder="1"/>
    <xf numFmtId="0" fontId="95" fillId="3" borderId="0" xfId="0" applyFont="1" applyFill="1" applyAlignment="1">
      <alignment vertical="top" wrapText="1"/>
    </xf>
    <xf numFmtId="2" fontId="14" fillId="0" borderId="0" xfId="0" applyNumberFormat="1" applyFont="1" applyAlignment="1">
      <alignment horizontal="center" vertical="center"/>
    </xf>
    <xf numFmtId="0" fontId="173" fillId="0" borderId="0" xfId="0" applyFont="1"/>
    <xf numFmtId="0" fontId="146" fillId="0" borderId="1" xfId="0" applyFont="1" applyBorder="1" applyAlignment="1">
      <alignment horizontal="center" vertical="center"/>
    </xf>
    <xf numFmtId="0" fontId="148" fillId="0" borderId="1" xfId="1777" applyFont="1" applyBorder="1" applyAlignment="1" applyProtection="1">
      <alignment horizontal="center" vertical="center"/>
      <protection hidden="1"/>
    </xf>
    <xf numFmtId="1" fontId="148" fillId="0" borderId="1" xfId="1777" applyNumberFormat="1" applyFont="1" applyBorder="1" applyAlignment="1">
      <alignment horizontal="center" vertical="center"/>
    </xf>
    <xf numFmtId="1" fontId="175" fillId="0" borderId="1" xfId="1777" applyNumberFormat="1" applyFont="1" applyBorder="1" applyAlignment="1">
      <alignment horizontal="center" vertical="center"/>
    </xf>
    <xf numFmtId="0" fontId="176" fillId="0" borderId="1" xfId="0" applyFont="1" applyBorder="1" applyAlignment="1">
      <alignment horizontal="center" vertical="center"/>
    </xf>
    <xf numFmtId="0" fontId="129" fillId="0" borderId="81" xfId="0" applyFont="1" applyBorder="1" applyAlignment="1">
      <alignment horizontal="left" vertical="center" wrapText="1"/>
    </xf>
    <xf numFmtId="0" fontId="84" fillId="70" borderId="61" xfId="0" applyFont="1" applyFill="1" applyBorder="1" applyAlignment="1">
      <alignment horizontal="center" vertical="center"/>
    </xf>
    <xf numFmtId="1" fontId="0" fillId="57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126" fillId="0" borderId="0" xfId="0" applyFont="1" applyAlignment="1">
      <alignment horizontal="left"/>
    </xf>
    <xf numFmtId="1" fontId="126" fillId="0" borderId="0" xfId="0" applyNumberFormat="1" applyFont="1"/>
    <xf numFmtId="0" fontId="87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87" fillId="76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159" fillId="71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0" fillId="71" borderId="1" xfId="0" applyFill="1" applyBorder="1" applyAlignment="1">
      <alignment horizontal="center" vertical="center"/>
    </xf>
    <xf numFmtId="0" fontId="94" fillId="71" borderId="1" xfId="0" applyFont="1" applyFill="1" applyBorder="1" applyAlignment="1">
      <alignment horizontal="center" vertical="center" wrapText="1"/>
    </xf>
    <xf numFmtId="0" fontId="159" fillId="0" borderId="0" xfId="0" applyFont="1" applyAlignment="1">
      <alignment horizontal="center" vertical="center"/>
    </xf>
    <xf numFmtId="0" fontId="172" fillId="78" borderId="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2" fontId="178" fillId="3" borderId="81" xfId="0" applyNumberFormat="1" applyFont="1" applyFill="1" applyBorder="1" applyAlignment="1">
      <alignment horizontal="left" vertical="center" wrapText="1"/>
    </xf>
    <xf numFmtId="0" fontId="84" fillId="60" borderId="61" xfId="0" applyFont="1" applyFill="1" applyBorder="1" applyAlignment="1">
      <alignment horizontal="center" vertical="center"/>
    </xf>
    <xf numFmtId="0" fontId="85" fillId="79" borderId="61" xfId="0" applyFont="1" applyFill="1" applyBorder="1" applyAlignment="1">
      <alignment horizontal="center" vertical="center"/>
    </xf>
    <xf numFmtId="0" fontId="84" fillId="79" borderId="61" xfId="0" applyFont="1" applyFill="1" applyBorder="1" applyAlignment="1">
      <alignment horizontal="center" vertical="center"/>
    </xf>
    <xf numFmtId="0" fontId="85" fillId="80" borderId="6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0" fontId="84" fillId="73" borderId="61" xfId="0" applyFont="1" applyFill="1" applyBorder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26" fillId="0" borderId="0" xfId="0" applyFont="1" applyAlignment="1">
      <alignment horizontal="left" vertical="center" wrapText="1"/>
    </xf>
    <xf numFmtId="0" fontId="84" fillId="81" borderId="61" xfId="0" applyFont="1" applyFill="1" applyBorder="1" applyAlignment="1">
      <alignment horizontal="center" vertical="center"/>
    </xf>
    <xf numFmtId="0" fontId="152" fillId="3" borderId="1" xfId="0" applyFont="1" applyFill="1" applyBorder="1" applyAlignment="1">
      <alignment horizontal="center" vertical="center"/>
    </xf>
    <xf numFmtId="14" fontId="180" fillId="57" borderId="1" xfId="0" applyNumberFormat="1" applyFont="1" applyFill="1" applyBorder="1" applyAlignment="1">
      <alignment horizontal="center" vertical="center"/>
    </xf>
    <xf numFmtId="0" fontId="85" fillId="60" borderId="61" xfId="0" applyFont="1" applyFill="1" applyBorder="1" applyAlignment="1">
      <alignment horizontal="center" vertical="center"/>
    </xf>
    <xf numFmtId="0" fontId="132" fillId="0" borderId="96" xfId="0" applyFont="1" applyBorder="1" applyAlignment="1">
      <alignment horizontal="center" vertical="center" wrapText="1"/>
    </xf>
    <xf numFmtId="2" fontId="132" fillId="0" borderId="96" xfId="0" applyNumberFormat="1" applyFont="1" applyBorder="1" applyAlignment="1">
      <alignment horizontal="center" vertical="center" wrapText="1"/>
    </xf>
    <xf numFmtId="2" fontId="132" fillId="3" borderId="96" xfId="0" applyNumberFormat="1" applyFont="1" applyFill="1" applyBorder="1" applyAlignment="1">
      <alignment horizontal="center" vertical="center" wrapText="1"/>
    </xf>
    <xf numFmtId="2" fontId="132" fillId="65" borderId="96" xfId="0" applyNumberFormat="1" applyFont="1" applyFill="1" applyBorder="1" applyAlignment="1">
      <alignment horizontal="center" vertical="center" wrapText="1"/>
    </xf>
    <xf numFmtId="0" fontId="123" fillId="64" borderId="106" xfId="0" applyFont="1" applyFill="1" applyBorder="1" applyAlignment="1">
      <alignment horizontal="center" vertical="center" wrapText="1"/>
    </xf>
    <xf numFmtId="0" fontId="123" fillId="64" borderId="107" xfId="0" applyFont="1" applyFill="1" applyBorder="1" applyAlignment="1">
      <alignment horizontal="center" vertical="center" wrapText="1"/>
    </xf>
    <xf numFmtId="0" fontId="123" fillId="64" borderId="108" xfId="0" applyFont="1" applyFill="1" applyBorder="1" applyAlignment="1">
      <alignment horizontal="center" vertical="center" wrapText="1"/>
    </xf>
    <xf numFmtId="14" fontId="134" fillId="3" borderId="1" xfId="0" applyNumberFormat="1" applyFont="1" applyFill="1" applyBorder="1" applyAlignment="1">
      <alignment horizontal="center" vertical="center" wrapText="1"/>
    </xf>
    <xf numFmtId="16" fontId="0" fillId="57" borderId="1" xfId="0" quotePrefix="1" applyNumberFormat="1" applyFill="1" applyBorder="1" applyAlignment="1">
      <alignment horizontal="center" vertical="center"/>
    </xf>
    <xf numFmtId="0" fontId="139" fillId="57" borderId="1" xfId="1777" applyFont="1" applyFill="1" applyBorder="1" applyAlignment="1">
      <alignment horizontal="center" vertical="center" wrapText="1"/>
    </xf>
    <xf numFmtId="1" fontId="148" fillId="57" borderId="1" xfId="1777" applyNumberFormat="1" applyFont="1" applyFill="1" applyBorder="1" applyAlignment="1">
      <alignment horizontal="center" vertical="center"/>
    </xf>
    <xf numFmtId="168" fontId="148" fillId="57" borderId="1" xfId="1777" applyNumberFormat="1" applyFont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145" fillId="0" borderId="0" xfId="0" applyFont="1" applyAlignment="1">
      <alignment horizontal="left" vertical="center"/>
    </xf>
    <xf numFmtId="0" fontId="185" fillId="0" borderId="0" xfId="0" applyFont="1"/>
    <xf numFmtId="0" fontId="186" fillId="0" borderId="0" xfId="0" applyFont="1"/>
    <xf numFmtId="0" fontId="146" fillId="0" borderId="0" xfId="0" applyFont="1" applyAlignment="1">
      <alignment vertical="center" wrapText="1"/>
    </xf>
    <xf numFmtId="0" fontId="188" fillId="0" borderId="0" xfId="0" applyFont="1" applyAlignment="1">
      <alignment vertical="center"/>
    </xf>
    <xf numFmtId="0" fontId="188" fillId="0" borderId="0" xfId="0" applyFont="1" applyAlignment="1">
      <alignment horizontal="right" vertical="center"/>
    </xf>
    <xf numFmtId="0" fontId="187" fillId="0" borderId="0" xfId="0" applyFont="1" applyAlignment="1">
      <alignment vertical="top"/>
    </xf>
    <xf numFmtId="0" fontId="126" fillId="0" borderId="0" xfId="0" applyFont="1" applyAlignment="1">
      <alignment vertical="top"/>
    </xf>
    <xf numFmtId="0" fontId="129" fillId="71" borderId="6" xfId="0" applyFont="1" applyFill="1" applyBorder="1" applyAlignment="1">
      <alignment horizontal="center" vertical="center"/>
    </xf>
    <xf numFmtId="0" fontId="129" fillId="71" borderId="41" xfId="0" applyFont="1" applyFill="1" applyBorder="1" applyAlignment="1">
      <alignment horizontal="center" vertical="center"/>
    </xf>
    <xf numFmtId="208" fontId="152" fillId="3" borderId="0" xfId="0" applyNumberFormat="1" applyFont="1" applyFill="1" applyAlignment="1">
      <alignment horizontal="right" vertical="center" wrapText="1"/>
    </xf>
    <xf numFmtId="0" fontId="192" fillId="71" borderId="1" xfId="0" applyFont="1" applyFill="1" applyBorder="1" applyAlignment="1">
      <alignment horizontal="center" vertical="center" wrapText="1"/>
    </xf>
    <xf numFmtId="0" fontId="193" fillId="71" borderId="1" xfId="0" applyFont="1" applyFill="1" applyBorder="1" applyAlignment="1">
      <alignment horizontal="center" vertical="center"/>
    </xf>
    <xf numFmtId="0" fontId="192" fillId="71" borderId="11" xfId="0" applyFont="1" applyFill="1" applyBorder="1" applyAlignment="1">
      <alignment horizontal="center" vertical="center" wrapText="1"/>
    </xf>
    <xf numFmtId="0" fontId="193" fillId="71" borderId="11" xfId="0" applyFont="1" applyFill="1" applyBorder="1" applyAlignment="1">
      <alignment horizontal="center" vertical="center"/>
    </xf>
    <xf numFmtId="0" fontId="184" fillId="57" borderId="50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0" fillId="57" borderId="1" xfId="0" applyFill="1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184" fillId="3" borderId="50" xfId="0" applyFont="1" applyFill="1" applyBorder="1" applyAlignment="1">
      <alignment horizontal="center" vertical="center" wrapText="1"/>
    </xf>
    <xf numFmtId="0" fontId="123" fillId="64" borderId="109" xfId="0" applyFont="1" applyFill="1" applyBorder="1" applyAlignment="1">
      <alignment horizontal="center" vertical="center" wrapText="1"/>
    </xf>
    <xf numFmtId="0" fontId="123" fillId="64" borderId="110" xfId="0" applyFont="1" applyFill="1" applyBorder="1" applyAlignment="1">
      <alignment horizontal="center" vertical="center" wrapText="1"/>
    </xf>
    <xf numFmtId="0" fontId="0" fillId="71" borderId="1" xfId="0" quotePrefix="1" applyFill="1" applyBorder="1" applyAlignment="1">
      <alignment horizontal="center" vertical="center"/>
    </xf>
    <xf numFmtId="0" fontId="87" fillId="82" borderId="1" xfId="0" applyFont="1" applyFill="1" applyBorder="1" applyAlignment="1">
      <alignment horizontal="center" vertical="center"/>
    </xf>
    <xf numFmtId="208" fontId="152" fillId="3" borderId="1" xfId="0" applyNumberFormat="1" applyFont="1" applyFill="1" applyBorder="1" applyAlignment="1">
      <alignment horizontal="center" vertical="center" wrapText="1"/>
    </xf>
    <xf numFmtId="208" fontId="152" fillId="3" borderId="9" xfId="0" applyNumberFormat="1" applyFont="1" applyFill="1" applyBorder="1" applyAlignment="1">
      <alignment horizontal="center" vertical="center" wrapText="1"/>
    </xf>
    <xf numFmtId="208" fontId="134" fillId="3" borderId="1" xfId="0" applyNumberFormat="1" applyFont="1" applyFill="1" applyBorder="1" applyAlignment="1">
      <alignment horizontal="center" vertical="center"/>
    </xf>
    <xf numFmtId="208" fontId="134" fillId="3" borderId="9" xfId="0" applyNumberFormat="1" applyFont="1" applyFill="1" applyBorder="1" applyAlignment="1">
      <alignment horizontal="center" vertical="center"/>
    </xf>
    <xf numFmtId="208" fontId="172" fillId="3" borderId="11" xfId="0" applyNumberFormat="1" applyFont="1" applyFill="1" applyBorder="1" applyAlignment="1">
      <alignment horizontal="center" vertical="center"/>
    </xf>
    <xf numFmtId="208" fontId="172" fillId="3" borderId="42" xfId="0" applyNumberFormat="1" applyFont="1" applyFill="1" applyBorder="1" applyAlignment="1">
      <alignment horizontal="center" vertical="center"/>
    </xf>
    <xf numFmtId="0" fontId="123" fillId="0" borderId="81" xfId="0" applyFont="1" applyBorder="1" applyAlignment="1">
      <alignment horizontal="left" vertical="center" wrapText="1"/>
    </xf>
    <xf numFmtId="14" fontId="196" fillId="3" borderId="1" xfId="0" applyNumberFormat="1" applyFont="1" applyFill="1" applyBorder="1" applyAlignment="1">
      <alignment horizontal="center" vertical="center"/>
    </xf>
    <xf numFmtId="0" fontId="94" fillId="83" borderId="1" xfId="0" applyFont="1" applyFill="1" applyBorder="1" applyAlignment="1">
      <alignment horizontal="center" vertical="center"/>
    </xf>
    <xf numFmtId="0" fontId="195" fillId="83" borderId="1" xfId="0" applyFont="1" applyFill="1" applyBorder="1" applyAlignment="1">
      <alignment horizontal="center" vertical="center"/>
    </xf>
    <xf numFmtId="0" fontId="199" fillId="0" borderId="9" xfId="1777" applyFont="1" applyBorder="1" applyAlignment="1">
      <alignment horizontal="center" vertical="center" wrapText="1"/>
    </xf>
    <xf numFmtId="0" fontId="146" fillId="2" borderId="47" xfId="219" applyFont="1" applyFill="1" applyBorder="1" applyAlignment="1">
      <alignment horizontal="center" vertical="center" wrapText="1"/>
    </xf>
    <xf numFmtId="0" fontId="146" fillId="2" borderId="4" xfId="219" applyFont="1" applyFill="1" applyBorder="1" applyAlignment="1">
      <alignment horizontal="center" vertical="center" wrapText="1"/>
    </xf>
    <xf numFmtId="0" fontId="146" fillId="2" borderId="51" xfId="219" applyFont="1" applyFill="1" applyBorder="1" applyAlignment="1">
      <alignment horizontal="center" vertical="center" wrapText="1"/>
    </xf>
    <xf numFmtId="0" fontId="199" fillId="0" borderId="42" xfId="1777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 vertical="center"/>
    </xf>
    <xf numFmtId="209" fontId="102" fillId="0" borderId="11" xfId="0" applyNumberFormat="1" applyFont="1" applyBorder="1" applyAlignment="1">
      <alignment horizontal="right" vertical="center"/>
    </xf>
    <xf numFmtId="209" fontId="88" fillId="0" borderId="4" xfId="0" applyNumberFormat="1" applyFont="1" applyBorder="1" applyAlignment="1">
      <alignment horizontal="right" vertical="center"/>
    </xf>
    <xf numFmtId="209" fontId="88" fillId="0" borderId="1" xfId="0" applyNumberFormat="1" applyFont="1" applyBorder="1" applyAlignment="1">
      <alignment horizontal="right" vertical="center"/>
    </xf>
    <xf numFmtId="209" fontId="102" fillId="0" borderId="43" xfId="0" applyNumberFormat="1" applyFont="1" applyBorder="1" applyAlignment="1">
      <alignment horizontal="right" vertical="center"/>
    </xf>
    <xf numFmtId="209" fontId="101" fillId="0" borderId="11" xfId="0" applyNumberFormat="1" applyFont="1" applyBorder="1" applyAlignment="1">
      <alignment horizontal="right" vertical="center"/>
    </xf>
    <xf numFmtId="205" fontId="9" fillId="0" borderId="1" xfId="0" applyNumberFormat="1" applyFont="1" applyBorder="1" applyAlignment="1">
      <alignment horizontal="right" vertical="center"/>
    </xf>
    <xf numFmtId="205" fontId="16" fillId="0" borderId="9" xfId="0" applyNumberFormat="1" applyFont="1" applyBorder="1" applyAlignment="1">
      <alignment horizontal="right" vertical="center"/>
    </xf>
    <xf numFmtId="205" fontId="92" fillId="0" borderId="11" xfId="0" applyNumberFormat="1" applyFont="1" applyBorder="1" applyAlignment="1">
      <alignment horizontal="right" vertical="center"/>
    </xf>
    <xf numFmtId="205" fontId="92" fillId="0" borderId="42" xfId="0" applyNumberFormat="1" applyFont="1" applyBorder="1" applyAlignment="1">
      <alignment horizontal="right" vertical="center"/>
    </xf>
    <xf numFmtId="205" fontId="9" fillId="0" borderId="4" xfId="0" applyNumberFormat="1" applyFont="1" applyBorder="1" applyAlignment="1">
      <alignment horizontal="right" vertical="center"/>
    </xf>
    <xf numFmtId="205" fontId="16" fillId="0" borderId="51" xfId="0" applyNumberFormat="1" applyFont="1" applyBorder="1" applyAlignment="1">
      <alignment horizontal="right" vertical="center"/>
    </xf>
    <xf numFmtId="205" fontId="92" fillId="0" borderId="43" xfId="0" applyNumberFormat="1" applyFont="1" applyBorder="1" applyAlignment="1">
      <alignment horizontal="right" vertical="center"/>
    </xf>
    <xf numFmtId="205" fontId="92" fillId="0" borderId="44" xfId="0" applyNumberFormat="1" applyFont="1" applyBorder="1" applyAlignment="1">
      <alignment horizontal="right" vertical="center"/>
    </xf>
    <xf numFmtId="205" fontId="96" fillId="0" borderId="11" xfId="0" applyNumberFormat="1" applyFont="1" applyBorder="1" applyAlignment="1">
      <alignment horizontal="right" vertical="center"/>
    </xf>
    <xf numFmtId="205" fontId="96" fillId="0" borderId="42" xfId="0" applyNumberFormat="1" applyFont="1" applyBorder="1" applyAlignment="1">
      <alignment horizontal="right" vertical="center"/>
    </xf>
    <xf numFmtId="0" fontId="94" fillId="82" borderId="1" xfId="0" applyFont="1" applyFill="1" applyBorder="1" applyAlignment="1">
      <alignment horizontal="center" vertical="center"/>
    </xf>
    <xf numFmtId="169" fontId="174" fillId="0" borderId="45" xfId="247" applyNumberFormat="1" applyFont="1" applyBorder="1" applyAlignment="1">
      <alignment horizontal="left" vertical="center" wrapText="1"/>
    </xf>
    <xf numFmtId="169" fontId="174" fillId="0" borderId="49" xfId="247" applyNumberFormat="1" applyFont="1" applyBorder="1" applyAlignment="1">
      <alignment horizontal="left" vertical="center" wrapText="1"/>
    </xf>
    <xf numFmtId="1" fontId="177" fillId="0" borderId="45" xfId="1777" applyNumberFormat="1" applyFont="1" applyBorder="1" applyAlignment="1">
      <alignment horizontal="left" vertical="center" wrapText="1"/>
    </xf>
    <xf numFmtId="1" fontId="177" fillId="0" borderId="49" xfId="1777" applyNumberFormat="1" applyFont="1" applyBorder="1" applyAlignment="1">
      <alignment horizontal="left" vertical="center" wrapText="1"/>
    </xf>
    <xf numFmtId="1" fontId="177" fillId="0" borderId="45" xfId="1777" applyNumberFormat="1" applyFont="1" applyBorder="1" applyAlignment="1">
      <alignment horizontal="center" vertical="center" wrapText="1"/>
    </xf>
    <xf numFmtId="1" fontId="177" fillId="0" borderId="49" xfId="1777" applyNumberFormat="1" applyFont="1" applyBorder="1" applyAlignment="1">
      <alignment horizontal="center" vertical="center" wrapText="1"/>
    </xf>
    <xf numFmtId="1" fontId="93" fillId="0" borderId="45" xfId="1777" applyNumberFormat="1" applyFont="1" applyBorder="1" applyAlignment="1">
      <alignment horizontal="center" vertical="center" wrapText="1"/>
    </xf>
    <xf numFmtId="1" fontId="93" fillId="0" borderId="49" xfId="1777" applyNumberFormat="1" applyFont="1" applyBorder="1" applyAlignment="1">
      <alignment horizontal="center" vertical="center" wrapText="1"/>
    </xf>
    <xf numFmtId="0" fontId="138" fillId="0" borderId="45" xfId="1777" applyFont="1" applyBorder="1" applyAlignment="1" applyProtection="1">
      <alignment horizontal="left" vertical="center"/>
      <protection hidden="1"/>
    </xf>
    <xf numFmtId="0" fontId="138" fillId="0" borderId="49" xfId="1777" applyFont="1" applyBorder="1" applyAlignment="1" applyProtection="1">
      <alignment horizontal="left" vertical="center"/>
      <protection hidden="1"/>
    </xf>
    <xf numFmtId="0" fontId="124" fillId="0" borderId="82" xfId="0" applyFont="1" applyBorder="1" applyAlignment="1">
      <alignment vertical="center" wrapText="1"/>
    </xf>
    <xf numFmtId="0" fontId="124" fillId="0" borderId="101" xfId="0" applyFont="1" applyBorder="1" applyAlignment="1">
      <alignment vertical="center" wrapText="1"/>
    </xf>
    <xf numFmtId="0" fontId="124" fillId="0" borderId="96" xfId="0" applyFont="1" applyBorder="1" applyAlignment="1">
      <alignment vertical="center" wrapText="1"/>
    </xf>
    <xf numFmtId="0" fontId="131" fillId="0" borderId="87" xfId="0" quotePrefix="1" applyFont="1" applyBorder="1" applyAlignment="1">
      <alignment horizontal="left" vertical="center" wrapText="1"/>
    </xf>
    <xf numFmtId="0" fontId="131" fillId="0" borderId="88" xfId="0" quotePrefix="1" applyFont="1" applyBorder="1" applyAlignment="1">
      <alignment horizontal="left" vertical="center" wrapText="1"/>
    </xf>
    <xf numFmtId="0" fontId="131" fillId="0" borderId="89" xfId="0" quotePrefix="1" applyFont="1" applyBorder="1" applyAlignment="1">
      <alignment horizontal="left" vertical="center" wrapText="1"/>
    </xf>
    <xf numFmtId="0" fontId="132" fillId="0" borderId="87" xfId="0" quotePrefix="1" applyFont="1" applyBorder="1" applyAlignment="1">
      <alignment horizontal="left" vertical="center" wrapText="1"/>
    </xf>
    <xf numFmtId="0" fontId="132" fillId="0" borderId="88" xfId="0" quotePrefix="1" applyFont="1" applyBorder="1" applyAlignment="1">
      <alignment horizontal="left" vertical="center" wrapText="1"/>
    </xf>
    <xf numFmtId="0" fontId="132" fillId="0" borderId="89" xfId="0" quotePrefix="1" applyFont="1" applyBorder="1" applyAlignment="1">
      <alignment horizontal="left" vertical="center" wrapText="1"/>
    </xf>
    <xf numFmtId="0" fontId="130" fillId="64" borderId="87" xfId="0" applyFont="1" applyFill="1" applyBorder="1" applyAlignment="1">
      <alignment horizontal="center" vertical="center" wrapText="1"/>
    </xf>
    <xf numFmtId="0" fontId="130" fillId="64" borderId="88" xfId="0" applyFont="1" applyFill="1" applyBorder="1" applyAlignment="1">
      <alignment horizontal="center" vertical="center" wrapText="1"/>
    </xf>
    <xf numFmtId="0" fontId="130" fillId="64" borderId="89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123" fillId="64" borderId="108" xfId="0" applyFont="1" applyFill="1" applyBorder="1" applyAlignment="1">
      <alignment horizontal="center" vertical="center" wrapText="1"/>
    </xf>
    <xf numFmtId="0" fontId="123" fillId="64" borderId="17" xfId="0" applyFont="1" applyFill="1" applyBorder="1" applyAlignment="1">
      <alignment horizontal="center" vertical="center" wrapText="1"/>
    </xf>
    <xf numFmtId="0" fontId="130" fillId="64" borderId="21" xfId="0" applyFont="1" applyFill="1" applyBorder="1" applyAlignment="1">
      <alignment horizontal="center" vertical="center" wrapText="1"/>
    </xf>
    <xf numFmtId="0" fontId="130" fillId="64" borderId="22" xfId="0" applyFont="1" applyFill="1" applyBorder="1" applyAlignment="1">
      <alignment horizontal="center" vertical="center" wrapText="1"/>
    </xf>
    <xf numFmtId="0" fontId="130" fillId="64" borderId="23" xfId="0" applyFont="1" applyFill="1" applyBorder="1" applyAlignment="1">
      <alignment horizontal="center" vertical="center" wrapText="1"/>
    </xf>
    <xf numFmtId="0" fontId="197" fillId="71" borderId="11" xfId="0" applyFont="1" applyFill="1" applyBorder="1" applyAlignment="1">
      <alignment horizontal="center" vertical="center"/>
    </xf>
    <xf numFmtId="0" fontId="197" fillId="71" borderId="113" xfId="0" applyFont="1" applyFill="1" applyBorder="1" applyAlignment="1">
      <alignment horizontal="center" vertical="center"/>
    </xf>
    <xf numFmtId="0" fontId="194" fillId="71" borderId="1" xfId="0" applyFont="1" applyFill="1" applyBorder="1" applyAlignment="1">
      <alignment horizontal="center" vertical="center"/>
    </xf>
    <xf numFmtId="0" fontId="197" fillId="71" borderId="1" xfId="0" applyFont="1" applyFill="1" applyBorder="1" applyAlignment="1">
      <alignment horizontal="center" vertical="center"/>
    </xf>
    <xf numFmtId="0" fontId="197" fillId="71" borderId="45" xfId="0" applyFont="1" applyFill="1" applyBorder="1" applyAlignment="1">
      <alignment horizontal="center" vertical="center"/>
    </xf>
    <xf numFmtId="0" fontId="124" fillId="0" borderId="95" xfId="0" applyFont="1" applyBorder="1" applyAlignment="1">
      <alignment horizontal="left" vertical="center" wrapText="1"/>
    </xf>
    <xf numFmtId="0" fontId="124" fillId="0" borderId="105" xfId="0" applyFont="1" applyBorder="1" applyAlignment="1">
      <alignment horizontal="left" vertical="center" wrapText="1"/>
    </xf>
    <xf numFmtId="0" fontId="124" fillId="0" borderId="87" xfId="0" applyFont="1" applyBorder="1" applyAlignment="1">
      <alignment horizontal="left" vertical="center" wrapText="1"/>
    </xf>
    <xf numFmtId="0" fontId="124" fillId="0" borderId="89" xfId="0" applyFont="1" applyBorder="1" applyAlignment="1">
      <alignment horizontal="left" vertical="center" wrapText="1"/>
    </xf>
    <xf numFmtId="0" fontId="189" fillId="71" borderId="1" xfId="0" applyFont="1" applyFill="1" applyBorder="1" applyAlignment="1">
      <alignment horizontal="center" vertical="center"/>
    </xf>
    <xf numFmtId="0" fontId="189" fillId="71" borderId="45" xfId="0" applyFont="1" applyFill="1" applyBorder="1" applyAlignment="1">
      <alignment horizontal="center" vertical="center"/>
    </xf>
    <xf numFmtId="0" fontId="190" fillId="71" borderId="11" xfId="0" applyFont="1" applyFill="1" applyBorder="1" applyAlignment="1">
      <alignment horizontal="center" vertical="center"/>
    </xf>
    <xf numFmtId="0" fontId="123" fillId="64" borderId="111" xfId="0" applyFont="1" applyFill="1" applyBorder="1" applyAlignment="1">
      <alignment horizontal="center" vertical="center" wrapText="1"/>
    </xf>
    <xf numFmtId="0" fontId="123" fillId="64" borderId="112" xfId="0" applyFont="1" applyFill="1" applyBorder="1" applyAlignment="1">
      <alignment horizontal="center" vertical="center" wrapText="1"/>
    </xf>
    <xf numFmtId="0" fontId="126" fillId="0" borderId="102" xfId="0" applyFont="1" applyBorder="1"/>
    <xf numFmtId="0" fontId="198" fillId="71" borderId="91" xfId="0" applyFont="1" applyFill="1" applyBorder="1" applyAlignment="1">
      <alignment horizontal="center" vertical="center" wrapText="1"/>
    </xf>
    <xf numFmtId="0" fontId="198" fillId="71" borderId="92" xfId="0" applyFont="1" applyFill="1" applyBorder="1" applyAlignment="1">
      <alignment horizontal="center" vertical="center" wrapText="1"/>
    </xf>
    <xf numFmtId="0" fontId="197" fillId="71" borderId="54" xfId="0" applyFont="1" applyFill="1" applyBorder="1" applyAlignment="1">
      <alignment horizontal="center" vertical="center"/>
    </xf>
    <xf numFmtId="0" fontId="197" fillId="71" borderId="115" xfId="0" applyFont="1" applyFill="1" applyBorder="1" applyAlignment="1">
      <alignment horizontal="center" vertical="center"/>
    </xf>
    <xf numFmtId="0" fontId="123" fillId="64" borderId="21" xfId="0" applyFont="1" applyFill="1" applyBorder="1" applyAlignment="1">
      <alignment horizontal="center" vertical="center" wrapText="1"/>
    </xf>
    <xf numFmtId="0" fontId="123" fillId="64" borderId="23" xfId="0" applyFont="1" applyFill="1" applyBorder="1" applyAlignment="1">
      <alignment horizontal="center" vertical="center" wrapText="1"/>
    </xf>
    <xf numFmtId="0" fontId="198" fillId="71" borderId="114" xfId="0" applyFont="1" applyFill="1" applyBorder="1" applyAlignment="1">
      <alignment horizontal="center" vertical="center" wrapText="1"/>
    </xf>
    <xf numFmtId="0" fontId="198" fillId="71" borderId="116" xfId="0" applyFont="1" applyFill="1" applyBorder="1" applyAlignment="1">
      <alignment horizontal="center" vertical="center" wrapText="1"/>
    </xf>
    <xf numFmtId="0" fontId="200" fillId="71" borderId="91" xfId="0" applyFont="1" applyFill="1" applyBorder="1" applyAlignment="1">
      <alignment horizontal="center" vertical="center" wrapText="1"/>
    </xf>
    <xf numFmtId="0" fontId="200" fillId="71" borderId="92" xfId="0" applyFont="1" applyFill="1" applyBorder="1" applyAlignment="1">
      <alignment horizontal="center" vertical="center" wrapText="1"/>
    </xf>
    <xf numFmtId="0" fontId="130" fillId="64" borderId="87" xfId="0" applyFont="1" applyFill="1" applyBorder="1" applyAlignment="1">
      <alignment horizontal="center" vertical="center"/>
    </xf>
    <xf numFmtId="0" fontId="130" fillId="64" borderId="88" xfId="0" applyFont="1" applyFill="1" applyBorder="1" applyAlignment="1">
      <alignment horizontal="center" vertical="center"/>
    </xf>
    <xf numFmtId="0" fontId="130" fillId="64" borderId="89" xfId="0" applyFont="1" applyFill="1" applyBorder="1" applyAlignment="1">
      <alignment horizontal="center" vertical="center"/>
    </xf>
    <xf numFmtId="0" fontId="139" fillId="71" borderId="45" xfId="1777" applyFont="1" applyFill="1" applyBorder="1" applyAlignment="1">
      <alignment horizontal="center" vertical="center" wrapText="1"/>
    </xf>
    <xf numFmtId="0" fontId="139" fillId="71" borderId="49" xfId="1777" applyFont="1" applyFill="1" applyBorder="1" applyAlignment="1">
      <alignment horizontal="center" vertical="center" wrapText="1"/>
    </xf>
    <xf numFmtId="0" fontId="188" fillId="0" borderId="0" xfId="0" applyFont="1" applyAlignment="1">
      <alignment horizontal="left" vertical="center"/>
    </xf>
    <xf numFmtId="0" fontId="123" fillId="64" borderId="18" xfId="0" applyFont="1" applyFill="1" applyBorder="1" applyAlignment="1">
      <alignment horizontal="center" vertical="center" wrapText="1"/>
    </xf>
    <xf numFmtId="0" fontId="140" fillId="71" borderId="45" xfId="1777" applyFont="1" applyFill="1" applyBorder="1" applyAlignment="1">
      <alignment horizontal="center" vertical="center" wrapText="1"/>
    </xf>
    <xf numFmtId="0" fontId="140" fillId="71" borderId="49" xfId="1777" applyFont="1" applyFill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/>
    </xf>
    <xf numFmtId="0" fontId="0" fillId="57" borderId="45" xfId="0" applyFill="1" applyBorder="1" applyAlignment="1">
      <alignment horizontal="left" vertical="center" wrapText="1"/>
    </xf>
    <xf numFmtId="0" fontId="0" fillId="57" borderId="31" xfId="0" applyFill="1" applyBorder="1" applyAlignment="1">
      <alignment horizontal="left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118" fillId="57" borderId="45" xfId="0" applyFont="1" applyFill="1" applyBorder="1" applyAlignment="1">
      <alignment horizontal="center" vertical="center" wrapText="1"/>
    </xf>
    <xf numFmtId="0" fontId="157" fillId="57" borderId="31" xfId="0" applyFont="1" applyFill="1" applyBorder="1" applyAlignment="1">
      <alignment horizontal="center" vertical="center" wrapText="1"/>
    </xf>
    <xf numFmtId="0" fontId="157" fillId="57" borderId="49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183" fillId="57" borderId="1" xfId="0" applyFont="1" applyFill="1" applyBorder="1" applyAlignment="1">
      <alignment horizontal="center" vertical="center" wrapText="1"/>
    </xf>
    <xf numFmtId="0" fontId="183" fillId="57" borderId="1" xfId="0" applyFont="1" applyFill="1" applyBorder="1" applyAlignment="1">
      <alignment horizontal="center" vertical="center"/>
    </xf>
    <xf numFmtId="0" fontId="191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66" fillId="3" borderId="1" xfId="0" applyFont="1" applyFill="1" applyBorder="1" applyAlignment="1">
      <alignment horizontal="center" vertical="center"/>
    </xf>
    <xf numFmtId="0" fontId="117" fillId="64" borderId="77" xfId="0" applyFont="1" applyFill="1" applyBorder="1" applyAlignment="1">
      <alignment horizontal="center" vertical="center" wrapText="1"/>
    </xf>
    <xf numFmtId="0" fontId="117" fillId="64" borderId="75" xfId="0" applyFont="1" applyFill="1" applyBorder="1" applyAlignment="1">
      <alignment horizontal="center" vertical="center" wrapText="1"/>
    </xf>
    <xf numFmtId="0" fontId="117" fillId="64" borderId="7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120" fillId="68" borderId="1" xfId="0" applyFont="1" applyFill="1" applyBorder="1" applyAlignment="1">
      <alignment horizontal="left" wrapText="1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17" fillId="64" borderId="79" xfId="0" applyFont="1" applyFill="1" applyBorder="1" applyAlignment="1">
      <alignment horizontal="center" vertical="center" wrapText="1"/>
    </xf>
    <xf numFmtId="0" fontId="117" fillId="64" borderId="74" xfId="0" applyFont="1" applyFill="1" applyBorder="1" applyAlignment="1">
      <alignment horizontal="center" vertical="center" wrapText="1"/>
    </xf>
    <xf numFmtId="0" fontId="117" fillId="64" borderId="80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120" fillId="68" borderId="45" xfId="0" applyFont="1" applyFill="1" applyBorder="1" applyAlignment="1">
      <alignment horizontal="left" vertical="center" wrapText="1"/>
    </xf>
    <xf numFmtId="0" fontId="120" fillId="68" borderId="31" xfId="0" applyFont="1" applyFill="1" applyBorder="1" applyAlignment="1">
      <alignment horizontal="left" vertical="center" wrapText="1"/>
    </xf>
    <xf numFmtId="0" fontId="120" fillId="68" borderId="49" xfId="0" applyFont="1" applyFill="1" applyBorder="1" applyAlignment="1">
      <alignment horizontal="left" vertical="center" wrapText="1"/>
    </xf>
    <xf numFmtId="0" fontId="121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9" fillId="68" borderId="1" xfId="0" applyFont="1" applyFill="1" applyBorder="1" applyAlignment="1">
      <alignment horizontal="left" vertical="center" wrapText="1"/>
    </xf>
    <xf numFmtId="0" fontId="130" fillId="64" borderId="45" xfId="0" applyFont="1" applyFill="1" applyBorder="1" applyAlignment="1">
      <alignment horizontal="center" vertical="center" wrapText="1"/>
    </xf>
    <xf numFmtId="0" fontId="130" fillId="64" borderId="31" xfId="0" applyFont="1" applyFill="1" applyBorder="1" applyAlignment="1">
      <alignment horizontal="center" vertical="center" wrapText="1"/>
    </xf>
    <xf numFmtId="0" fontId="130" fillId="64" borderId="49" xfId="0" applyFont="1" applyFill="1" applyBorder="1" applyAlignment="1">
      <alignment horizontal="center" vertical="center" wrapText="1"/>
    </xf>
    <xf numFmtId="0" fontId="123" fillId="64" borderId="103" xfId="0" applyFont="1" applyFill="1" applyBorder="1" applyAlignment="1">
      <alignment horizontal="center" vertical="center" wrapText="1"/>
    </xf>
    <xf numFmtId="0" fontId="123" fillId="64" borderId="104" xfId="0" applyFont="1" applyFill="1" applyBorder="1" applyAlignment="1">
      <alignment horizontal="center" vertical="center" wrapText="1"/>
    </xf>
    <xf numFmtId="0" fontId="183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0" fontId="106" fillId="3" borderId="50" xfId="0" applyFont="1" applyFill="1" applyBorder="1" applyAlignment="1">
      <alignment horizontal="center" vertical="center"/>
    </xf>
    <xf numFmtId="0" fontId="180" fillId="3" borderId="1" xfId="0" applyFont="1" applyFill="1" applyBorder="1" applyAlignment="1">
      <alignment horizontal="center" vertical="center"/>
    </xf>
    <xf numFmtId="207" fontId="110" fillId="3" borderId="97" xfId="0" applyNumberFormat="1" applyFont="1" applyFill="1" applyBorder="1" applyAlignment="1">
      <alignment horizontal="center" vertical="center"/>
    </xf>
    <xf numFmtId="207" fontId="110" fillId="3" borderId="98" xfId="0" applyNumberFormat="1" applyFont="1" applyFill="1" applyBorder="1" applyAlignment="1">
      <alignment horizontal="center" vertical="center"/>
    </xf>
    <xf numFmtId="207" fontId="110" fillId="3" borderId="99" xfId="0" applyNumberFormat="1" applyFont="1" applyFill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87" fillId="0" borderId="42" xfId="0" applyFont="1" applyBorder="1" applyAlignment="1">
      <alignment horizontal="center" vertical="center"/>
    </xf>
    <xf numFmtId="0" fontId="135" fillId="0" borderId="12" xfId="0" applyFont="1" applyBorder="1" applyAlignment="1">
      <alignment horizontal="center"/>
    </xf>
    <xf numFmtId="0" fontId="135" fillId="0" borderId="18" xfId="0" applyFont="1" applyBorder="1" applyAlignment="1">
      <alignment horizontal="center"/>
    </xf>
    <xf numFmtId="0" fontId="87" fillId="0" borderId="1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15" fontId="82" fillId="0" borderId="0" xfId="0" applyNumberFormat="1" applyFont="1" applyAlignment="1">
      <alignment horizontal="center" vertical="center" wrapText="1"/>
    </xf>
    <xf numFmtId="0" fontId="87" fillId="3" borderId="21" xfId="0" applyFont="1" applyFill="1" applyBorder="1" applyAlignment="1">
      <alignment horizontal="left" vertical="center"/>
    </xf>
    <xf numFmtId="0" fontId="87" fillId="3" borderId="22" xfId="0" applyFont="1" applyFill="1" applyBorder="1" applyAlignment="1">
      <alignment horizontal="left" vertical="center"/>
    </xf>
    <xf numFmtId="0" fontId="87" fillId="3" borderId="23" xfId="0" applyFont="1" applyFill="1" applyBorder="1" applyAlignment="1">
      <alignment horizontal="left" vertical="center"/>
    </xf>
    <xf numFmtId="0" fontId="87" fillId="0" borderId="58" xfId="0" applyFont="1" applyBorder="1" applyAlignment="1">
      <alignment horizontal="left" vertical="center"/>
    </xf>
    <xf numFmtId="0" fontId="87" fillId="0" borderId="59" xfId="0" applyFont="1" applyBorder="1" applyAlignment="1">
      <alignment horizontal="left" vertical="center"/>
    </xf>
    <xf numFmtId="0" fontId="87" fillId="0" borderId="60" xfId="0" applyFont="1" applyBorder="1" applyAlignment="1">
      <alignment horizontal="left" vertical="center"/>
    </xf>
    <xf numFmtId="0" fontId="87" fillId="67" borderId="59" xfId="0" applyFont="1" applyFill="1" applyBorder="1" applyAlignment="1">
      <alignment horizontal="center" vertical="center"/>
    </xf>
    <xf numFmtId="0" fontId="87" fillId="67" borderId="60" xfId="0" applyFont="1" applyFill="1" applyBorder="1" applyAlignment="1">
      <alignment horizontal="center" vertical="center"/>
    </xf>
    <xf numFmtId="0" fontId="87" fillId="0" borderId="51" xfId="0" applyFont="1" applyBorder="1" applyAlignment="1">
      <alignment horizontal="center" vertical="center"/>
    </xf>
    <xf numFmtId="207" fontId="109" fillId="3" borderId="71" xfId="0" applyNumberFormat="1" applyFont="1" applyFill="1" applyBorder="1" applyAlignment="1">
      <alignment horizontal="center" vertical="center"/>
    </xf>
    <xf numFmtId="207" fontId="110" fillId="3" borderId="71" xfId="0" applyNumberFormat="1" applyFont="1" applyFill="1" applyBorder="1" applyAlignment="1">
      <alignment horizontal="center" vertical="center"/>
    </xf>
    <xf numFmtId="0" fontId="113" fillId="3" borderId="0" xfId="0" applyFont="1" applyFill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1" fillId="0" borderId="18" xfId="217" applyFont="1" applyBorder="1" applyAlignment="1">
      <alignment horizontal="center" vertical="center"/>
    </xf>
    <xf numFmtId="0" fontId="113" fillId="3" borderId="0" xfId="0" applyFont="1" applyFill="1" applyAlignment="1">
      <alignment horizontal="right" vertical="center"/>
    </xf>
    <xf numFmtId="0" fontId="113" fillId="0" borderId="19" xfId="0" applyFont="1" applyBorder="1" applyAlignment="1">
      <alignment horizontal="center" vertical="center"/>
    </xf>
    <xf numFmtId="0" fontId="100" fillId="58" borderId="12" xfId="0" applyFont="1" applyFill="1" applyBorder="1" applyAlignment="1">
      <alignment horizontal="center"/>
    </xf>
    <xf numFmtId="0" fontId="100" fillId="58" borderId="18" xfId="0" applyFont="1" applyFill="1" applyBorder="1" applyAlignment="1">
      <alignment horizontal="center"/>
    </xf>
    <xf numFmtId="0" fontId="100" fillId="58" borderId="13" xfId="0" applyFont="1" applyFill="1" applyBorder="1" applyAlignment="1">
      <alignment horizontal="center"/>
    </xf>
    <xf numFmtId="207" fontId="109" fillId="0" borderId="71" xfId="0" applyNumberFormat="1" applyFont="1" applyBorder="1" applyAlignment="1">
      <alignment horizontal="center" vertical="center"/>
    </xf>
    <xf numFmtId="207" fontId="109" fillId="0" borderId="72" xfId="0" applyNumberFormat="1" applyFont="1" applyBorder="1" applyAlignment="1">
      <alignment horizontal="center" vertical="center"/>
    </xf>
    <xf numFmtId="0" fontId="89" fillId="3" borderId="0" xfId="0" applyFont="1" applyFill="1" applyAlignment="1">
      <alignment horizontal="right" vertical="center"/>
    </xf>
    <xf numFmtId="207" fontId="109" fillId="3" borderId="0" xfId="0" applyNumberFormat="1" applyFont="1" applyFill="1" applyAlignment="1">
      <alignment horizontal="center" vertical="center"/>
    </xf>
    <xf numFmtId="206" fontId="109" fillId="3" borderId="71" xfId="0" applyNumberFormat="1" applyFont="1" applyFill="1" applyBorder="1" applyAlignment="1">
      <alignment horizontal="center" vertical="center"/>
    </xf>
    <xf numFmtId="0" fontId="1" fillId="0" borderId="0" xfId="261" applyAlignment="1">
      <alignment horizontal="left"/>
    </xf>
    <xf numFmtId="0" fontId="1" fillId="0" borderId="69" xfId="261" applyBorder="1" applyAlignment="1">
      <alignment horizontal="left"/>
    </xf>
    <xf numFmtId="0" fontId="114" fillId="3" borderId="0" xfId="0" applyFont="1" applyFill="1" applyAlignment="1">
      <alignment horizontal="left" vertical="center"/>
    </xf>
    <xf numFmtId="0" fontId="108" fillId="0" borderId="0" xfId="0" applyFont="1" applyAlignment="1">
      <alignment horizontal="left" vertical="center" wrapText="1"/>
    </xf>
    <xf numFmtId="0" fontId="113" fillId="3" borderId="19" xfId="0" applyFont="1" applyFill="1" applyBorder="1" applyAlignment="1">
      <alignment horizontal="right" vertical="top"/>
    </xf>
    <xf numFmtId="0" fontId="114" fillId="3" borderId="0" xfId="0" applyFont="1" applyFill="1" applyAlignment="1">
      <alignment horizontal="center" vertical="center"/>
    </xf>
    <xf numFmtId="207" fontId="110" fillId="3" borderId="100" xfId="0" applyNumberFormat="1" applyFont="1" applyFill="1" applyBorder="1" applyAlignment="1">
      <alignment horizontal="center" vertical="center"/>
    </xf>
    <xf numFmtId="207" fontId="110" fillId="3" borderId="0" xfId="0" applyNumberFormat="1" applyFont="1" applyFill="1" applyAlignment="1">
      <alignment horizontal="center" vertical="center"/>
    </xf>
    <xf numFmtId="0" fontId="98" fillId="0" borderId="16" xfId="0" applyFont="1" applyBorder="1" applyAlignment="1">
      <alignment horizontal="center" vertical="center"/>
    </xf>
    <xf numFmtId="0" fontId="98" fillId="0" borderId="19" xfId="0" applyFont="1" applyBorder="1" applyAlignment="1">
      <alignment horizontal="center" vertical="center"/>
    </xf>
    <xf numFmtId="0" fontId="98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textRotation="90"/>
    </xf>
    <xf numFmtId="0" fontId="16" fillId="0" borderId="48" xfId="0" applyFont="1" applyBorder="1" applyAlignment="1">
      <alignment horizontal="center" vertical="center" textRotation="90"/>
    </xf>
    <xf numFmtId="0" fontId="16" fillId="0" borderId="47" xfId="0" applyFont="1" applyBorder="1" applyAlignment="1">
      <alignment horizontal="center" vertical="center" textRotation="90"/>
    </xf>
    <xf numFmtId="0" fontId="96" fillId="0" borderId="41" xfId="0" applyFont="1" applyBorder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7" fillId="57" borderId="1" xfId="0" quotePrefix="1" applyFont="1" applyFill="1" applyBorder="1" applyAlignment="1">
      <alignment horizontal="center" vertical="center"/>
    </xf>
    <xf numFmtId="0" fontId="87" fillId="57" borderId="1" xfId="0" applyFont="1" applyFill="1" applyBorder="1" applyAlignment="1">
      <alignment horizontal="center" vertical="center"/>
    </xf>
    <xf numFmtId="0" fontId="171" fillId="0" borderId="41" xfId="0" applyFont="1" applyBorder="1" applyAlignment="1">
      <alignment horizontal="center" vertical="center" wrapText="1"/>
    </xf>
    <xf numFmtId="0" fontId="171" fillId="0" borderId="11" xfId="0" applyFont="1" applyBorder="1" applyAlignment="1">
      <alignment horizontal="center" vertical="center" wrapText="1"/>
    </xf>
    <xf numFmtId="0" fontId="169" fillId="74" borderId="6" xfId="0" applyFont="1" applyFill="1" applyBorder="1" applyAlignment="1">
      <alignment horizontal="center" vertical="center" wrapText="1"/>
    </xf>
    <xf numFmtId="0" fontId="169" fillId="74" borderId="1" xfId="0" applyFont="1" applyFill="1" applyBorder="1" applyAlignment="1">
      <alignment horizontal="center" vertical="center" wrapText="1"/>
    </xf>
    <xf numFmtId="0" fontId="170" fillId="74" borderId="43" xfId="0" applyFont="1" applyFill="1" applyBorder="1" applyAlignment="1">
      <alignment horizontal="center" vertical="center" wrapText="1"/>
    </xf>
    <xf numFmtId="0" fontId="170" fillId="74" borderId="4" xfId="0" applyFont="1" applyFill="1" applyBorder="1" applyAlignment="1">
      <alignment horizontal="center" vertical="center" wrapText="1"/>
    </xf>
    <xf numFmtId="0" fontId="106" fillId="74" borderId="7" xfId="0" applyFont="1" applyFill="1" applyBorder="1" applyAlignment="1">
      <alignment horizontal="center" vertical="center"/>
    </xf>
    <xf numFmtId="0" fontId="106" fillId="74" borderId="10" xfId="0" applyFont="1" applyFill="1" applyBorder="1" applyAlignment="1">
      <alignment horizontal="center" vertical="center"/>
    </xf>
    <xf numFmtId="0" fontId="106" fillId="74" borderId="8" xfId="0" applyFont="1" applyFill="1" applyBorder="1" applyAlignment="1">
      <alignment horizontal="center" vertical="center"/>
    </xf>
    <xf numFmtId="0" fontId="169" fillId="74" borderId="9" xfId="0" applyFont="1" applyFill="1" applyBorder="1" applyAlignment="1">
      <alignment horizontal="center" vertical="center" wrapText="1"/>
    </xf>
    <xf numFmtId="0" fontId="148" fillId="0" borderId="54" xfId="1777" applyFont="1" applyBorder="1" applyAlignment="1">
      <alignment horizontal="center" vertical="center"/>
    </xf>
    <xf numFmtId="0" fontId="148" fillId="0" borderId="53" xfId="1777" applyFont="1" applyBorder="1" applyAlignment="1">
      <alignment horizontal="center" vertical="center"/>
    </xf>
    <xf numFmtId="0" fontId="148" fillId="0" borderId="91" xfId="1777" applyFont="1" applyBorder="1" applyAlignment="1">
      <alignment horizontal="left" vertical="center" wrapText="1"/>
    </xf>
    <xf numFmtId="0" fontId="148" fillId="0" borderId="31" xfId="1777" applyFont="1" applyBorder="1" applyAlignment="1">
      <alignment horizontal="left" vertical="center" wrapText="1"/>
    </xf>
    <xf numFmtId="0" fontId="148" fillId="0" borderId="49" xfId="1777" applyFont="1" applyBorder="1" applyAlignment="1">
      <alignment horizontal="left" vertical="center" wrapText="1"/>
    </xf>
    <xf numFmtId="0" fontId="156" fillId="74" borderId="21" xfId="219" applyFont="1" applyFill="1" applyBorder="1" applyAlignment="1" applyProtection="1">
      <alignment horizontal="center" vertical="center" wrapText="1"/>
      <protection locked="0"/>
    </xf>
    <xf numFmtId="0" fontId="156" fillId="74" borderId="22" xfId="219" applyFont="1" applyFill="1" applyBorder="1" applyAlignment="1" applyProtection="1">
      <alignment horizontal="center" vertical="center" wrapText="1"/>
      <protection locked="0"/>
    </xf>
    <xf numFmtId="0" fontId="156" fillId="74" borderId="23" xfId="219" applyFont="1" applyFill="1" applyBorder="1" applyAlignment="1" applyProtection="1">
      <alignment horizontal="center" vertical="center" wrapText="1"/>
      <protection locked="0"/>
    </xf>
    <xf numFmtId="0" fontId="106" fillId="0" borderId="63" xfId="0" applyFont="1" applyBorder="1" applyAlignment="1">
      <alignment horizontal="center" vertical="center"/>
    </xf>
    <xf numFmtId="0" fontId="106" fillId="0" borderId="25" xfId="0" applyFont="1" applyBorder="1" applyAlignment="1">
      <alignment horizontal="center" vertical="center"/>
    </xf>
    <xf numFmtId="0" fontId="106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8" fontId="4" fillId="0" borderId="56" xfId="0" applyNumberFormat="1" applyFont="1" applyBorder="1" applyAlignment="1">
      <alignment horizontal="center" vertical="center" wrapText="1"/>
    </xf>
    <xf numFmtId="168" fontId="4" fillId="0" borderId="51" xfId="0" applyNumberFormat="1" applyFont="1" applyBorder="1" applyAlignment="1">
      <alignment horizontal="center" vertical="center" wrapText="1"/>
    </xf>
    <xf numFmtId="0" fontId="106" fillId="0" borderId="52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50" xr:uid="{00000000-0005-0000-0000-0000B9030000}"/>
    <cellStyle name="Comma 11 3" xfId="2349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1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2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3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4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5" xr:uid="{00000000-0005-0000-0000-0000CA030000}"/>
    <cellStyle name="Comma 16 3" xfId="1052" xr:uid="{00000000-0005-0000-0000-0000CB030000}"/>
    <cellStyle name="Comma 16 3 2" xfId="2356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7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8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9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60" xr:uid="{00000000-0005-0000-0000-0000D8030000}"/>
    <cellStyle name="Comma 2 11" xfId="1060" xr:uid="{00000000-0005-0000-0000-0000D9030000}"/>
    <cellStyle name="Comma 2 11 2" xfId="2361" xr:uid="{00000000-0005-0000-0000-0000DA030000}"/>
    <cellStyle name="Comma 2 12" xfId="1061" xr:uid="{00000000-0005-0000-0000-0000DB030000}"/>
    <cellStyle name="Comma 2 12 2" xfId="2362" xr:uid="{00000000-0005-0000-0000-0000DC030000}"/>
    <cellStyle name="Comma 2 13" xfId="1062" xr:uid="{00000000-0005-0000-0000-0000DD030000}"/>
    <cellStyle name="Comma 2 13 2" xfId="2363" xr:uid="{00000000-0005-0000-0000-0000DE030000}"/>
    <cellStyle name="Comma 2 14" xfId="1063" xr:uid="{00000000-0005-0000-0000-0000DF030000}"/>
    <cellStyle name="Comma 2 14 2" xfId="2364" xr:uid="{00000000-0005-0000-0000-0000E0030000}"/>
    <cellStyle name="Comma 2 15" xfId="1064" xr:uid="{00000000-0005-0000-0000-0000E1030000}"/>
    <cellStyle name="Comma 2 15 2" xfId="2365" xr:uid="{00000000-0005-0000-0000-0000E2030000}"/>
    <cellStyle name="Comma 2 16" xfId="1065" xr:uid="{00000000-0005-0000-0000-0000E3030000}"/>
    <cellStyle name="Comma 2 16 2" xfId="2366" xr:uid="{00000000-0005-0000-0000-0000E4030000}"/>
    <cellStyle name="Comma 2 17" xfId="1066" xr:uid="{00000000-0005-0000-0000-0000E5030000}"/>
    <cellStyle name="Comma 2 17 2" xfId="2367" xr:uid="{00000000-0005-0000-0000-0000E6030000}"/>
    <cellStyle name="Comma 2 18" xfId="1067" xr:uid="{00000000-0005-0000-0000-0000E7030000}"/>
    <cellStyle name="Comma 2 18 2" xfId="2368" xr:uid="{00000000-0005-0000-0000-0000E8030000}"/>
    <cellStyle name="Comma 2 19" xfId="1068" xr:uid="{00000000-0005-0000-0000-0000E9030000}"/>
    <cellStyle name="Comma 2 19 2" xfId="2369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70" xr:uid="{00000000-0005-0000-0000-0000EE030000}"/>
    <cellStyle name="Comma 2 2 2 3" xfId="2343" xr:uid="{00000000-0005-0000-0000-0000EF030000}"/>
    <cellStyle name="Comma 2 2 3" xfId="1070" xr:uid="{00000000-0005-0000-0000-0000F0030000}"/>
    <cellStyle name="Comma 2 2 3 2" xfId="2371" xr:uid="{00000000-0005-0000-0000-0000F1030000}"/>
    <cellStyle name="Comma 2 2 4" xfId="2342" xr:uid="{00000000-0005-0000-0000-0000F2030000}"/>
    <cellStyle name="Comma 2 20" xfId="1071" xr:uid="{00000000-0005-0000-0000-0000F3030000}"/>
    <cellStyle name="Comma 2 20 2" xfId="2372" xr:uid="{00000000-0005-0000-0000-0000F4030000}"/>
    <cellStyle name="Comma 2 21" xfId="1072" xr:uid="{00000000-0005-0000-0000-0000F5030000}"/>
    <cellStyle name="Comma 2 21 2" xfId="2373" xr:uid="{00000000-0005-0000-0000-0000F6030000}"/>
    <cellStyle name="Comma 2 22" xfId="1073" xr:uid="{00000000-0005-0000-0000-0000F7030000}"/>
    <cellStyle name="Comma 2 22 2" xfId="2374" xr:uid="{00000000-0005-0000-0000-0000F8030000}"/>
    <cellStyle name="Comma 2 23" xfId="1074" xr:uid="{00000000-0005-0000-0000-0000F9030000}"/>
    <cellStyle name="Comma 2 23 2" xfId="2375" xr:uid="{00000000-0005-0000-0000-0000FA030000}"/>
    <cellStyle name="Comma 2 24" xfId="1075" xr:uid="{00000000-0005-0000-0000-0000FB030000}"/>
    <cellStyle name="Comma 2 24 2" xfId="2376" xr:uid="{00000000-0005-0000-0000-0000FC030000}"/>
    <cellStyle name="Comma 2 25" xfId="1076" xr:uid="{00000000-0005-0000-0000-0000FD030000}"/>
    <cellStyle name="Comma 2 25 2" xfId="2377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8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9" xr:uid="{00000000-0005-0000-0000-000006040000}"/>
    <cellStyle name="Comma 2 5 3" xfId="1083" xr:uid="{00000000-0005-0000-0000-000007040000}"/>
    <cellStyle name="Comma 2 5 3 2" xfId="2380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1" xr:uid="{00000000-0005-0000-0000-00000B040000}"/>
    <cellStyle name="Comma 2 6 3" xfId="1086" xr:uid="{00000000-0005-0000-0000-00000C040000}"/>
    <cellStyle name="Comma 2 6 3 2" xfId="2382" xr:uid="{00000000-0005-0000-0000-00000D040000}"/>
    <cellStyle name="Comma 2 7" xfId="1087" xr:uid="{00000000-0005-0000-0000-00000E040000}"/>
    <cellStyle name="Comma 2 7 2" xfId="2383" xr:uid="{00000000-0005-0000-0000-00000F040000}"/>
    <cellStyle name="Comma 2 8" xfId="1088" xr:uid="{00000000-0005-0000-0000-000010040000}"/>
    <cellStyle name="Comma 2 8 2" xfId="2384" xr:uid="{00000000-0005-0000-0000-000011040000}"/>
    <cellStyle name="Comma 2 9" xfId="1089" xr:uid="{00000000-0005-0000-0000-000012040000}"/>
    <cellStyle name="Comma 2 9 2" xfId="2385" xr:uid="{00000000-0005-0000-0000-000013040000}"/>
    <cellStyle name="Comma 2_765KV Final Tower Schedule 27.05.2013" xfId="1090" xr:uid="{00000000-0005-0000-0000-000014040000}"/>
    <cellStyle name="Comma 20" xfId="2341" xr:uid="{00000000-0005-0000-0000-000015040000}"/>
    <cellStyle name="Comma 20 2" xfId="2422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6" xr:uid="{00000000-0005-0000-0000-00001A040000}"/>
    <cellStyle name="Comma 3 11" xfId="1093" xr:uid="{00000000-0005-0000-0000-00001B040000}"/>
    <cellStyle name="Comma 3 11 2" xfId="2387" xr:uid="{00000000-0005-0000-0000-00001C040000}"/>
    <cellStyle name="Comma 3 12" xfId="1094" xr:uid="{00000000-0005-0000-0000-00001D040000}"/>
    <cellStyle name="Comma 3 12 2" xfId="2388" xr:uid="{00000000-0005-0000-0000-00001E040000}"/>
    <cellStyle name="Comma 3 13" xfId="2344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9" xr:uid="{00000000-0005-0000-0000-000023040000}"/>
    <cellStyle name="Comma 3 2 2 3" xfId="2346" xr:uid="{00000000-0005-0000-0000-000024040000}"/>
    <cellStyle name="Comma 3 2 3" xfId="1096" xr:uid="{00000000-0005-0000-0000-000025040000}"/>
    <cellStyle name="Comma 3 2 3 2" xfId="2390" xr:uid="{00000000-0005-0000-0000-000026040000}"/>
    <cellStyle name="Comma 3 2 4" xfId="1097" xr:uid="{00000000-0005-0000-0000-000027040000}"/>
    <cellStyle name="Comma 3 2 4 2" xfId="2391" xr:uid="{00000000-0005-0000-0000-000028040000}"/>
    <cellStyle name="Comma 3 2 5" xfId="2345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2" xr:uid="{00000000-0005-0000-0000-00002C040000}"/>
    <cellStyle name="Comma 3 3 3" xfId="1099" xr:uid="{00000000-0005-0000-0000-00002D040000}"/>
    <cellStyle name="Comma 3 3 3 2" xfId="2393" xr:uid="{00000000-0005-0000-0000-00002E040000}"/>
    <cellStyle name="Comma 3 3 4" xfId="2347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4" xr:uid="{00000000-0005-0000-0000-000032040000}"/>
    <cellStyle name="Comma 3 4 3" xfId="1102" xr:uid="{00000000-0005-0000-0000-000033040000}"/>
    <cellStyle name="Comma 3 4 3 2" xfId="2395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6" xr:uid="{00000000-0005-0000-0000-000037040000}"/>
    <cellStyle name="Comma 3 5 3" xfId="1105" xr:uid="{00000000-0005-0000-0000-000038040000}"/>
    <cellStyle name="Comma 3 5 3 2" xfId="2397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8" xr:uid="{00000000-0005-0000-0000-00003C040000}"/>
    <cellStyle name="Comma 3 6 3" xfId="1108" xr:uid="{00000000-0005-0000-0000-00003D040000}"/>
    <cellStyle name="Comma 3 6 3 2" xfId="2399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400" xr:uid="{00000000-0005-0000-0000-000041040000}"/>
    <cellStyle name="Comma 3 7 3" xfId="1111" xr:uid="{00000000-0005-0000-0000-000042040000}"/>
    <cellStyle name="Comma 3 7 3 2" xfId="2401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2" xr:uid="{00000000-0005-0000-0000-000046040000}"/>
    <cellStyle name="Comma 3 8 3" xfId="1114" xr:uid="{00000000-0005-0000-0000-000047040000}"/>
    <cellStyle name="Comma 3 8 3 2" xfId="2403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4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6" xr:uid="{00000000-0005-0000-0000-000050040000}"/>
    <cellStyle name="Comma 4 3" xfId="1121" xr:uid="{00000000-0005-0000-0000-000051040000}"/>
    <cellStyle name="Comma 4 4" xfId="2405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7" xr:uid="{00000000-0005-0000-0000-000056040000}"/>
    <cellStyle name="Comma 5 3" xfId="1124" xr:uid="{00000000-0005-0000-0000-000057040000}"/>
    <cellStyle name="Comma 5 3 2" xfId="2408" xr:uid="{00000000-0005-0000-0000-000058040000}"/>
    <cellStyle name="Comma 5 4" xfId="2348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9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10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1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2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3" xr:uid="{00000000-0005-0000-0000-000069040000}"/>
    <cellStyle name="Comma 6 7" xfId="1136" xr:uid="{00000000-0005-0000-0000-00006A040000}"/>
    <cellStyle name="Comma 6 7 2" xfId="2414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5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6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7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8" xr:uid="{00000000-0005-0000-0000-000078040000}"/>
    <cellStyle name="Comma 7 6" xfId="1146" xr:uid="{00000000-0005-0000-0000-000079040000}"/>
    <cellStyle name="Comma 7 6 2" xfId="2419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20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1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" xfId="2340" builtinId="26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DB41F620-9F1D-4250-9D5D-E3EAF1BB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372782" y="3489426"/>
          <a:ext cx="624521" cy="30285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15</xdr:row>
      <xdr:rowOff>78147</xdr:rowOff>
    </xdr:from>
    <xdr:to>
      <xdr:col>11</xdr:col>
      <xdr:colOff>0</xdr:colOff>
      <xdr:row>16</xdr:row>
      <xdr:rowOff>192447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00572" y="17259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8813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00572" y="307852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442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8813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100572" y="443107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3197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8538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7581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09773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73197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11878124" y="6822416"/>
          <a:ext cx="620951" cy="26965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4429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259" name="Line 327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 flipH="1">
          <a:off x="7043928" y="2616403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261" name="Line 327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 flipH="1">
          <a:off x="7079361" y="2619070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263" name="AutoShape 30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Arrowheads="1"/>
        </xdr:cNvSpPr>
      </xdr:nvSpPr>
      <xdr:spPr bwMode="auto">
        <a:xfrm rot="7084349">
          <a:off x="2591967" y="26859235"/>
          <a:ext cx="308152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267" name="Line 318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10687050" y="233457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268" name="Line 318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0696575" y="23488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269" name="Line 31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10687050" y="234219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270" name="Line 305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 flipH="1">
          <a:off x="10696575" y="233267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271" name="Line 305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 flipH="1">
          <a:off x="10877550" y="233267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86" y="25905793"/>
          <a:ext cx="319569" cy="48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273" name="Parallelogram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/>
      </xdr:nvSpPr>
      <xdr:spPr>
        <a:xfrm rot="1440000">
          <a:off x="10102443" y="27114875"/>
          <a:ext cx="193194" cy="3523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CxnSpPr/>
      </xdr:nvCxnSpPr>
      <xdr:spPr>
        <a:xfrm flipH="1">
          <a:off x="10093625" y="27140911"/>
          <a:ext cx="196693" cy="31235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>
          <a:off x="3662172" y="22376172"/>
          <a:ext cx="605028" cy="255228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276" name="Isosceles Triangl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/>
      </xdr:nvSpPr>
      <xdr:spPr>
        <a:xfrm>
          <a:off x="4881372" y="223761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277" name="Isosceles Triangle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6100572" y="223761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563501</xdr:colOff>
      <xdr:row>15</xdr:row>
      <xdr:rowOff>69287</xdr:rowOff>
    </xdr:from>
    <xdr:to>
      <xdr:col>2</xdr:col>
      <xdr:colOff>600118</xdr:colOff>
      <xdr:row>16</xdr:row>
      <xdr:rowOff>170502</xdr:rowOff>
    </xdr:to>
    <xdr:sp macro="" textlink="">
      <xdr:nvSpPr>
        <xdr:cNvPr id="281" name="Isosceles Triangl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/>
      </xdr:nvSpPr>
      <xdr:spPr>
        <a:xfrm>
          <a:off x="563501" y="3480566"/>
          <a:ext cx="621408" cy="305006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282" name="Isosceles Triangl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1838689" y="3489426"/>
          <a:ext cx="624521" cy="3028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283" name="Isosceles Triangl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3105736" y="3489426"/>
          <a:ext cx="624521" cy="299041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285" name="Curved Down Ribbon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/>
      </xdr:nvSpPr>
      <xdr:spPr>
        <a:xfrm>
          <a:off x="6828865" y="226426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286" name="Isosceles Triangl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10363200" y="22298025"/>
          <a:ext cx="609261" cy="257175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287" name="Isosceles Triangl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10363200" y="228123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288" name="Curved Right Arrow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10567308" y="22907625"/>
          <a:ext cx="149679" cy="153760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289" name="Flowchart: Connector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6340928" y="2247355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CxnSpPr>
          <a:endCxn id="277" idx="5"/>
        </xdr:cNvCxnSpPr>
      </xdr:nvCxnSpPr>
      <xdr:spPr>
        <a:xfrm flipH="1">
          <a:off x="6556385" y="223932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314" name="Curved Right Arrow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/>
      </xdr:nvSpPr>
      <xdr:spPr>
        <a:xfrm>
          <a:off x="8503593" y="422153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315" name="Curved Right Arrow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/>
      </xdr:nvSpPr>
      <xdr:spPr>
        <a:xfrm>
          <a:off x="8653272" y="423664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316" name="Curved Right Arrow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/>
      </xdr:nvSpPr>
      <xdr:spPr>
        <a:xfrm>
          <a:off x="8805672" y="425174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621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11" name="Isosceles Triangle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/>
      </xdr:nvSpPr>
      <xdr:spPr>
        <a:xfrm>
          <a:off x="9376035" y="11620812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/>
      </xdr:nvSpPr>
      <xdr:spPr>
        <a:xfrm>
          <a:off x="11930758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515" name="Isosceles Triangle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/>
      </xdr:nvSpPr>
      <xdr:spPr>
        <a:xfrm>
          <a:off x="4890897" y="12386829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586" name="Line 327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ShapeType="1"/>
        </xdr:cNvSpPr>
      </xdr:nvSpPr>
      <xdr:spPr bwMode="auto">
        <a:xfrm flipH="1">
          <a:off x="7013546" y="26030019"/>
          <a:ext cx="266700" cy="3527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588" name="Line 32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ShapeType="1"/>
        </xdr:cNvSpPr>
      </xdr:nvSpPr>
      <xdr:spPr bwMode="auto">
        <a:xfrm flipH="1">
          <a:off x="7118985" y="26224230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591" name="AutoShape 41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rrowheads="1"/>
        </xdr:cNvSpPr>
      </xdr:nvSpPr>
      <xdr:spPr bwMode="auto">
        <a:xfrm rot="7297720">
          <a:off x="4498861" y="26832338"/>
          <a:ext cx="385288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594" name="Line 318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10687050" y="232314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595" name="Line 318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10696575" y="23374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596" name="Line 318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10687050" y="23307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597" name="Line 30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ShapeType="1"/>
        </xdr:cNvSpPr>
      </xdr:nvSpPr>
      <xdr:spPr bwMode="auto">
        <a:xfrm flipH="1">
          <a:off x="10696575" y="232124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598" name="Line 305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ShapeType="1"/>
        </xdr:cNvSpPr>
      </xdr:nvSpPr>
      <xdr:spPr bwMode="auto">
        <a:xfrm flipH="1">
          <a:off x="10877550" y="232124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602" name="Isosceles Triangle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/>
      </xdr:nvSpPr>
      <xdr:spPr>
        <a:xfrm>
          <a:off x="3801872" y="24843147"/>
          <a:ext cx="60502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603" name="Isosceles Triangle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/>
      </xdr:nvSpPr>
      <xdr:spPr>
        <a:xfrm>
          <a:off x="4881372" y="222618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604" name="Isosceles Triangle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/>
      </xdr:nvSpPr>
      <xdr:spPr>
        <a:xfrm>
          <a:off x="6100572" y="222618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611" name="Curved Down Ribbon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/>
      </xdr:nvSpPr>
      <xdr:spPr>
        <a:xfrm>
          <a:off x="6955865" y="251318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/>
      </xdr:nvSpPr>
      <xdr:spPr>
        <a:xfrm>
          <a:off x="10363200" y="22183725"/>
          <a:ext cx="609261" cy="257175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/>
      </xdr:nvSpPr>
      <xdr:spPr>
        <a:xfrm>
          <a:off x="10363200" y="226980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614" name="Curved Right Arrow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/>
      </xdr:nvSpPr>
      <xdr:spPr>
        <a:xfrm>
          <a:off x="10707008" y="25380950"/>
          <a:ext cx="149679" cy="15058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615" name="Flowchart: Connector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/>
      </xdr:nvSpPr>
      <xdr:spPr>
        <a:xfrm>
          <a:off x="6480628" y="2493100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616" name="Straight Arrow Connector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CxnSpPr>
          <a:endCxn id="604" idx="5"/>
        </xdr:cNvCxnSpPr>
      </xdr:nvCxnSpPr>
      <xdr:spPr>
        <a:xfrm flipH="1">
          <a:off x="6556385" y="222789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622" name="Curved Right Arrow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/>
      </xdr:nvSpPr>
      <xdr:spPr>
        <a:xfrm>
          <a:off x="8503593" y="421010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623" name="Curved Right Arrow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/>
      </xdr:nvSpPr>
      <xdr:spPr>
        <a:xfrm>
          <a:off x="8653272" y="422521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624" name="Curved Right Arrow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/>
      </xdr:nvSpPr>
      <xdr:spPr>
        <a:xfrm>
          <a:off x="8805672" y="424031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654" name="Flowchart: Connector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/>
      </xdr:nvSpPr>
      <xdr:spPr>
        <a:xfrm>
          <a:off x="7584280" y="1238250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661" name="Straight Arrow Connector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CxnSpPr/>
      </xdr:nvCxnSpPr>
      <xdr:spPr>
        <a:xfrm flipH="1" flipV="1">
          <a:off x="582706" y="2955131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689" name="Straight Arrow Connector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CxnSpPr/>
      </xdr:nvCxnSpPr>
      <xdr:spPr>
        <a:xfrm flipV="1">
          <a:off x="2967318" y="2966898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694" name="Straight Arrow Connector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CxnSpPr/>
      </xdr:nvCxnSpPr>
      <xdr:spPr>
        <a:xfrm>
          <a:off x="2178424" y="4643718"/>
          <a:ext cx="4015693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702" name="Straight Arrow Connector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CxnSpPr/>
      </xdr:nvCxnSpPr>
      <xdr:spPr>
        <a:xfrm flipH="1" flipV="1">
          <a:off x="582705" y="6621554"/>
          <a:ext cx="2662519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703" name="Straight Arrow Connector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CxnSpPr/>
      </xdr:nvCxnSpPr>
      <xdr:spPr>
        <a:xfrm flipV="1">
          <a:off x="4190159" y="6615953"/>
          <a:ext cx="2623017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704" name="Straight Arrow Connector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CxnSpPr/>
      </xdr:nvCxnSpPr>
      <xdr:spPr>
        <a:xfrm>
          <a:off x="585646" y="8200836"/>
          <a:ext cx="1189366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705" name="Straight Arrow Connector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CxnSpPr/>
      </xdr:nvCxnSpPr>
      <xdr:spPr>
        <a:xfrm flipH="1">
          <a:off x="1921389" y="8184776"/>
          <a:ext cx="2731293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706" name="Straight Arrow Connector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CxnSpPr/>
      </xdr:nvCxnSpPr>
      <xdr:spPr>
        <a:xfrm flipV="1">
          <a:off x="2250269" y="9843247"/>
          <a:ext cx="574624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747" name="Isosceles Triangle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/>
      </xdr:nvSpPr>
      <xdr:spPr>
        <a:xfrm>
          <a:off x="8120418" y="11623629"/>
          <a:ext cx="602647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760" name="Isosceles Triangle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/>
      </xdr:nvSpPr>
      <xdr:spPr>
        <a:xfrm>
          <a:off x="1851837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761" name="Isosceles Triangle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/>
      </xdr:nvSpPr>
      <xdr:spPr>
        <a:xfrm>
          <a:off x="3667125" y="15478128"/>
          <a:ext cx="602646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762" name="Isosceles Triangle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/>
      </xdr:nvSpPr>
      <xdr:spPr>
        <a:xfrm>
          <a:off x="437707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763" name="Isosceles Triangle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/>
      </xdr:nvSpPr>
      <xdr:spPr>
        <a:xfrm>
          <a:off x="5635256" y="16856594"/>
          <a:ext cx="602646" cy="33448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764" name="Isosceles Triangle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/>
      </xdr:nvSpPr>
      <xdr:spPr>
        <a:xfrm>
          <a:off x="6893442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765" name="Isosceles Triangle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/>
      </xdr:nvSpPr>
      <xdr:spPr>
        <a:xfrm>
          <a:off x="8160488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767" name="Isosceles Triangle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/>
      </xdr:nvSpPr>
      <xdr:spPr>
        <a:xfrm>
          <a:off x="9409814" y="16858975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769" name="Isosceles Triangle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/>
      </xdr:nvSpPr>
      <xdr:spPr>
        <a:xfrm>
          <a:off x="1066800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771" name="Isosceles Triangle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/>
      </xdr:nvSpPr>
      <xdr:spPr>
        <a:xfrm>
          <a:off x="584791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772" name="Isosceles Triangle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/>
      </xdr:nvSpPr>
      <xdr:spPr>
        <a:xfrm>
          <a:off x="1851837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774" name="Isosceles Triangle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/>
      </xdr:nvSpPr>
      <xdr:spPr>
        <a:xfrm>
          <a:off x="437707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775" name="Isosceles Triangle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/>
      </xdr:nvSpPr>
      <xdr:spPr>
        <a:xfrm>
          <a:off x="6108700" y="17065627"/>
          <a:ext cx="602646" cy="26035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776" name="Isosceles Triangle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/>
      </xdr:nvSpPr>
      <xdr:spPr>
        <a:xfrm>
          <a:off x="6893442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777" name="Isosceles Triangle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/>
      </xdr:nvSpPr>
      <xdr:spPr>
        <a:xfrm>
          <a:off x="8151628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778" name="Isosceles Triangle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/>
      </xdr:nvSpPr>
      <xdr:spPr>
        <a:xfrm>
          <a:off x="9409814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779" name="Isosceles Triangle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/>
      </xdr:nvSpPr>
      <xdr:spPr>
        <a:xfrm>
          <a:off x="1066800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780" name="Isosceles Triangle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/>
      </xdr:nvSpPr>
      <xdr:spPr>
        <a:xfrm>
          <a:off x="11926186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781" name="Isosceles Triangle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/>
      </xdr:nvSpPr>
      <xdr:spPr>
        <a:xfrm>
          <a:off x="584791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782" name="Isosceles Triangle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/>
      </xdr:nvSpPr>
      <xdr:spPr>
        <a:xfrm>
          <a:off x="1857375" y="18789654"/>
          <a:ext cx="602646" cy="35718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783" name="Isosceles Triangle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/>
      </xdr:nvSpPr>
      <xdr:spPr>
        <a:xfrm>
          <a:off x="3118884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784" name="Isosceles Triangle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/>
      </xdr:nvSpPr>
      <xdr:spPr>
        <a:xfrm>
          <a:off x="4377070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785" name="Isosceles Triangle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/>
      </xdr:nvSpPr>
      <xdr:spPr>
        <a:xfrm>
          <a:off x="5635256" y="20542548"/>
          <a:ext cx="602646" cy="352203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786" name="Isosceles Triangle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/>
      </xdr:nvSpPr>
      <xdr:spPr>
        <a:xfrm>
          <a:off x="7298531" y="17716503"/>
          <a:ext cx="602646" cy="26193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787" name="Isosceles Triangle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/>
      </xdr:nvSpPr>
      <xdr:spPr>
        <a:xfrm>
          <a:off x="8143875" y="185991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789" name="Isosceles Triangle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/>
      </xdr:nvSpPr>
      <xdr:spPr>
        <a:xfrm>
          <a:off x="10668000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790" name="Isosceles Triangle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/>
      </xdr:nvSpPr>
      <xdr:spPr>
        <a:xfrm>
          <a:off x="11884096" y="20030413"/>
          <a:ext cx="621669" cy="346363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806" name="Isosceles Triangle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/>
      </xdr:nvSpPr>
      <xdr:spPr>
        <a:xfrm>
          <a:off x="6893442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404" name="Straight Arrow Connector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CxnSpPr/>
      </xdr:nvCxnSpPr>
      <xdr:spPr>
        <a:xfrm flipH="1" flipV="1">
          <a:off x="528918" y="11786676"/>
          <a:ext cx="1210235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CxnSpPr/>
      </xdr:nvCxnSpPr>
      <xdr:spPr>
        <a:xfrm>
          <a:off x="2017059" y="13482918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409" name="Straight Arrow Connector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CxnSpPr/>
      </xdr:nvCxnSpPr>
      <xdr:spPr>
        <a:xfrm flipV="1">
          <a:off x="2342092" y="15204141"/>
          <a:ext cx="569028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CxnSpPr/>
      </xdr:nvCxnSpPr>
      <xdr:spPr>
        <a:xfrm flipV="1">
          <a:off x="8232425" y="15186212"/>
          <a:ext cx="3699599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CxnSpPr/>
      </xdr:nvCxnSpPr>
      <xdr:spPr>
        <a:xfrm flipV="1">
          <a:off x="6302188" y="16975649"/>
          <a:ext cx="1717548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416" name="Straight Arrow Connector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/>
      </xdr:nvCxnSpPr>
      <xdr:spPr>
        <a:xfrm flipH="1" flipV="1">
          <a:off x="8256495" y="16973502"/>
          <a:ext cx="3245223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CxnSpPr/>
      </xdr:nvCxnSpPr>
      <xdr:spPr>
        <a:xfrm>
          <a:off x="605046" y="18716390"/>
          <a:ext cx="3590436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CxnSpPr/>
      </xdr:nvCxnSpPr>
      <xdr:spPr>
        <a:xfrm flipH="1">
          <a:off x="4495778" y="18718306"/>
          <a:ext cx="7095587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421" name="Straight Arrow Connector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CxnSpPr/>
      </xdr:nvCxnSpPr>
      <xdr:spPr>
        <a:xfrm flipH="1">
          <a:off x="3227166" y="20735365"/>
          <a:ext cx="8211799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CxnSpPr/>
      </xdr:nvCxnSpPr>
      <xdr:spPr>
        <a:xfrm flipV="1">
          <a:off x="580786" y="22608988"/>
          <a:ext cx="2278955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424" name="Straight Arrow Connector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CxnSpPr/>
      </xdr:nvCxnSpPr>
      <xdr:spPr>
        <a:xfrm flipH="1">
          <a:off x="3206322" y="22617953"/>
          <a:ext cx="4279207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/>
      </xdr:nvCxnSpPr>
      <xdr:spPr>
        <a:xfrm flipV="1">
          <a:off x="2111814" y="25580163"/>
          <a:ext cx="10975093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434" name="Lightning Bolt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/>
      </xdr:nvSpPr>
      <xdr:spPr>
        <a:xfrm>
          <a:off x="7127211" y="25427762"/>
          <a:ext cx="151477" cy="5278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436" name="AutoShape 10733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Arrowheads="1"/>
        </xdr:cNvSpPr>
      </xdr:nvSpPr>
      <xdr:spPr bwMode="auto">
        <a:xfrm rot="5400000">
          <a:off x="9994866" y="26722372"/>
          <a:ext cx="52903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440" name="Lightning Bolt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/>
      </xdr:nvSpPr>
      <xdr:spPr>
        <a:xfrm>
          <a:off x="7143452" y="26799977"/>
          <a:ext cx="125801" cy="578114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468" name="AutoShape 10733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rrowheads="1"/>
        </xdr:cNvSpPr>
      </xdr:nvSpPr>
      <xdr:spPr bwMode="auto">
        <a:xfrm rot="5400000">
          <a:off x="11506573" y="16960849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25" name="Parallelogram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/>
      </xdr:nvSpPr>
      <xdr:spPr>
        <a:xfrm rot="1440000">
          <a:off x="7628564" y="17682240"/>
          <a:ext cx="193194" cy="348036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CxnSpPr/>
      </xdr:nvCxnSpPr>
      <xdr:spPr>
        <a:xfrm flipH="1">
          <a:off x="7576020" y="17194358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30" name="AutoShape 301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rrowheads="1"/>
        </xdr:cNvSpPr>
      </xdr:nvSpPr>
      <xdr:spPr bwMode="auto">
        <a:xfrm rot="7084349">
          <a:off x="1953855" y="11368445"/>
          <a:ext cx="29860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32" name="AutoShape 410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rrowheads="1"/>
        </xdr:cNvSpPr>
      </xdr:nvSpPr>
      <xdr:spPr bwMode="auto">
        <a:xfrm rot="7297720">
          <a:off x="4968179" y="25791221"/>
          <a:ext cx="37429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34" name="Picture 11597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084" y="26452052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38" name="Picture 1159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2175" y="24999950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41" name="Lightning Bolt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/>
      </xdr:nvSpPr>
      <xdr:spPr>
        <a:xfrm>
          <a:off x="9398000" y="1828800"/>
          <a:ext cx="125801" cy="5625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49" name="Picture 11597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09" y="348882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57" name="Picture 11597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352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8" name="Picture 1159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97100" y="48894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74" name="Picture 11597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2136" y="34901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79" name="Picture 11597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3453" y="5599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81" name="Picture 11597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497" y="560615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625" name="Picture 11597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83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626" name="Picture 11597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172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672" name="Picture 11597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03900" y="1282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673" name="Picture 11597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91179" y="1233051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674" name="Picture 11597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021" y="123426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678" name="Picture 1159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06317" y="131728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679" name="Picture 11597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194" y="13196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686" name="Picture 11597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12801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687" name="Picture 11597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8000" y="12788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692" name="Picture 11597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3900" y="144018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714" name="Picture 11597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14452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742" name="Picture 11597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336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811" name="Picture 11597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346" y="1677296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830" name="Picture 11597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57040" y="158552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832" name="Picture 11597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59639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833" name="Picture 11597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04200" y="159766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836" name="Picture 11597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58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840" name="Picture 11597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1388" y="167946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841" name="Picture 11597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6153" y="1769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845" name="Picture 11597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48417" y="184045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847" name="Picture 11597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6400" y="1733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851" name="Picture 11597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0714" y="195745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852" name="Picture 11597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8719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862" name="Picture 11597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9488" y="2049331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864" name="Picture 11597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823700" y="18694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865" name="Picture 11597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06154" y="196808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866" name="Picture 11597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4334" y="196917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868" name="Picture 1159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107" y="214373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874" name="Picture 11597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270" y="214213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875" name="Picture 11597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8519" y="2143346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878" name="Picture 1159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019" y="213177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879" name="Picture 11597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07328" y="2141249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880" name="Picture 11597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652" y="2131888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885" name="Picture 11597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7210" y="232944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889" name="Picture 11597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3402" y="2338860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1052" name="Isosceles Triangle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/>
      </xdr:nvSpPr>
      <xdr:spPr>
        <a:xfrm>
          <a:off x="11926186" y="7111409"/>
          <a:ext cx="605028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1054" name="Isosceles Triangle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/>
      </xdr:nvSpPr>
      <xdr:spPr>
        <a:xfrm>
          <a:off x="1219200" y="3073400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/>
      </xdr:nvSpPr>
      <xdr:spPr>
        <a:xfrm>
          <a:off x="3116239" y="3316216"/>
          <a:ext cx="605028" cy="31134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582" name="Isosceles Triangle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/>
      </xdr:nvSpPr>
      <xdr:spPr>
        <a:xfrm>
          <a:off x="3192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599" name="Isosceles Triangle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/>
      </xdr:nvSpPr>
      <xdr:spPr>
        <a:xfrm>
          <a:off x="43973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19" name="Isosceles Triangle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20" name="Isosceles Triangle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/>
      </xdr:nvSpPr>
      <xdr:spPr>
        <a:xfrm>
          <a:off x="8156200" y="7113356"/>
          <a:ext cx="624521" cy="28264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8" name="Isosceles Triangle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49" name="Isosceles Triangle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60" name="Isosceles Triangle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64" name="Isosceles Triangle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/>
      </xdr:nvSpPr>
      <xdr:spPr>
        <a:xfrm>
          <a:off x="3143251" y="5310190"/>
          <a:ext cx="605028" cy="26193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70" name="Isosceles Triangle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81" name="Isosceles Triangle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82" name="Isosceles Triangle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/>
      </xdr:nvSpPr>
      <xdr:spPr>
        <a:xfrm>
          <a:off x="6905626" y="5302252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84" name="Isosceles Triangle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709" name="Isosceles Triangle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710" name="Isosceles Triangle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/>
      </xdr:nvSpPr>
      <xdr:spPr>
        <a:xfrm>
          <a:off x="94138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6" name="Isosceles Triangle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7" name="Isosceles Triangle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8" name="Isosceles Triangle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719" name="Isosceles Triangle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/>
      </xdr:nvSpPr>
      <xdr:spPr>
        <a:xfrm>
          <a:off x="59140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1" name="Isosceles Triangle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2" name="Isosceles Triangle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3" name="Isosceles Triangle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724" name="Isosceles Triangle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/>
      </xdr:nvSpPr>
      <xdr:spPr>
        <a:xfrm>
          <a:off x="1853821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6" name="Isosceles Triangle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7" name="Isosceles Triangle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8" name="Isosceles Triangle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731" name="Isosceles Triangle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/>
      </xdr:nvSpPr>
      <xdr:spPr>
        <a:xfrm>
          <a:off x="3116239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8" name="Isosceles Triangle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9" name="Isosceles Triangle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43" name="Isosceles Triangle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855" name="Isosceles Triangle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/>
      </xdr:nvSpPr>
      <xdr:spPr>
        <a:xfrm>
          <a:off x="561832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0" name="Isosceles Triangle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1" name="Isosceles Triangle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2" name="Isosceles Triangle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913" name="Isosceles Triangle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/>
      </xdr:nvSpPr>
      <xdr:spPr>
        <a:xfrm>
          <a:off x="686937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5" name="Isosceles Triangle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6" name="Isosceles Triangle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7" name="Isosceles Triangle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918" name="Isosceles Triangle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/>
      </xdr:nvSpPr>
      <xdr:spPr>
        <a:xfrm>
          <a:off x="812041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0" name="Isosceles Triangle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1" name="Isosceles Triangle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2" name="Isosceles Triangle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923" name="Isosceles Triangle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/>
      </xdr:nvSpPr>
      <xdr:spPr>
        <a:xfrm>
          <a:off x="9371463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5" name="Isosceles Triangle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6" name="Isosceles Triangle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7" name="Isosceles Triangle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625521</xdr:colOff>
      <xdr:row>53</xdr:row>
      <xdr:rowOff>86246</xdr:rowOff>
    </xdr:from>
    <xdr:to>
      <xdr:col>14</xdr:col>
      <xdr:colOff>614148</xdr:colOff>
      <xdr:row>54</xdr:row>
      <xdr:rowOff>193343</xdr:rowOff>
    </xdr:to>
    <xdr:sp macro="" textlink="">
      <xdr:nvSpPr>
        <xdr:cNvPr id="928" name="Isosceles Triangle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/>
      </xdr:nvSpPr>
      <xdr:spPr>
        <a:xfrm>
          <a:off x="8120417" y="8400007"/>
          <a:ext cx="614149" cy="27769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0" name="Isosceles Triangle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1" name="Isosceles Triangle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2" name="Isosceles Triangle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933" name="Isosceles Triangle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/>
      </xdr:nvSpPr>
      <xdr:spPr>
        <a:xfrm>
          <a:off x="9392094" y="10213759"/>
          <a:ext cx="651839" cy="306127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5" name="Isosceles Triangle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6" name="Isosceles Triangle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7" name="Isosceles Triangle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938" name="Isosceles Triangle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/>
      </xdr:nvSpPr>
      <xdr:spPr>
        <a:xfrm>
          <a:off x="10655568" y="10231479"/>
          <a:ext cx="655410" cy="27293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0" name="Isosceles Triangle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1" name="Isosceles Triangle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2" name="Isosceles Triangle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943" name="Isosceles Triangle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/>
      </xdr:nvSpPr>
      <xdr:spPr>
        <a:xfrm>
          <a:off x="3110022" y="10222618"/>
          <a:ext cx="655675" cy="29475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947" name="Isosceles Triangle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/>
      </xdr:nvSpPr>
      <xdr:spPr>
        <a:xfrm>
          <a:off x="4381642" y="11801595"/>
          <a:ext cx="624521" cy="263599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949" name="Isosceles Triangle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/>
      </xdr:nvSpPr>
      <xdr:spPr>
        <a:xfrm>
          <a:off x="1856409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951" name="Isosceles Triangle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/>
      </xdr:nvSpPr>
      <xdr:spPr>
        <a:xfrm>
          <a:off x="563096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953" name="Isosceles Triangle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/>
      </xdr:nvSpPr>
      <xdr:spPr>
        <a:xfrm>
          <a:off x="6889154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955" name="Isosceles Triangle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/>
      </xdr:nvSpPr>
      <xdr:spPr>
        <a:xfrm>
          <a:off x="8156200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957" name="Isosceles Triangle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/>
      </xdr:nvSpPr>
      <xdr:spPr>
        <a:xfrm>
          <a:off x="9414386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959" name="Isosceles Triangle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/>
      </xdr:nvSpPr>
      <xdr:spPr>
        <a:xfrm>
          <a:off x="10672572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961" name="Isosceles Triangle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/>
      </xdr:nvSpPr>
      <xdr:spPr>
        <a:xfrm>
          <a:off x="1193075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61479</xdr:rowOff>
    </xdr:from>
    <xdr:to>
      <xdr:col>3</xdr:col>
      <xdr:colOff>0</xdr:colOff>
      <xdr:row>73</xdr:row>
      <xdr:rowOff>156729</xdr:rowOff>
    </xdr:to>
    <xdr:sp macro="" textlink="">
      <xdr:nvSpPr>
        <xdr:cNvPr id="963" name="Isosceles Triangle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965" name="Isosceles Triangle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967" name="Isosceles Triangle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969" name="Isosceles Triangle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971" name="Isosceles Triangle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15945</xdr:colOff>
      <xdr:row>81</xdr:row>
      <xdr:rowOff>61479</xdr:rowOff>
    </xdr:from>
    <xdr:to>
      <xdr:col>3</xdr:col>
      <xdr:colOff>11373</xdr:colOff>
      <xdr:row>82</xdr:row>
      <xdr:rowOff>156729</xdr:rowOff>
    </xdr:to>
    <xdr:sp macro="" textlink="">
      <xdr:nvSpPr>
        <xdr:cNvPr id="973" name="Isosceles Triangle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/>
      </xdr:nvSpPr>
      <xdr:spPr>
        <a:xfrm>
          <a:off x="607348" y="13299807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975" name="Isosceles Triangle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/>
      </xdr:nvSpPr>
      <xdr:spPr>
        <a:xfrm>
          <a:off x="10672572" y="15170288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977" name="Isosceles Triangle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/>
      </xdr:nvSpPr>
      <xdr:spPr>
        <a:xfrm>
          <a:off x="8156200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979" name="Isosceles Triangle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/>
      </xdr:nvSpPr>
      <xdr:spPr>
        <a:xfrm>
          <a:off x="6898014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981" name="Isosceles Triangle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/>
      </xdr:nvSpPr>
      <xdr:spPr>
        <a:xfrm>
          <a:off x="11926186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983" name="Isosceles Triangle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/>
      </xdr:nvSpPr>
      <xdr:spPr>
        <a:xfrm>
          <a:off x="584791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985" name="Isosceles Triangle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/>
      </xdr:nvSpPr>
      <xdr:spPr>
        <a:xfrm>
          <a:off x="741172" y="142854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987" name="Isosceles Triangle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/>
      </xdr:nvSpPr>
      <xdr:spPr>
        <a:xfrm>
          <a:off x="1851837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988" name="Isosceles Triangle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/>
      </xdr:nvSpPr>
      <xdr:spPr>
        <a:xfrm>
          <a:off x="584791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989" name="Isosceles Triangle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/>
      </xdr:nvSpPr>
      <xdr:spPr>
        <a:xfrm>
          <a:off x="5635256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990" name="Isosceles Triangle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/>
      </xdr:nvSpPr>
      <xdr:spPr>
        <a:xfrm>
          <a:off x="6893442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991" name="Isosceles Triangle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73951</xdr:rowOff>
    </xdr:from>
    <xdr:to>
      <xdr:col>8</xdr:col>
      <xdr:colOff>602646</xdr:colOff>
      <xdr:row>118</xdr:row>
      <xdr:rowOff>169201</xdr:rowOff>
    </xdr:to>
    <xdr:sp macro="" textlink="">
      <xdr:nvSpPr>
        <xdr:cNvPr id="992" name="Isosceles Triangle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/>
      </xdr:nvSpPr>
      <xdr:spPr>
        <a:xfrm>
          <a:off x="4377070" y="2238460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994" name="Isosceles Triangle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995" name="Isosceles Triangle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/>
      </xdr:nvSpPr>
      <xdr:spPr>
        <a:xfrm>
          <a:off x="3135313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997" name="Isosceles Triangle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998" name="Isosceles Triangle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/>
      </xdr:nvSpPr>
      <xdr:spPr>
        <a:xfrm>
          <a:off x="3118884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1000" name="Isosceles Triangle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1001" name="Isosceles Triangle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/>
      </xdr:nvSpPr>
      <xdr:spPr>
        <a:xfrm>
          <a:off x="1842976" y="24153628"/>
          <a:ext cx="637954" cy="37213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1003" name="Isosceles Triangle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1004" name="Isosceles Triangle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/>
      </xdr:nvSpPr>
      <xdr:spPr>
        <a:xfrm>
          <a:off x="584791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1006" name="Isosceles Triangle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1007" name="Isosceles Triangle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/>
      </xdr:nvSpPr>
      <xdr:spPr>
        <a:xfrm>
          <a:off x="9408892" y="2237574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1009" name="Isosceles Triangle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1010" name="Isosceles Triangle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/>
      </xdr:nvSpPr>
      <xdr:spPr>
        <a:xfrm>
          <a:off x="10668000" y="22376664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1012" name="Isosceles Triangle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1013" name="Isosceles Triangle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/>
      </xdr:nvSpPr>
      <xdr:spPr>
        <a:xfrm>
          <a:off x="11906250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617" name="Isosceles Triangle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737" name="Isosceles Triangle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738" name="Isosceles Triangle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/>
      </xdr:nvSpPr>
      <xdr:spPr>
        <a:xfrm>
          <a:off x="1851837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741" name="Isosceles Triangle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/>
      </xdr:nvSpPr>
      <xdr:spPr>
        <a:xfrm>
          <a:off x="8151628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749" name="Isosceles Triangle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/>
      </xdr:nvSpPr>
      <xdr:spPr>
        <a:xfrm>
          <a:off x="4377070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1032" name="Isosceles Triangle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/>
      </xdr:nvSpPr>
      <xdr:spPr>
        <a:xfrm>
          <a:off x="5630672" y="79013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750" name="Straight Arrow Connector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CxnSpPr/>
      </xdr:nvCxnSpPr>
      <xdr:spPr>
        <a:xfrm flipV="1">
          <a:off x="6006353" y="8157135"/>
          <a:ext cx="3276002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00" name="Straight Arrow Connector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CxnSpPr/>
      </xdr:nvCxnSpPr>
      <xdr:spPr>
        <a:xfrm flipH="1">
          <a:off x="9393517" y="8139953"/>
          <a:ext cx="3461871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13" name="Isosceles Triangle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/>
      </xdr:nvSpPr>
      <xdr:spPr>
        <a:xfrm>
          <a:off x="3118884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14" name="Isosceles Triangle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/>
      </xdr:nvSpPr>
      <xdr:spPr>
        <a:xfrm>
          <a:off x="4377070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4" name="Isosceles Triangle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/>
      </xdr:nvSpPr>
      <xdr:spPr>
        <a:xfrm>
          <a:off x="2049272" y="7952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1045" name="Isosceles Triangle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/>
      </xdr:nvSpPr>
      <xdr:spPr>
        <a:xfrm>
          <a:off x="5635256" y="15173106"/>
          <a:ext cx="602646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754" name="Isosceles Triangle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1047" name="Isosceles Triangle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48" name="Isosceles Triangle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56" name="Isosceles Triangle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1059" name="Isosceles Triangle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/>
      </xdr:nvSpPr>
      <xdr:spPr>
        <a:xfrm>
          <a:off x="1851837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1060" name="Isosceles Triangle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/>
      </xdr:nvSpPr>
      <xdr:spPr>
        <a:xfrm>
          <a:off x="940981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1061" name="Isosceles Triangle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/>
      </xdr:nvSpPr>
      <xdr:spPr>
        <a:xfrm>
          <a:off x="5635256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01" name="Isosceles Triangle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1049" name="Isosceles Triangle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/>
      </xdr:nvSpPr>
      <xdr:spPr>
        <a:xfrm>
          <a:off x="11926186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68394</xdr:rowOff>
    </xdr:from>
    <xdr:to>
      <xdr:col>2</xdr:col>
      <xdr:colOff>602647</xdr:colOff>
      <xdr:row>64</xdr:row>
      <xdr:rowOff>163644</xdr:rowOff>
    </xdr:to>
    <xdr:sp macro="" textlink="">
      <xdr:nvSpPr>
        <xdr:cNvPr id="1057" name="Isosceles Triangle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/>
      </xdr:nvSpPr>
      <xdr:spPr>
        <a:xfrm>
          <a:off x="584791" y="11799650"/>
          <a:ext cx="602647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22" name="Isosceles Triangle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1090" name="Isosceles Triangle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1091" name="Isosceles Triangle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/>
      </xdr:nvSpPr>
      <xdr:spPr>
        <a:xfrm>
          <a:off x="9409814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29" name="Isosceles Triangle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30" name="Isosceles Triangle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15" name="Isosceles Triangle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/>
      </xdr:nvSpPr>
      <xdr:spPr>
        <a:xfrm>
          <a:off x="3118884" y="11808510"/>
          <a:ext cx="602647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1051" name="Isosceles Triangle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/>
      </xdr:nvSpPr>
      <xdr:spPr>
        <a:xfrm>
          <a:off x="311888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1136" name="Isosceles Triangle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/>
      </xdr:nvSpPr>
      <xdr:spPr>
        <a:xfrm>
          <a:off x="10668000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1166" name="Isosceles Triangle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/>
      </xdr:nvSpPr>
      <xdr:spPr>
        <a:xfrm>
          <a:off x="1807972" y="7926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1212" name="Isosceles Triangle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/>
      </xdr:nvSpPr>
      <xdr:spPr>
        <a:xfrm>
          <a:off x="66974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1213" name="Isosceles Triangle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/>
      </xdr:nvSpPr>
      <xdr:spPr>
        <a:xfrm>
          <a:off x="580503" y="7104496"/>
          <a:ext cx="624521" cy="28264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1167" name="Isosceles Triangle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/>
      </xdr:nvSpPr>
      <xdr:spPr>
        <a:xfrm>
          <a:off x="79166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1168" name="Isosceles Triangle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/>
      </xdr:nvSpPr>
      <xdr:spPr>
        <a:xfrm>
          <a:off x="6870192" y="1640247"/>
          <a:ext cx="620268" cy="2667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5FC5D646-D420-45A0-B4CF-B333423ACCCA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354A2B38-49B4-486D-97E7-2F6BBBDED058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EA7FB7A2-4CC5-4C9E-95D1-70E3705B9B0B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336B2E27-87B3-4A91-A12F-4F2EDF07BF4E}"/>
            </a:ext>
          </a:extLst>
        </xdr:cNvPr>
        <xdr:cNvSpPr/>
      </xdr:nvSpPr>
      <xdr:spPr>
        <a:xfrm>
          <a:off x="11931474" y="10231479"/>
          <a:ext cx="617720" cy="27293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id="{6D791661-500F-469C-AACD-C3540B115E67}"/>
            </a:ext>
          </a:extLst>
        </xdr:cNvPr>
        <xdr:cNvSpPr/>
      </xdr:nvSpPr>
      <xdr:spPr>
        <a:xfrm>
          <a:off x="1459606" y="1878168"/>
          <a:ext cx="125801" cy="58237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9" name="Picture 11597">
          <a:extLst>
            <a:ext uri="{FF2B5EF4-FFF2-40B4-BE49-F238E27FC236}">
              <a16:creationId xmlns:a16="http://schemas.microsoft.com/office/drawing/2014/main" id="{D022ABB2-2109-4E43-860C-51D707B8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5208" y="1919377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10" name="Picture 11597">
          <a:extLst>
            <a:ext uri="{FF2B5EF4-FFF2-40B4-BE49-F238E27FC236}">
              <a16:creationId xmlns:a16="http://schemas.microsoft.com/office/drawing/2014/main" id="{766EF3AB-1B38-452A-87D0-24CA9FA0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96" y="1926566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16" name="Picture 11597">
          <a:extLst>
            <a:ext uri="{FF2B5EF4-FFF2-40B4-BE49-F238E27FC236}">
              <a16:creationId xmlns:a16="http://schemas.microsoft.com/office/drawing/2014/main" id="{1FCD848B-AC63-43E5-95D4-E7790107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694" y="3129483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18" name="Picture 11597">
          <a:extLst>
            <a:ext uri="{FF2B5EF4-FFF2-40B4-BE49-F238E27FC236}">
              <a16:creationId xmlns:a16="http://schemas.microsoft.com/office/drawing/2014/main" id="{C13E1F78-AFDE-4613-A9C2-2C51A27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3555" y="3120710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19" name="Picture 11597">
          <a:extLst>
            <a:ext uri="{FF2B5EF4-FFF2-40B4-BE49-F238E27FC236}">
              <a16:creationId xmlns:a16="http://schemas.microsoft.com/office/drawing/2014/main" id="{5E71901B-5CEA-4EEE-B528-91D77310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6970" y="18939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21" name="Picture 11597">
          <a:extLst>
            <a:ext uri="{FF2B5EF4-FFF2-40B4-BE49-F238E27FC236}">
              <a16:creationId xmlns:a16="http://schemas.microsoft.com/office/drawing/2014/main" id="{BB2D530E-2756-4967-812B-CB3B42AE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276" y="189791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1C27C4B-6D9A-4DDA-8BF6-73F9CE97B6C4}"/>
            </a:ext>
          </a:extLst>
        </xdr:cNvPr>
        <xdr:cNvCxnSpPr/>
      </xdr:nvCxnSpPr>
      <xdr:spPr>
        <a:xfrm flipH="1">
          <a:off x="9950388" y="2027068"/>
          <a:ext cx="244136" cy="37464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31" name="Parallelogram 30">
          <a:extLst>
            <a:ext uri="{FF2B5EF4-FFF2-40B4-BE49-F238E27FC236}">
              <a16:creationId xmlns:a16="http://schemas.microsoft.com/office/drawing/2014/main" id="{03C36B52-6A62-4756-A2F3-B0944E7A3974}"/>
            </a:ext>
          </a:extLst>
        </xdr:cNvPr>
        <xdr:cNvSpPr/>
      </xdr:nvSpPr>
      <xdr:spPr>
        <a:xfrm rot="1440000">
          <a:off x="10222071" y="1925867"/>
          <a:ext cx="156475" cy="31081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69937D5-A1AF-43E1-8AC4-180AA6C92AFE}"/>
            </a:ext>
          </a:extLst>
        </xdr:cNvPr>
        <xdr:cNvCxnSpPr/>
      </xdr:nvCxnSpPr>
      <xdr:spPr>
        <a:xfrm flipH="1">
          <a:off x="10203179" y="1919569"/>
          <a:ext cx="196693" cy="30369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33" name="Picture 11597">
          <a:extLst>
            <a:ext uri="{FF2B5EF4-FFF2-40B4-BE49-F238E27FC236}">
              <a16:creationId xmlns:a16="http://schemas.microsoft.com/office/drawing/2014/main" id="{59533524-5A81-4086-A77B-F4C63860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380" y="190185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35" name="AutoShape 10733">
          <a:extLst>
            <a:ext uri="{FF2B5EF4-FFF2-40B4-BE49-F238E27FC236}">
              <a16:creationId xmlns:a16="http://schemas.microsoft.com/office/drawing/2014/main" id="{5E106205-6944-4B1F-8784-9CF1E54B5C24}"/>
            </a:ext>
          </a:extLst>
        </xdr:cNvPr>
        <xdr:cNvSpPr>
          <a:spLocks noChangeArrowheads="1"/>
        </xdr:cNvSpPr>
      </xdr:nvSpPr>
      <xdr:spPr bwMode="auto">
        <a:xfrm rot="5400000" flipV="1">
          <a:off x="1333731" y="3730462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37" name="AutoShape 301">
          <a:extLst>
            <a:ext uri="{FF2B5EF4-FFF2-40B4-BE49-F238E27FC236}">
              <a16:creationId xmlns:a16="http://schemas.microsoft.com/office/drawing/2014/main" id="{E97DEE6F-6898-4C1C-8320-8D016F188F5F}"/>
            </a:ext>
          </a:extLst>
        </xdr:cNvPr>
        <xdr:cNvSpPr>
          <a:spLocks noChangeArrowheads="1"/>
        </xdr:cNvSpPr>
      </xdr:nvSpPr>
      <xdr:spPr bwMode="auto">
        <a:xfrm rot="7084349">
          <a:off x="2852811" y="3652529"/>
          <a:ext cx="24201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40" name="AutoShape 10733">
          <a:extLst>
            <a:ext uri="{FF2B5EF4-FFF2-40B4-BE49-F238E27FC236}">
              <a16:creationId xmlns:a16="http://schemas.microsoft.com/office/drawing/2014/main" id="{A1164028-4E10-4E8D-B9A0-DA9DB1114EBF}"/>
            </a:ext>
          </a:extLst>
        </xdr:cNvPr>
        <xdr:cNvSpPr>
          <a:spLocks noChangeArrowheads="1"/>
        </xdr:cNvSpPr>
      </xdr:nvSpPr>
      <xdr:spPr bwMode="auto">
        <a:xfrm rot="5400000" flipV="1">
          <a:off x="6118859" y="374305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41" name="AutoShape 301">
          <a:extLst>
            <a:ext uri="{FF2B5EF4-FFF2-40B4-BE49-F238E27FC236}">
              <a16:creationId xmlns:a16="http://schemas.microsoft.com/office/drawing/2014/main" id="{45499746-DDFB-4E37-9E7A-97FC40D9C33A}"/>
            </a:ext>
          </a:extLst>
        </xdr:cNvPr>
        <xdr:cNvSpPr>
          <a:spLocks noChangeArrowheads="1"/>
        </xdr:cNvSpPr>
      </xdr:nvSpPr>
      <xdr:spPr bwMode="auto">
        <a:xfrm rot="7084349">
          <a:off x="1291026" y="572441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42" name="AutoShape 301">
          <a:extLst>
            <a:ext uri="{FF2B5EF4-FFF2-40B4-BE49-F238E27FC236}">
              <a16:creationId xmlns:a16="http://schemas.microsoft.com/office/drawing/2014/main" id="{50605345-D82C-4F9E-AD71-6AF5382BB81A}"/>
            </a:ext>
          </a:extLst>
        </xdr:cNvPr>
        <xdr:cNvSpPr>
          <a:spLocks noChangeArrowheads="1"/>
        </xdr:cNvSpPr>
      </xdr:nvSpPr>
      <xdr:spPr bwMode="auto">
        <a:xfrm rot="7084349">
          <a:off x="2667140" y="574603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45" name="Picture 11597">
          <a:extLst>
            <a:ext uri="{FF2B5EF4-FFF2-40B4-BE49-F238E27FC236}">
              <a16:creationId xmlns:a16="http://schemas.microsoft.com/office/drawing/2014/main" id="{7E5BF54F-7183-4F93-B9CE-DA0EDEF0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8892" y="56110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46" name="Picture 11597">
          <a:extLst>
            <a:ext uri="{FF2B5EF4-FFF2-40B4-BE49-F238E27FC236}">
              <a16:creationId xmlns:a16="http://schemas.microsoft.com/office/drawing/2014/main" id="{35D6E91E-23D6-47C9-8F1E-085291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61784" y="677731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47" name="Picture 11597">
          <a:extLst>
            <a:ext uri="{FF2B5EF4-FFF2-40B4-BE49-F238E27FC236}">
              <a16:creationId xmlns:a16="http://schemas.microsoft.com/office/drawing/2014/main" id="{20C618D0-BD42-407C-9435-87584142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331" y="561109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48" name="AutoShape 10733">
          <a:extLst>
            <a:ext uri="{FF2B5EF4-FFF2-40B4-BE49-F238E27FC236}">
              <a16:creationId xmlns:a16="http://schemas.microsoft.com/office/drawing/2014/main" id="{2276FC81-3CC3-4CCA-9467-4BE1861A4E6F}"/>
            </a:ext>
          </a:extLst>
        </xdr:cNvPr>
        <xdr:cNvSpPr>
          <a:spLocks noChangeArrowheads="1"/>
        </xdr:cNvSpPr>
      </xdr:nvSpPr>
      <xdr:spPr bwMode="auto">
        <a:xfrm rot="5400000" flipV="1">
          <a:off x="10130381" y="585272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49" name="AutoShape 301">
          <a:extLst>
            <a:ext uri="{FF2B5EF4-FFF2-40B4-BE49-F238E27FC236}">
              <a16:creationId xmlns:a16="http://schemas.microsoft.com/office/drawing/2014/main" id="{56A61E34-6692-4C17-9229-36538DED2D6A}"/>
            </a:ext>
          </a:extLst>
        </xdr:cNvPr>
        <xdr:cNvSpPr>
          <a:spLocks noChangeArrowheads="1"/>
        </xdr:cNvSpPr>
      </xdr:nvSpPr>
      <xdr:spPr bwMode="auto">
        <a:xfrm rot="7084349">
          <a:off x="11535955" y="5692539"/>
          <a:ext cx="277584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50" name="Picture 11597">
          <a:extLst>
            <a:ext uri="{FF2B5EF4-FFF2-40B4-BE49-F238E27FC236}">
              <a16:creationId xmlns:a16="http://schemas.microsoft.com/office/drawing/2014/main" id="{1E39D37E-0967-47ED-86C0-9E152E5E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9008" y="71099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52" name="Picture 11597">
          <a:extLst>
            <a:ext uri="{FF2B5EF4-FFF2-40B4-BE49-F238E27FC236}">
              <a16:creationId xmlns:a16="http://schemas.microsoft.com/office/drawing/2014/main" id="{E342853D-1003-4F76-9CA1-63CC0B9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6446" y="7116199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53" name="AutoShape 10733">
          <a:extLst>
            <a:ext uri="{FF2B5EF4-FFF2-40B4-BE49-F238E27FC236}">
              <a16:creationId xmlns:a16="http://schemas.microsoft.com/office/drawing/2014/main" id="{FA8DBB7F-AE01-4604-AA5D-9439ABF7EAF1}"/>
            </a:ext>
          </a:extLst>
        </xdr:cNvPr>
        <xdr:cNvSpPr>
          <a:spLocks noChangeArrowheads="1"/>
        </xdr:cNvSpPr>
      </xdr:nvSpPr>
      <xdr:spPr bwMode="auto">
        <a:xfrm rot="5400000">
          <a:off x="6461727" y="7329844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54" name="Picture 11597">
          <a:extLst>
            <a:ext uri="{FF2B5EF4-FFF2-40B4-BE49-F238E27FC236}">
              <a16:creationId xmlns:a16="http://schemas.microsoft.com/office/drawing/2014/main" id="{8168EAFE-A465-4278-A3E3-85101451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62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55" name="Picture 11597">
          <a:extLst>
            <a:ext uri="{FF2B5EF4-FFF2-40B4-BE49-F238E27FC236}">
              <a16:creationId xmlns:a16="http://schemas.microsoft.com/office/drawing/2014/main" id="{5A50536B-4A0A-4A12-8D1A-6BBA1CFC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8546" y="712879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56" name="Lightning Bolt 55">
          <a:extLst>
            <a:ext uri="{FF2B5EF4-FFF2-40B4-BE49-F238E27FC236}">
              <a16:creationId xmlns:a16="http://schemas.microsoft.com/office/drawing/2014/main" id="{7CA35BB6-9632-40BE-AC56-56E58728E4EF}"/>
            </a:ext>
          </a:extLst>
        </xdr:cNvPr>
        <xdr:cNvSpPr/>
      </xdr:nvSpPr>
      <xdr:spPr>
        <a:xfrm>
          <a:off x="10214579" y="7122496"/>
          <a:ext cx="125801" cy="570701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57" name="Picture 11597">
          <a:extLst>
            <a:ext uri="{FF2B5EF4-FFF2-40B4-BE49-F238E27FC236}">
              <a16:creationId xmlns:a16="http://schemas.microsoft.com/office/drawing/2014/main" id="{EBA5A651-D6C6-4804-BEB3-E2377F11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504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58" name="AutoShape 10733">
          <a:extLst>
            <a:ext uri="{FF2B5EF4-FFF2-40B4-BE49-F238E27FC236}">
              <a16:creationId xmlns:a16="http://schemas.microsoft.com/office/drawing/2014/main" id="{FD3BEA2D-20F4-4522-A310-5B73094ED918}"/>
            </a:ext>
          </a:extLst>
        </xdr:cNvPr>
        <xdr:cNvSpPr>
          <a:spLocks noChangeArrowheads="1"/>
        </xdr:cNvSpPr>
      </xdr:nvSpPr>
      <xdr:spPr bwMode="auto">
        <a:xfrm rot="5400000">
          <a:off x="12582918" y="7336141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51" name="Picture 11597">
          <a:extLst>
            <a:ext uri="{FF2B5EF4-FFF2-40B4-BE49-F238E27FC236}">
              <a16:creationId xmlns:a16="http://schemas.microsoft.com/office/drawing/2014/main" id="{63CFEBE6-F716-49BF-9E61-C84BBC18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599" y="99129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62" name="Lightning Bolt 61">
          <a:extLst>
            <a:ext uri="{FF2B5EF4-FFF2-40B4-BE49-F238E27FC236}">
              <a16:creationId xmlns:a16="http://schemas.microsoft.com/office/drawing/2014/main" id="{C2075D26-5772-48B7-A8B3-BBE09702E93F}"/>
            </a:ext>
          </a:extLst>
        </xdr:cNvPr>
        <xdr:cNvSpPr/>
      </xdr:nvSpPr>
      <xdr:spPr>
        <a:xfrm>
          <a:off x="6503582" y="8807303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63" name="Lightning Bolt 62">
          <a:extLst>
            <a:ext uri="{FF2B5EF4-FFF2-40B4-BE49-F238E27FC236}">
              <a16:creationId xmlns:a16="http://schemas.microsoft.com/office/drawing/2014/main" id="{7EE26F09-4146-4D26-926F-49832CBE7A1C}"/>
            </a:ext>
          </a:extLst>
        </xdr:cNvPr>
        <xdr:cNvSpPr/>
      </xdr:nvSpPr>
      <xdr:spPr>
        <a:xfrm>
          <a:off x="6636488" y="8789582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128" name="Picture 11597">
          <a:extLst>
            <a:ext uri="{FF2B5EF4-FFF2-40B4-BE49-F238E27FC236}">
              <a16:creationId xmlns:a16="http://schemas.microsoft.com/office/drawing/2014/main" id="{E5261845-2CCF-4060-A6A6-72B8174D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21" y="9906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129" name="Picture 11597">
          <a:extLst>
            <a:ext uri="{FF2B5EF4-FFF2-40B4-BE49-F238E27FC236}">
              <a16:creationId xmlns:a16="http://schemas.microsoft.com/office/drawing/2014/main" id="{2A925EFC-0149-4B3B-AC3D-ADF9894E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32698" y="106325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130" name="Picture 11597">
          <a:extLst>
            <a:ext uri="{FF2B5EF4-FFF2-40B4-BE49-F238E27FC236}">
              <a16:creationId xmlns:a16="http://schemas.microsoft.com/office/drawing/2014/main" id="{A22CFEB7-F027-43D7-B21F-344BF498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7628" y="1065027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132" name="Picture 11597">
          <a:extLst>
            <a:ext uri="{FF2B5EF4-FFF2-40B4-BE49-F238E27FC236}">
              <a16:creationId xmlns:a16="http://schemas.microsoft.com/office/drawing/2014/main" id="{6FF640A7-94CA-429C-A215-20FE3135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1721" y="1235148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134" name="Picture 11597">
          <a:extLst>
            <a:ext uri="{FF2B5EF4-FFF2-40B4-BE49-F238E27FC236}">
              <a16:creationId xmlns:a16="http://schemas.microsoft.com/office/drawing/2014/main" id="{8ECE9D03-D847-4E9E-8CE1-24544C39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931" y="12360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135" name="Picture 11597">
          <a:extLst>
            <a:ext uri="{FF2B5EF4-FFF2-40B4-BE49-F238E27FC236}">
              <a16:creationId xmlns:a16="http://schemas.microsoft.com/office/drawing/2014/main" id="{4B7D0F7E-34B7-4AC8-A0D9-6CCCEF7F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674" y="12307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137" name="Lightning Bolt 136">
          <a:extLst>
            <a:ext uri="{FF2B5EF4-FFF2-40B4-BE49-F238E27FC236}">
              <a16:creationId xmlns:a16="http://schemas.microsoft.com/office/drawing/2014/main" id="{CF3FCF99-AFCC-4562-AA73-C4F77A2A4B25}"/>
            </a:ext>
          </a:extLst>
        </xdr:cNvPr>
        <xdr:cNvSpPr/>
      </xdr:nvSpPr>
      <xdr:spPr>
        <a:xfrm>
          <a:off x="9046536" y="12386930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138" name="AutoShape 10733">
          <a:extLst>
            <a:ext uri="{FF2B5EF4-FFF2-40B4-BE49-F238E27FC236}">
              <a16:creationId xmlns:a16="http://schemas.microsoft.com/office/drawing/2014/main" id="{8FB3AE68-7683-4FBF-92E5-5F3DA6A6655E}"/>
            </a:ext>
          </a:extLst>
        </xdr:cNvPr>
        <xdr:cNvSpPr>
          <a:spLocks noChangeArrowheads="1"/>
        </xdr:cNvSpPr>
      </xdr:nvSpPr>
      <xdr:spPr bwMode="auto">
        <a:xfrm rot="5400000">
          <a:off x="8669226" y="12613612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141" name="Picture 11597">
          <a:extLst>
            <a:ext uri="{FF2B5EF4-FFF2-40B4-BE49-F238E27FC236}">
              <a16:creationId xmlns:a16="http://schemas.microsoft.com/office/drawing/2014/main" id="{C327DC14-F422-4604-A63C-C7BFF0F81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9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142" name="AutoShape 10733">
          <a:extLst>
            <a:ext uri="{FF2B5EF4-FFF2-40B4-BE49-F238E27FC236}">
              <a16:creationId xmlns:a16="http://schemas.microsoft.com/office/drawing/2014/main" id="{5E263D1B-731B-4790-A176-A241B09091FE}"/>
            </a:ext>
          </a:extLst>
        </xdr:cNvPr>
        <xdr:cNvSpPr>
          <a:spLocks noChangeArrowheads="1"/>
        </xdr:cNvSpPr>
      </xdr:nvSpPr>
      <xdr:spPr bwMode="auto">
        <a:xfrm rot="5400000">
          <a:off x="1465668" y="14305960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143" name="Picture 11597">
          <a:extLst>
            <a:ext uri="{FF2B5EF4-FFF2-40B4-BE49-F238E27FC236}">
              <a16:creationId xmlns:a16="http://schemas.microsoft.com/office/drawing/2014/main" id="{D4D532E4-5E33-43EF-BBC6-BE614D1A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674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144" name="Picture 11597">
          <a:extLst>
            <a:ext uri="{FF2B5EF4-FFF2-40B4-BE49-F238E27FC236}">
              <a16:creationId xmlns:a16="http://schemas.microsoft.com/office/drawing/2014/main" id="{73EE4D9F-8316-45B1-8AF8-545173EE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3581" y="14105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149" name="Picture 11597">
          <a:extLst>
            <a:ext uri="{FF2B5EF4-FFF2-40B4-BE49-F238E27FC236}">
              <a16:creationId xmlns:a16="http://schemas.microsoft.com/office/drawing/2014/main" id="{2C266B13-968D-46E2-9184-D5EA84F4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7721" y="1409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150" name="AutoShape 301">
          <a:extLst>
            <a:ext uri="{FF2B5EF4-FFF2-40B4-BE49-F238E27FC236}">
              <a16:creationId xmlns:a16="http://schemas.microsoft.com/office/drawing/2014/main" id="{6477FAF1-5A9A-476C-909B-8FAF04CD4484}"/>
            </a:ext>
          </a:extLst>
        </xdr:cNvPr>
        <xdr:cNvSpPr>
          <a:spLocks noChangeArrowheads="1"/>
        </xdr:cNvSpPr>
      </xdr:nvSpPr>
      <xdr:spPr bwMode="auto">
        <a:xfrm rot="7084349">
          <a:off x="3961931" y="14202020"/>
          <a:ext cx="30687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153" name="Picture 11597">
          <a:extLst>
            <a:ext uri="{FF2B5EF4-FFF2-40B4-BE49-F238E27FC236}">
              <a16:creationId xmlns:a16="http://schemas.microsoft.com/office/drawing/2014/main" id="{BB956984-64C5-4965-B43F-9989D9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18605" y="140969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154" name="Picture 11597">
          <a:extLst>
            <a:ext uri="{FF2B5EF4-FFF2-40B4-BE49-F238E27FC236}">
              <a16:creationId xmlns:a16="http://schemas.microsoft.com/office/drawing/2014/main" id="{C2B0D232-B78F-452F-8692-E566E8EAE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954" y="141147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155" name="Picture 11597">
          <a:extLst>
            <a:ext uri="{FF2B5EF4-FFF2-40B4-BE49-F238E27FC236}">
              <a16:creationId xmlns:a16="http://schemas.microsoft.com/office/drawing/2014/main" id="{28F23012-87EB-4F22-BB87-655688AF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838" y="141590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56" name="AutoShape 10733">
          <a:extLst>
            <a:ext uri="{FF2B5EF4-FFF2-40B4-BE49-F238E27FC236}">
              <a16:creationId xmlns:a16="http://schemas.microsoft.com/office/drawing/2014/main" id="{A19F8969-87F1-4733-97B1-5C8D71EE1A4E}"/>
            </a:ext>
          </a:extLst>
        </xdr:cNvPr>
        <xdr:cNvSpPr>
          <a:spLocks noChangeArrowheads="1"/>
        </xdr:cNvSpPr>
      </xdr:nvSpPr>
      <xdr:spPr bwMode="auto">
        <a:xfrm rot="5400000">
          <a:off x="12468240" y="14297632"/>
          <a:ext cx="46735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60" name="AutoShape 10733">
          <a:extLst>
            <a:ext uri="{FF2B5EF4-FFF2-40B4-BE49-F238E27FC236}">
              <a16:creationId xmlns:a16="http://schemas.microsoft.com/office/drawing/2014/main" id="{CDD16678-5160-493B-A504-81E058F68BCC}"/>
            </a:ext>
          </a:extLst>
        </xdr:cNvPr>
        <xdr:cNvSpPr>
          <a:spLocks noChangeArrowheads="1"/>
        </xdr:cNvSpPr>
      </xdr:nvSpPr>
      <xdr:spPr bwMode="auto">
        <a:xfrm rot="5400000">
          <a:off x="10111294" y="16885401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61" name="Picture 11597">
          <a:extLst>
            <a:ext uri="{FF2B5EF4-FFF2-40B4-BE49-F238E27FC236}">
              <a16:creationId xmlns:a16="http://schemas.microsoft.com/office/drawing/2014/main" id="{065AD839-E5D4-40A9-9B8B-C347B79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3954" y="158425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62" name="Picture 11597">
          <a:extLst>
            <a:ext uri="{FF2B5EF4-FFF2-40B4-BE49-F238E27FC236}">
              <a16:creationId xmlns:a16="http://schemas.microsoft.com/office/drawing/2014/main" id="{84FFE26D-B650-497A-B3C3-2A1734F8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750" y="1670823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63" name="Picture 11597">
          <a:extLst>
            <a:ext uri="{FF2B5EF4-FFF2-40B4-BE49-F238E27FC236}">
              <a16:creationId xmlns:a16="http://schemas.microsoft.com/office/drawing/2014/main" id="{32301321-4186-4E4F-A5FC-D16B24A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209" y="1592225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64" name="Picture 11597">
          <a:extLst>
            <a:ext uri="{FF2B5EF4-FFF2-40B4-BE49-F238E27FC236}">
              <a16:creationId xmlns:a16="http://schemas.microsoft.com/office/drawing/2014/main" id="{9C969D0C-A737-4FF5-A8E9-1367A5A9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0163" y="1770320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66" name="Picture 11597">
          <a:extLst>
            <a:ext uri="{FF2B5EF4-FFF2-40B4-BE49-F238E27FC236}">
              <a16:creationId xmlns:a16="http://schemas.microsoft.com/office/drawing/2014/main" id="{4C3EA2CA-9BBF-40C2-BEE1-1DE18C0D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117" y="1722948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69" name="Lightning Bolt 168">
          <a:extLst>
            <a:ext uri="{FF2B5EF4-FFF2-40B4-BE49-F238E27FC236}">
              <a16:creationId xmlns:a16="http://schemas.microsoft.com/office/drawing/2014/main" id="{D4961EA4-F5AC-4864-A884-29C2CFD2FF00}"/>
            </a:ext>
          </a:extLst>
        </xdr:cNvPr>
        <xdr:cNvSpPr/>
      </xdr:nvSpPr>
      <xdr:spPr>
        <a:xfrm>
          <a:off x="1342204" y="20482373"/>
          <a:ext cx="125801" cy="59538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70" name="Picture 11597">
          <a:extLst>
            <a:ext uri="{FF2B5EF4-FFF2-40B4-BE49-F238E27FC236}">
              <a16:creationId xmlns:a16="http://schemas.microsoft.com/office/drawing/2014/main" id="{BF9E1BF9-D9F6-427A-9AFA-C675A45D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93" y="19599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71" name="Picture 11597">
          <a:extLst>
            <a:ext uri="{FF2B5EF4-FFF2-40B4-BE49-F238E27FC236}">
              <a16:creationId xmlns:a16="http://schemas.microsoft.com/office/drawing/2014/main" id="{85046CC7-453A-4A45-98D1-A25A96EA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907" y="1959934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72" name="Picture 11597">
          <a:extLst>
            <a:ext uri="{FF2B5EF4-FFF2-40B4-BE49-F238E27FC236}">
              <a16:creationId xmlns:a16="http://schemas.microsoft.com/office/drawing/2014/main" id="{6CD4224A-599F-400B-9CAE-D890C837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50418" y="195993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73" name="Picture 11597">
          <a:extLst>
            <a:ext uri="{FF2B5EF4-FFF2-40B4-BE49-F238E27FC236}">
              <a16:creationId xmlns:a16="http://schemas.microsoft.com/office/drawing/2014/main" id="{58D31D9A-5606-4EA7-B81D-FEEC6FF1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699" y="1968795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75" name="Picture 11597">
          <a:extLst>
            <a:ext uri="{FF2B5EF4-FFF2-40B4-BE49-F238E27FC236}">
              <a16:creationId xmlns:a16="http://schemas.microsoft.com/office/drawing/2014/main" id="{5EDA5CD4-7076-4D89-83AE-CBB8D6CD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56697" y="1968795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77" name="Picture 11597">
          <a:extLst>
            <a:ext uri="{FF2B5EF4-FFF2-40B4-BE49-F238E27FC236}">
              <a16:creationId xmlns:a16="http://schemas.microsoft.com/office/drawing/2014/main" id="{62367A06-10C6-4377-B397-46F0462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648" y="205262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79" name="Picture 11597">
          <a:extLst>
            <a:ext uri="{FF2B5EF4-FFF2-40B4-BE49-F238E27FC236}">
              <a16:creationId xmlns:a16="http://schemas.microsoft.com/office/drawing/2014/main" id="{C239ADA6-2E99-4B9D-8662-34D993B6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74" y="222412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80" name="Picture 11597">
          <a:extLst>
            <a:ext uri="{FF2B5EF4-FFF2-40B4-BE49-F238E27FC236}">
              <a16:creationId xmlns:a16="http://schemas.microsoft.com/office/drawing/2014/main" id="{D75FD147-1314-4ED5-AF2B-8DBC639C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3289" y="2227708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83" name="Parallelogram 182">
          <a:extLst>
            <a:ext uri="{FF2B5EF4-FFF2-40B4-BE49-F238E27FC236}">
              <a16:creationId xmlns:a16="http://schemas.microsoft.com/office/drawing/2014/main" id="{8B601812-0DC5-4A22-AA11-FFB7913CDF86}"/>
            </a:ext>
          </a:extLst>
        </xdr:cNvPr>
        <xdr:cNvSpPr/>
      </xdr:nvSpPr>
      <xdr:spPr>
        <a:xfrm rot="495798">
          <a:off x="8818646" y="21316181"/>
          <a:ext cx="136696" cy="34436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40E7641B-D651-4FE8-92FD-50D0872A643C}"/>
            </a:ext>
          </a:extLst>
        </xdr:cNvPr>
        <xdr:cNvCxnSpPr/>
      </xdr:nvCxnSpPr>
      <xdr:spPr>
        <a:xfrm flipH="1">
          <a:off x="8843493" y="21325017"/>
          <a:ext cx="81381" cy="330272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86" name="Lightning Bolt 185">
          <a:extLst>
            <a:ext uri="{FF2B5EF4-FFF2-40B4-BE49-F238E27FC236}">
              <a16:creationId xmlns:a16="http://schemas.microsoft.com/office/drawing/2014/main" id="{07D1BB32-0D5C-445A-8B1F-6E355CABC08B}"/>
            </a:ext>
          </a:extLst>
        </xdr:cNvPr>
        <xdr:cNvSpPr/>
      </xdr:nvSpPr>
      <xdr:spPr>
        <a:xfrm>
          <a:off x="8965003" y="21312745"/>
          <a:ext cx="125801" cy="5932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87" name="Picture 11597">
          <a:extLst>
            <a:ext uri="{FF2B5EF4-FFF2-40B4-BE49-F238E27FC236}">
              <a16:creationId xmlns:a16="http://schemas.microsoft.com/office/drawing/2014/main" id="{F48FE419-EBBB-4F2F-9814-5B2C329B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346" y="222736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258" name="Picture 11597">
          <a:extLst>
            <a:ext uri="{FF2B5EF4-FFF2-40B4-BE49-F238E27FC236}">
              <a16:creationId xmlns:a16="http://schemas.microsoft.com/office/drawing/2014/main" id="{40F2BE5A-982D-43DA-BAE3-26D3CDDF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61472" y="233200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ECC0E635-A811-470C-AB6F-C7F6C20C884D}"/>
            </a:ext>
          </a:extLst>
        </xdr:cNvPr>
        <xdr:cNvCxnSpPr/>
      </xdr:nvCxnSpPr>
      <xdr:spPr>
        <a:xfrm flipH="1" flipV="1">
          <a:off x="3792071" y="2976283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A7D68F05-9D64-40AE-8B3C-0834EB4E4524}"/>
            </a:ext>
          </a:extLst>
        </xdr:cNvPr>
        <xdr:cNvCxnSpPr/>
      </xdr:nvCxnSpPr>
      <xdr:spPr>
        <a:xfrm flipV="1">
          <a:off x="6078071" y="2976283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BFD19AE8-3CF6-48A4-A12C-47820B813368}"/>
            </a:ext>
          </a:extLst>
        </xdr:cNvPr>
        <xdr:cNvCxnSpPr/>
      </xdr:nvCxnSpPr>
      <xdr:spPr>
        <a:xfrm flipH="1">
          <a:off x="6956611" y="2967318"/>
          <a:ext cx="4446495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57CEEF0B-6D17-4253-821F-D6CFE572D58C}"/>
            </a:ext>
          </a:extLst>
        </xdr:cNvPr>
        <xdr:cNvCxnSpPr/>
      </xdr:nvCxnSpPr>
      <xdr:spPr>
        <a:xfrm flipH="1">
          <a:off x="7010400" y="6615953"/>
          <a:ext cx="42313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3251D700-554B-46B5-A33E-A74DA987DB7C}"/>
            </a:ext>
          </a:extLst>
        </xdr:cNvPr>
        <xdr:cNvCxnSpPr/>
      </xdr:nvCxnSpPr>
      <xdr:spPr>
        <a:xfrm flipH="1">
          <a:off x="8247530" y="9834283"/>
          <a:ext cx="162261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A5587854-BEA0-4E47-89AC-0D4B8C8C62D6}"/>
            </a:ext>
          </a:extLst>
        </xdr:cNvPr>
        <xdr:cNvCxnSpPr/>
      </xdr:nvCxnSpPr>
      <xdr:spPr>
        <a:xfrm flipV="1">
          <a:off x="11313458" y="9834282"/>
          <a:ext cx="1676401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id="{44FB7B82-0177-4754-9A80-1806BD3BE985}"/>
            </a:ext>
          </a:extLst>
        </xdr:cNvPr>
        <xdr:cNvCxnSpPr/>
      </xdr:nvCxnSpPr>
      <xdr:spPr>
        <a:xfrm flipV="1">
          <a:off x="2859741" y="11779624"/>
          <a:ext cx="138953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70</xdr:row>
      <xdr:rowOff>98612</xdr:rowOff>
    </xdr:from>
    <xdr:to>
      <xdr:col>18</xdr:col>
      <xdr:colOff>385482</xdr:colOff>
      <xdr:row>70</xdr:row>
      <xdr:rowOff>116541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id="{26575F8E-0B57-4426-BB8E-009855564670}"/>
            </a:ext>
          </a:extLst>
        </xdr:cNvPr>
        <xdr:cNvCxnSpPr/>
      </xdr:nvCxnSpPr>
      <xdr:spPr>
        <a:xfrm flipH="1" flipV="1">
          <a:off x="4455459" y="1177962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E628AC83-175F-4408-8338-A05E79ED37D8}"/>
            </a:ext>
          </a:extLst>
        </xdr:cNvPr>
        <xdr:cNvCxnSpPr/>
      </xdr:nvCxnSpPr>
      <xdr:spPr>
        <a:xfrm flipH="1">
          <a:off x="4446494" y="13464988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id="{1DC3B5BB-B55D-46A2-BFF7-A66DEBF346A0}"/>
            </a:ext>
          </a:extLst>
        </xdr:cNvPr>
        <xdr:cNvCxnSpPr/>
      </xdr:nvCxnSpPr>
      <xdr:spPr>
        <a:xfrm flipV="1">
          <a:off x="5934636" y="13473953"/>
          <a:ext cx="89647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494D7275-A5F2-4ED7-9793-F784C199B0CB}"/>
            </a:ext>
          </a:extLst>
        </xdr:cNvPr>
        <xdr:cNvCxnSpPr/>
      </xdr:nvCxnSpPr>
      <xdr:spPr>
        <a:xfrm flipH="1">
          <a:off x="7019365" y="13473953"/>
          <a:ext cx="4078941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403" name="Straight Arrow Connector 402">
          <a:extLst>
            <a:ext uri="{FF2B5EF4-FFF2-40B4-BE49-F238E27FC236}">
              <a16:creationId xmlns:a16="http://schemas.microsoft.com/office/drawing/2014/main" id="{E4038088-CA82-46FD-A52F-191AC706107B}"/>
            </a:ext>
          </a:extLst>
        </xdr:cNvPr>
        <xdr:cNvCxnSpPr/>
      </xdr:nvCxnSpPr>
      <xdr:spPr>
        <a:xfrm>
          <a:off x="582706" y="16979153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407" name="Straight Arrow Connector 406">
          <a:extLst>
            <a:ext uri="{FF2B5EF4-FFF2-40B4-BE49-F238E27FC236}">
              <a16:creationId xmlns:a16="http://schemas.microsoft.com/office/drawing/2014/main" id="{DFC598C9-CDB1-4B1F-BBF1-6867233B588D}"/>
            </a:ext>
          </a:extLst>
        </xdr:cNvPr>
        <xdr:cNvCxnSpPr/>
      </xdr:nvCxnSpPr>
      <xdr:spPr>
        <a:xfrm flipH="1">
          <a:off x="3236259" y="16970188"/>
          <a:ext cx="171225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435" name="Straight Arrow Connector 434">
          <a:extLst>
            <a:ext uri="{FF2B5EF4-FFF2-40B4-BE49-F238E27FC236}">
              <a16:creationId xmlns:a16="http://schemas.microsoft.com/office/drawing/2014/main" id="{69465B76-A735-4730-A079-2D1FA1A5A8E0}"/>
            </a:ext>
          </a:extLst>
        </xdr:cNvPr>
        <xdr:cNvCxnSpPr/>
      </xdr:nvCxnSpPr>
      <xdr:spPr>
        <a:xfrm flipV="1">
          <a:off x="600635" y="20744329"/>
          <a:ext cx="2375647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A7367319-43F4-416B-8C96-4294182A17B8}"/>
            </a:ext>
          </a:extLst>
        </xdr:cNvPr>
        <xdr:cNvCxnSpPr/>
      </xdr:nvCxnSpPr>
      <xdr:spPr>
        <a:xfrm flipV="1">
          <a:off x="8686800" y="22608988"/>
          <a:ext cx="3067849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448" name="Straight Arrow Connector 447">
          <a:extLst>
            <a:ext uri="{FF2B5EF4-FFF2-40B4-BE49-F238E27FC236}">
              <a16:creationId xmlns:a16="http://schemas.microsoft.com/office/drawing/2014/main" id="{BCA15A98-31FE-4D1C-82BD-ADC70114120D}"/>
            </a:ext>
          </a:extLst>
        </xdr:cNvPr>
        <xdr:cNvCxnSpPr/>
      </xdr:nvCxnSpPr>
      <xdr:spPr>
        <a:xfrm flipH="1">
          <a:off x="11976848" y="22600024"/>
          <a:ext cx="118334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713D6AF0-EE4F-44BD-BC21-76C7B9CD34CF}"/>
            </a:ext>
          </a:extLst>
        </xdr:cNvPr>
        <xdr:cNvCxnSpPr/>
      </xdr:nvCxnSpPr>
      <xdr:spPr>
        <a:xfrm flipH="1">
          <a:off x="7626168" y="17224561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426CCE8A-248D-4DF4-8D4E-67B7B5AB81A6}"/>
            </a:ext>
          </a:extLst>
        </xdr:cNvPr>
        <xdr:cNvSpPr/>
      </xdr:nvSpPr>
      <xdr:spPr>
        <a:xfrm>
          <a:off x="4603750" y="26114375"/>
          <a:ext cx="194930" cy="242001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280" name="Isosceles Triangle 279">
          <a:extLst>
            <a:ext uri="{FF2B5EF4-FFF2-40B4-BE49-F238E27FC236}">
              <a16:creationId xmlns:a16="http://schemas.microsoft.com/office/drawing/2014/main" id="{4EB22B5E-103A-42A0-997E-7114F58BDF45}"/>
            </a:ext>
          </a:extLst>
        </xdr:cNvPr>
        <xdr:cNvSpPr/>
      </xdr:nvSpPr>
      <xdr:spPr>
        <a:xfrm>
          <a:off x="4580193" y="26665903"/>
          <a:ext cx="186070" cy="229324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8860</xdr:colOff>
      <xdr:row>127</xdr:row>
      <xdr:rowOff>83732</xdr:rowOff>
    </xdr:from>
    <xdr:to>
      <xdr:col>14</xdr:col>
      <xdr:colOff>611506</xdr:colOff>
      <xdr:row>129</xdr:row>
      <xdr:rowOff>1774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E08992AC-CDE2-4D3B-BF5E-CE1604AD460C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260" name="Isosceles Triangle 259">
          <a:extLst>
            <a:ext uri="{FF2B5EF4-FFF2-40B4-BE49-F238E27FC236}">
              <a16:creationId xmlns:a16="http://schemas.microsoft.com/office/drawing/2014/main" id="{BA3E186E-FB2B-49B9-9AF3-060F2E6C1F08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262" name="Isosceles Triangle 261">
          <a:extLst>
            <a:ext uri="{FF2B5EF4-FFF2-40B4-BE49-F238E27FC236}">
              <a16:creationId xmlns:a16="http://schemas.microsoft.com/office/drawing/2014/main" id="{5F4D8F7E-6D5D-46BD-85D4-FAAB3D5A4256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264" name="Isosceles Triangle 263">
          <a:extLst>
            <a:ext uri="{FF2B5EF4-FFF2-40B4-BE49-F238E27FC236}">
              <a16:creationId xmlns:a16="http://schemas.microsoft.com/office/drawing/2014/main" id="{803263A2-EBF2-44D7-A9DC-799258A4B5C3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292" name="Isosceles Triangle 291">
          <a:extLst>
            <a:ext uri="{FF2B5EF4-FFF2-40B4-BE49-F238E27FC236}">
              <a16:creationId xmlns:a16="http://schemas.microsoft.com/office/drawing/2014/main" id="{D32355F3-5DDC-4AB6-9739-B786275A39F2}"/>
            </a:ext>
          </a:extLst>
        </xdr:cNvPr>
        <xdr:cNvSpPr/>
      </xdr:nvSpPr>
      <xdr:spPr>
        <a:xfrm>
          <a:off x="1851837" y="26120649"/>
          <a:ext cx="629094" cy="38100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298" name="Isosceles Triangle 297">
          <a:extLst>
            <a:ext uri="{FF2B5EF4-FFF2-40B4-BE49-F238E27FC236}">
              <a16:creationId xmlns:a16="http://schemas.microsoft.com/office/drawing/2014/main" id="{5C94918C-DC64-4342-A51C-DD85EA09F2EE}"/>
            </a:ext>
          </a:extLst>
        </xdr:cNvPr>
        <xdr:cNvSpPr/>
      </xdr:nvSpPr>
      <xdr:spPr>
        <a:xfrm>
          <a:off x="575931" y="26138371"/>
          <a:ext cx="637954" cy="35441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F173667F-FF1C-4D9A-B838-D5E6DCDBD00D}"/>
            </a:ext>
          </a:extLst>
        </xdr:cNvPr>
        <xdr:cNvSpPr/>
      </xdr:nvSpPr>
      <xdr:spPr>
        <a:xfrm>
          <a:off x="3340396" y="26235837"/>
          <a:ext cx="103188" cy="703852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300" name="Picture 11597">
          <a:extLst>
            <a:ext uri="{FF2B5EF4-FFF2-40B4-BE49-F238E27FC236}">
              <a16:creationId xmlns:a16="http://schemas.microsoft.com/office/drawing/2014/main" id="{428CC140-A938-45AB-A190-32C0A9EB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41348" y="2274481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301" name="Picture 11597">
          <a:extLst>
            <a:ext uri="{FF2B5EF4-FFF2-40B4-BE49-F238E27FC236}">
              <a16:creationId xmlns:a16="http://schemas.microsoft.com/office/drawing/2014/main" id="{4057DEB6-65CC-4170-BD5D-29AFDB18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0209" y="244637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302" name="Picture 11597">
          <a:extLst>
            <a:ext uri="{FF2B5EF4-FFF2-40B4-BE49-F238E27FC236}">
              <a16:creationId xmlns:a16="http://schemas.microsoft.com/office/drawing/2014/main" id="{BCAADDAC-70AD-440C-A0A3-FE30E3FF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349" y="2451690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306" name="Lightning Bolt 305">
          <a:extLst>
            <a:ext uri="{FF2B5EF4-FFF2-40B4-BE49-F238E27FC236}">
              <a16:creationId xmlns:a16="http://schemas.microsoft.com/office/drawing/2014/main" id="{1B301A67-DE48-40A3-A83D-3BB36CF11F1F}"/>
            </a:ext>
          </a:extLst>
        </xdr:cNvPr>
        <xdr:cNvSpPr/>
      </xdr:nvSpPr>
      <xdr:spPr>
        <a:xfrm>
          <a:off x="2693582" y="24508047"/>
          <a:ext cx="125801" cy="5867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307" name="Picture 11597">
          <a:extLst>
            <a:ext uri="{FF2B5EF4-FFF2-40B4-BE49-F238E27FC236}">
              <a16:creationId xmlns:a16="http://schemas.microsoft.com/office/drawing/2014/main" id="{EDCA58C6-06BC-456E-B958-0B298CCA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302" y="24499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310" name="Picture 11597">
          <a:extLst>
            <a:ext uri="{FF2B5EF4-FFF2-40B4-BE49-F238E27FC236}">
              <a16:creationId xmlns:a16="http://schemas.microsoft.com/office/drawing/2014/main" id="{43ADC129-8157-46A6-AEF3-9F72A970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7465" y="24508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311" name="Picture 11597">
          <a:extLst>
            <a:ext uri="{FF2B5EF4-FFF2-40B4-BE49-F238E27FC236}">
              <a16:creationId xmlns:a16="http://schemas.microsoft.com/office/drawing/2014/main" id="{0B921A60-3C28-480F-9937-E848989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6555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313" name="Picture 11597">
          <a:extLst>
            <a:ext uri="{FF2B5EF4-FFF2-40B4-BE49-F238E27FC236}">
              <a16:creationId xmlns:a16="http://schemas.microsoft.com/office/drawing/2014/main" id="{7E858DBA-D09D-4990-AE92-3F6D29FA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13582" y="2450804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317" name="Picture 11597">
          <a:extLst>
            <a:ext uri="{FF2B5EF4-FFF2-40B4-BE49-F238E27FC236}">
              <a16:creationId xmlns:a16="http://schemas.microsoft.com/office/drawing/2014/main" id="{23063848-BB52-47EA-A010-59C4EBCC1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948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id="{992DFA44-0C48-454D-979E-9D9A1DEE0284}"/>
            </a:ext>
          </a:extLst>
        </xdr:cNvPr>
        <xdr:cNvSpPr/>
      </xdr:nvSpPr>
      <xdr:spPr>
        <a:xfrm rot="1440000">
          <a:off x="2671484" y="9959788"/>
          <a:ext cx="193194" cy="341261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FA21349F-79E8-4F45-8DBF-B7197A4CCEA5}"/>
            </a:ext>
          </a:extLst>
        </xdr:cNvPr>
        <xdr:cNvCxnSpPr/>
      </xdr:nvCxnSpPr>
      <xdr:spPr>
        <a:xfrm flipH="1">
          <a:off x="2671484" y="9959788"/>
          <a:ext cx="196693" cy="30124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88" name="Picture 11597">
          <a:extLst>
            <a:ext uri="{FF2B5EF4-FFF2-40B4-BE49-F238E27FC236}">
              <a16:creationId xmlns:a16="http://schemas.microsoft.com/office/drawing/2014/main" id="{1A6B8A71-FAC5-4EDB-967E-F4115637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083" y="99239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89" name="Picture 11597">
          <a:extLst>
            <a:ext uri="{FF2B5EF4-FFF2-40B4-BE49-F238E27FC236}">
              <a16:creationId xmlns:a16="http://schemas.microsoft.com/office/drawing/2014/main" id="{FB388798-4C49-4671-A8DE-41024B63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9083" y="99418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90" name="Picture 11597">
          <a:extLst>
            <a:ext uri="{FF2B5EF4-FFF2-40B4-BE49-F238E27FC236}">
              <a16:creationId xmlns:a16="http://schemas.microsoft.com/office/drawing/2014/main" id="{700090FB-D435-42EF-866C-8185B0A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541" y="994185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91" name="Picture 11597">
          <a:extLst>
            <a:ext uri="{FF2B5EF4-FFF2-40B4-BE49-F238E27FC236}">
              <a16:creationId xmlns:a16="http://schemas.microsoft.com/office/drawing/2014/main" id="{2525528F-D8B7-4A00-8532-49C1C81A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7553" y="16764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256" name="Picture 11597">
          <a:extLst>
            <a:ext uri="{FF2B5EF4-FFF2-40B4-BE49-F238E27FC236}">
              <a16:creationId xmlns:a16="http://schemas.microsoft.com/office/drawing/2014/main" id="{C84A5742-3EBA-4E26-AFEE-C5D0424B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28494" y="1669228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257" name="Picture 11597">
          <a:extLst>
            <a:ext uri="{FF2B5EF4-FFF2-40B4-BE49-F238E27FC236}">
              <a16:creationId xmlns:a16="http://schemas.microsoft.com/office/drawing/2014/main" id="{DCABEC98-DF16-4B08-8F8F-F2C7E2C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8377" y="18440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284" name="Picture 11597">
          <a:extLst>
            <a:ext uri="{FF2B5EF4-FFF2-40B4-BE49-F238E27FC236}">
              <a16:creationId xmlns:a16="http://schemas.microsoft.com/office/drawing/2014/main" id="{BAD44435-E867-4EE6-ACC7-CA9A1E93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28588" y="1850247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291" name="Picture 11597">
          <a:extLst>
            <a:ext uri="{FF2B5EF4-FFF2-40B4-BE49-F238E27FC236}">
              <a16:creationId xmlns:a16="http://schemas.microsoft.com/office/drawing/2014/main" id="{18D3A981-0998-461C-90DD-A5525571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00565" y="2040367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293" name="Picture 11597">
          <a:extLst>
            <a:ext uri="{FF2B5EF4-FFF2-40B4-BE49-F238E27FC236}">
              <a16:creationId xmlns:a16="http://schemas.microsoft.com/office/drawing/2014/main" id="{DCDF61F9-F260-4740-BC52-209B0C9C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188" y="2044849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297" name="Picture 11597">
          <a:extLst>
            <a:ext uri="{FF2B5EF4-FFF2-40B4-BE49-F238E27FC236}">
              <a16:creationId xmlns:a16="http://schemas.microsoft.com/office/drawing/2014/main" id="{2CB4F819-0E6A-4438-86B2-F1D32299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46659" y="2227729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319" name="AutoShape 10733">
          <a:extLst>
            <a:ext uri="{FF2B5EF4-FFF2-40B4-BE49-F238E27FC236}">
              <a16:creationId xmlns:a16="http://schemas.microsoft.com/office/drawing/2014/main" id="{87EEF735-5F1A-4A64-B154-83EAEE5730E8}"/>
            </a:ext>
          </a:extLst>
        </xdr:cNvPr>
        <xdr:cNvSpPr>
          <a:spLocks noChangeArrowheads="1"/>
        </xdr:cNvSpPr>
      </xdr:nvSpPr>
      <xdr:spPr bwMode="auto">
        <a:xfrm rot="5400000">
          <a:off x="6337752" y="24330508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384" name="AutoShape 10733">
          <a:extLst>
            <a:ext uri="{FF2B5EF4-FFF2-40B4-BE49-F238E27FC236}">
              <a16:creationId xmlns:a16="http://schemas.microsoft.com/office/drawing/2014/main" id="{7EDBE4EB-3B69-4F5B-BF84-10A6B3A63805}"/>
            </a:ext>
          </a:extLst>
        </xdr:cNvPr>
        <xdr:cNvSpPr>
          <a:spLocks noChangeArrowheads="1"/>
        </xdr:cNvSpPr>
      </xdr:nvSpPr>
      <xdr:spPr bwMode="auto">
        <a:xfrm rot="5400000">
          <a:off x="1284055" y="24275782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385" name="AutoShape 10733">
          <a:extLst>
            <a:ext uri="{FF2B5EF4-FFF2-40B4-BE49-F238E27FC236}">
              <a16:creationId xmlns:a16="http://schemas.microsoft.com/office/drawing/2014/main" id="{B6EE5412-A129-4861-82A0-8A2519419D41}"/>
            </a:ext>
          </a:extLst>
        </xdr:cNvPr>
        <xdr:cNvSpPr>
          <a:spLocks noChangeArrowheads="1"/>
        </xdr:cNvSpPr>
      </xdr:nvSpPr>
      <xdr:spPr bwMode="auto">
        <a:xfrm rot="5400000">
          <a:off x="1362340" y="22456885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387" name="Picture 11597">
          <a:extLst>
            <a:ext uri="{FF2B5EF4-FFF2-40B4-BE49-F238E27FC236}">
              <a16:creationId xmlns:a16="http://schemas.microsoft.com/office/drawing/2014/main" id="{7CFE9C55-412D-4FB3-BCDB-28049E99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56776" y="240792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389" name="Picture 11597">
          <a:extLst>
            <a:ext uri="{FF2B5EF4-FFF2-40B4-BE49-F238E27FC236}">
              <a16:creationId xmlns:a16="http://schemas.microsoft.com/office/drawing/2014/main" id="{F644918F-C28D-4E45-A7A3-03E370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282" y="260604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390" name="Picture 11597">
          <a:extLst>
            <a:ext uri="{FF2B5EF4-FFF2-40B4-BE49-F238E27FC236}">
              <a16:creationId xmlns:a16="http://schemas.microsoft.com/office/drawing/2014/main" id="{A4B501D3-5884-4EC1-AD97-E13107E2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482" y="260783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393" name="AutoShape 10733">
          <a:extLst>
            <a:ext uri="{FF2B5EF4-FFF2-40B4-BE49-F238E27FC236}">
              <a16:creationId xmlns:a16="http://schemas.microsoft.com/office/drawing/2014/main" id="{03C3C3A6-1FF1-41F8-A89B-261D6080FF1F}"/>
            </a:ext>
          </a:extLst>
        </xdr:cNvPr>
        <xdr:cNvSpPr>
          <a:spLocks noChangeArrowheads="1"/>
        </xdr:cNvSpPr>
      </xdr:nvSpPr>
      <xdr:spPr bwMode="auto">
        <a:xfrm rot="5400000">
          <a:off x="2635329" y="26302743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395" name="Picture 11597">
          <a:extLst>
            <a:ext uri="{FF2B5EF4-FFF2-40B4-BE49-F238E27FC236}">
              <a16:creationId xmlns:a16="http://schemas.microsoft.com/office/drawing/2014/main" id="{18AD9174-1000-4E35-8247-873AF35A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3317" y="476922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397" name="Picture 11597">
          <a:extLst>
            <a:ext uri="{FF2B5EF4-FFF2-40B4-BE49-F238E27FC236}">
              <a16:creationId xmlns:a16="http://schemas.microsoft.com/office/drawing/2014/main" id="{E5BB5DF2-F663-4DA5-B596-94E8E17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7" y="4814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398" name="Picture 11597">
          <a:extLst>
            <a:ext uri="{FF2B5EF4-FFF2-40B4-BE49-F238E27FC236}">
              <a16:creationId xmlns:a16="http://schemas.microsoft.com/office/drawing/2014/main" id="{6FD01BA9-729C-4359-9794-1A12BA3E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71" y="67773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399" name="AutoShape 301">
          <a:extLst>
            <a:ext uri="{FF2B5EF4-FFF2-40B4-BE49-F238E27FC236}">
              <a16:creationId xmlns:a16="http://schemas.microsoft.com/office/drawing/2014/main" id="{02C804C1-19A6-4376-9935-A187837A4FF7}"/>
            </a:ext>
          </a:extLst>
        </xdr:cNvPr>
        <xdr:cNvSpPr>
          <a:spLocks noChangeArrowheads="1"/>
        </xdr:cNvSpPr>
      </xdr:nvSpPr>
      <xdr:spPr bwMode="auto">
        <a:xfrm rot="7084349">
          <a:off x="5036977" y="686815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id="{54AA0098-7D5F-4ECF-9C31-22FB2D4D3019}"/>
            </a:ext>
          </a:extLst>
        </xdr:cNvPr>
        <xdr:cNvSpPr/>
      </xdr:nvSpPr>
      <xdr:spPr>
        <a:xfrm>
          <a:off x="2680447" y="834614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id="{E468700B-CE2F-45BF-9F5E-0DF7F4D1BE18}"/>
            </a:ext>
          </a:extLst>
        </xdr:cNvPr>
        <xdr:cNvSpPr/>
      </xdr:nvSpPr>
      <xdr:spPr>
        <a:xfrm>
          <a:off x="3980329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id="{0814842F-EA56-47F6-AC5B-144D33151CD1}"/>
            </a:ext>
          </a:extLst>
        </xdr:cNvPr>
        <xdr:cNvSpPr/>
      </xdr:nvSpPr>
      <xdr:spPr>
        <a:xfrm>
          <a:off x="5145741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405" name="AutoShape 301">
          <a:extLst>
            <a:ext uri="{FF2B5EF4-FFF2-40B4-BE49-F238E27FC236}">
              <a16:creationId xmlns:a16="http://schemas.microsoft.com/office/drawing/2014/main" id="{F6A97225-8DB4-4310-B79C-46B5FCC70751}"/>
            </a:ext>
          </a:extLst>
        </xdr:cNvPr>
        <xdr:cNvSpPr>
          <a:spLocks noChangeArrowheads="1"/>
        </xdr:cNvSpPr>
      </xdr:nvSpPr>
      <xdr:spPr bwMode="auto">
        <a:xfrm rot="7084349">
          <a:off x="11482599" y="8436975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406" name="AutoShape 10733">
          <a:extLst>
            <a:ext uri="{FF2B5EF4-FFF2-40B4-BE49-F238E27FC236}">
              <a16:creationId xmlns:a16="http://schemas.microsoft.com/office/drawing/2014/main" id="{40E7F341-6A07-4430-B202-2182BE37B99C}"/>
            </a:ext>
          </a:extLst>
        </xdr:cNvPr>
        <xdr:cNvSpPr>
          <a:spLocks noChangeArrowheads="1"/>
        </xdr:cNvSpPr>
      </xdr:nvSpPr>
      <xdr:spPr bwMode="auto">
        <a:xfrm rot="5400000">
          <a:off x="2783902" y="10152168"/>
          <a:ext cx="4587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410" name="AutoShape 301">
          <a:extLst>
            <a:ext uri="{FF2B5EF4-FFF2-40B4-BE49-F238E27FC236}">
              <a16:creationId xmlns:a16="http://schemas.microsoft.com/office/drawing/2014/main" id="{35D411E7-EAC8-4C10-AD35-DB2F93C48E65}"/>
            </a:ext>
          </a:extLst>
        </xdr:cNvPr>
        <xdr:cNvSpPr>
          <a:spLocks noChangeArrowheads="1"/>
        </xdr:cNvSpPr>
      </xdr:nvSpPr>
      <xdr:spPr bwMode="auto">
        <a:xfrm rot="7084349">
          <a:off x="4094847" y="1003071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413" name="AutoShape 301">
          <a:extLst>
            <a:ext uri="{FF2B5EF4-FFF2-40B4-BE49-F238E27FC236}">
              <a16:creationId xmlns:a16="http://schemas.microsoft.com/office/drawing/2014/main" id="{F6A9D393-C7C4-4840-82D7-44F43D1C414C}"/>
            </a:ext>
          </a:extLst>
        </xdr:cNvPr>
        <xdr:cNvSpPr>
          <a:spLocks noChangeArrowheads="1"/>
        </xdr:cNvSpPr>
      </xdr:nvSpPr>
      <xdr:spPr bwMode="auto">
        <a:xfrm rot="7084349">
          <a:off x="7851894" y="10059588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414" name="AutoShape 301">
          <a:extLst>
            <a:ext uri="{FF2B5EF4-FFF2-40B4-BE49-F238E27FC236}">
              <a16:creationId xmlns:a16="http://schemas.microsoft.com/office/drawing/2014/main" id="{C2A51507-F52D-49EF-948F-33315A4A0480}"/>
            </a:ext>
          </a:extLst>
        </xdr:cNvPr>
        <xdr:cNvSpPr>
          <a:spLocks noChangeArrowheads="1"/>
        </xdr:cNvSpPr>
      </xdr:nvSpPr>
      <xdr:spPr bwMode="auto">
        <a:xfrm rot="7084349">
          <a:off x="10209613" y="10005799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419" name="Picture 11597">
          <a:extLst>
            <a:ext uri="{FF2B5EF4-FFF2-40B4-BE49-F238E27FC236}">
              <a16:creationId xmlns:a16="http://schemas.microsoft.com/office/drawing/2014/main" id="{3F2A7A75-150E-4B81-A03B-09A5C738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49317" y="989703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420" name="AutoShape 301">
          <a:extLst>
            <a:ext uri="{FF2B5EF4-FFF2-40B4-BE49-F238E27FC236}">
              <a16:creationId xmlns:a16="http://schemas.microsoft.com/office/drawing/2014/main" id="{63E9C031-90BD-47C5-B8F3-53497B38A9A9}"/>
            </a:ext>
          </a:extLst>
        </xdr:cNvPr>
        <xdr:cNvSpPr>
          <a:spLocks noChangeArrowheads="1"/>
        </xdr:cNvSpPr>
      </xdr:nvSpPr>
      <xdr:spPr bwMode="auto">
        <a:xfrm rot="7084349">
          <a:off x="11628888" y="9995564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425" name="AutoShape 301">
          <a:extLst>
            <a:ext uri="{FF2B5EF4-FFF2-40B4-BE49-F238E27FC236}">
              <a16:creationId xmlns:a16="http://schemas.microsoft.com/office/drawing/2014/main" id="{D345966D-092E-4AC4-AFCA-EB85D72BBADB}"/>
            </a:ext>
          </a:extLst>
        </xdr:cNvPr>
        <xdr:cNvSpPr>
          <a:spLocks noChangeArrowheads="1"/>
        </xdr:cNvSpPr>
      </xdr:nvSpPr>
      <xdr:spPr bwMode="auto">
        <a:xfrm rot="7084349">
          <a:off x="12624498" y="10002420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427" name="Picture 11597">
          <a:extLst>
            <a:ext uri="{FF2B5EF4-FFF2-40B4-BE49-F238E27FC236}">
              <a16:creationId xmlns:a16="http://schemas.microsoft.com/office/drawing/2014/main" id="{EADBD136-66B2-42D2-9A22-0042CC0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9059" y="132229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428" name="Picture 11597">
          <a:extLst>
            <a:ext uri="{FF2B5EF4-FFF2-40B4-BE49-F238E27FC236}">
              <a16:creationId xmlns:a16="http://schemas.microsoft.com/office/drawing/2014/main" id="{2A0281BF-55BF-44F8-A76F-5446812E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26306" y="1320501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430" name="Picture 11597">
          <a:extLst>
            <a:ext uri="{FF2B5EF4-FFF2-40B4-BE49-F238E27FC236}">
              <a16:creationId xmlns:a16="http://schemas.microsoft.com/office/drawing/2014/main" id="{D7365E90-F6FC-46E3-97F4-A666BDD8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7" y="16764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431" name="AutoShape 301">
          <a:extLst>
            <a:ext uri="{FF2B5EF4-FFF2-40B4-BE49-F238E27FC236}">
              <a16:creationId xmlns:a16="http://schemas.microsoft.com/office/drawing/2014/main" id="{CB7ED99E-B6FA-4353-BFC7-045576BB3B1B}"/>
            </a:ext>
          </a:extLst>
        </xdr:cNvPr>
        <xdr:cNvSpPr>
          <a:spLocks noChangeArrowheads="1"/>
        </xdr:cNvSpPr>
      </xdr:nvSpPr>
      <xdr:spPr bwMode="auto">
        <a:xfrm rot="7084349">
          <a:off x="5280614" y="16898556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432" name="AutoShape 301">
          <a:extLst>
            <a:ext uri="{FF2B5EF4-FFF2-40B4-BE49-F238E27FC236}">
              <a16:creationId xmlns:a16="http://schemas.microsoft.com/office/drawing/2014/main" id="{454F9B22-3FEC-4CD4-9FCC-C60F7311CC94}"/>
            </a:ext>
          </a:extLst>
        </xdr:cNvPr>
        <xdr:cNvSpPr>
          <a:spLocks noChangeArrowheads="1"/>
        </xdr:cNvSpPr>
      </xdr:nvSpPr>
      <xdr:spPr bwMode="auto">
        <a:xfrm rot="7084349">
          <a:off x="8808869" y="16892944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433" name="AutoShape 301">
          <a:extLst>
            <a:ext uri="{FF2B5EF4-FFF2-40B4-BE49-F238E27FC236}">
              <a16:creationId xmlns:a16="http://schemas.microsoft.com/office/drawing/2014/main" id="{46D155EE-3860-4E0A-AE0F-97B1BD0622A9}"/>
            </a:ext>
          </a:extLst>
        </xdr:cNvPr>
        <xdr:cNvSpPr>
          <a:spLocks noChangeArrowheads="1"/>
        </xdr:cNvSpPr>
      </xdr:nvSpPr>
      <xdr:spPr bwMode="auto">
        <a:xfrm rot="7084349">
          <a:off x="11409513" y="16939031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437" name="AutoShape 301">
          <a:extLst>
            <a:ext uri="{FF2B5EF4-FFF2-40B4-BE49-F238E27FC236}">
              <a16:creationId xmlns:a16="http://schemas.microsoft.com/office/drawing/2014/main" id="{DB1ACC06-F123-4063-AC72-85C0A5A336E4}"/>
            </a:ext>
          </a:extLst>
        </xdr:cNvPr>
        <xdr:cNvSpPr>
          <a:spLocks noChangeArrowheads="1"/>
        </xdr:cNvSpPr>
      </xdr:nvSpPr>
      <xdr:spPr bwMode="auto">
        <a:xfrm rot="7084349">
          <a:off x="3805386" y="18624310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438" name="AutoShape 301">
          <a:extLst>
            <a:ext uri="{FF2B5EF4-FFF2-40B4-BE49-F238E27FC236}">
              <a16:creationId xmlns:a16="http://schemas.microsoft.com/office/drawing/2014/main" id="{890AEF21-BC5C-46D6-B243-1D5261AFBECD}"/>
            </a:ext>
          </a:extLst>
        </xdr:cNvPr>
        <xdr:cNvSpPr>
          <a:spLocks noChangeArrowheads="1"/>
        </xdr:cNvSpPr>
      </xdr:nvSpPr>
      <xdr:spPr bwMode="auto">
        <a:xfrm rot="7084349">
          <a:off x="8907480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439" name="AutoShape 301">
          <a:extLst>
            <a:ext uri="{FF2B5EF4-FFF2-40B4-BE49-F238E27FC236}">
              <a16:creationId xmlns:a16="http://schemas.microsoft.com/office/drawing/2014/main" id="{D65BCABA-077B-46C3-9AD7-7AD8F308AC19}"/>
            </a:ext>
          </a:extLst>
        </xdr:cNvPr>
        <xdr:cNvSpPr>
          <a:spLocks noChangeArrowheads="1"/>
        </xdr:cNvSpPr>
      </xdr:nvSpPr>
      <xdr:spPr bwMode="auto">
        <a:xfrm rot="7084349">
          <a:off x="11408632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441" name="AutoShape 301">
          <a:extLst>
            <a:ext uri="{FF2B5EF4-FFF2-40B4-BE49-F238E27FC236}">
              <a16:creationId xmlns:a16="http://schemas.microsoft.com/office/drawing/2014/main" id="{4951797C-8F36-4FB8-B97E-0705694F02BE}"/>
            </a:ext>
          </a:extLst>
        </xdr:cNvPr>
        <xdr:cNvSpPr>
          <a:spLocks noChangeArrowheads="1"/>
        </xdr:cNvSpPr>
      </xdr:nvSpPr>
      <xdr:spPr bwMode="auto">
        <a:xfrm rot="7084349">
          <a:off x="1502633" y="20622262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443" name="AutoShape 10733">
          <a:extLst>
            <a:ext uri="{FF2B5EF4-FFF2-40B4-BE49-F238E27FC236}">
              <a16:creationId xmlns:a16="http://schemas.microsoft.com/office/drawing/2014/main" id="{AA434DB0-4F67-4E9B-81F5-83403FF3EE3B}"/>
            </a:ext>
          </a:extLst>
        </xdr:cNvPr>
        <xdr:cNvSpPr>
          <a:spLocks noChangeArrowheads="1"/>
        </xdr:cNvSpPr>
      </xdr:nvSpPr>
      <xdr:spPr bwMode="auto">
        <a:xfrm rot="5400000">
          <a:off x="7561356" y="20695398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444" name="AutoShape 301">
          <a:extLst>
            <a:ext uri="{FF2B5EF4-FFF2-40B4-BE49-F238E27FC236}">
              <a16:creationId xmlns:a16="http://schemas.microsoft.com/office/drawing/2014/main" id="{C1B59E3E-5459-42C0-95DC-197779D8083E}"/>
            </a:ext>
          </a:extLst>
        </xdr:cNvPr>
        <xdr:cNvSpPr>
          <a:spLocks noChangeArrowheads="1"/>
        </xdr:cNvSpPr>
      </xdr:nvSpPr>
      <xdr:spPr bwMode="auto">
        <a:xfrm rot="7084349">
          <a:off x="10318455" y="20621945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445" name="AutoShape 301">
          <a:extLst>
            <a:ext uri="{FF2B5EF4-FFF2-40B4-BE49-F238E27FC236}">
              <a16:creationId xmlns:a16="http://schemas.microsoft.com/office/drawing/2014/main" id="{D265D639-C8A0-4956-A3F9-DB861728F90F}"/>
            </a:ext>
          </a:extLst>
        </xdr:cNvPr>
        <xdr:cNvSpPr>
          <a:spLocks noChangeArrowheads="1"/>
        </xdr:cNvSpPr>
      </xdr:nvSpPr>
      <xdr:spPr bwMode="auto">
        <a:xfrm rot="7084349">
          <a:off x="2590402" y="22385269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446" name="AutoShape 301">
          <a:extLst>
            <a:ext uri="{FF2B5EF4-FFF2-40B4-BE49-F238E27FC236}">
              <a16:creationId xmlns:a16="http://schemas.microsoft.com/office/drawing/2014/main" id="{AEFDCC2F-19C3-47AE-8FE3-50F831CF35C7}"/>
            </a:ext>
          </a:extLst>
        </xdr:cNvPr>
        <xdr:cNvSpPr>
          <a:spLocks noChangeArrowheads="1"/>
        </xdr:cNvSpPr>
      </xdr:nvSpPr>
      <xdr:spPr bwMode="auto">
        <a:xfrm rot="7084349">
          <a:off x="5288778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447" name="AutoShape 301">
          <a:extLst>
            <a:ext uri="{FF2B5EF4-FFF2-40B4-BE49-F238E27FC236}">
              <a16:creationId xmlns:a16="http://schemas.microsoft.com/office/drawing/2014/main" id="{23B61D51-7904-4696-982E-B90C77665239}"/>
            </a:ext>
          </a:extLst>
        </xdr:cNvPr>
        <xdr:cNvSpPr>
          <a:spLocks noChangeArrowheads="1"/>
        </xdr:cNvSpPr>
      </xdr:nvSpPr>
      <xdr:spPr bwMode="auto">
        <a:xfrm rot="7084349">
          <a:off x="6543837" y="22403198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449" name="AutoShape 301">
          <a:extLst>
            <a:ext uri="{FF2B5EF4-FFF2-40B4-BE49-F238E27FC236}">
              <a16:creationId xmlns:a16="http://schemas.microsoft.com/office/drawing/2014/main" id="{4B2547E5-5002-4D68-BD39-E45A898061E1}"/>
            </a:ext>
          </a:extLst>
        </xdr:cNvPr>
        <xdr:cNvSpPr>
          <a:spLocks noChangeArrowheads="1"/>
        </xdr:cNvSpPr>
      </xdr:nvSpPr>
      <xdr:spPr bwMode="auto">
        <a:xfrm rot="7084349">
          <a:off x="10309013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450" name="AutoShape 301">
          <a:extLst>
            <a:ext uri="{FF2B5EF4-FFF2-40B4-BE49-F238E27FC236}">
              <a16:creationId xmlns:a16="http://schemas.microsoft.com/office/drawing/2014/main" id="{F0E374D9-E7DF-47BE-8369-93B4B39F2CD8}"/>
            </a:ext>
          </a:extLst>
        </xdr:cNvPr>
        <xdr:cNvSpPr>
          <a:spLocks noChangeArrowheads="1"/>
        </xdr:cNvSpPr>
      </xdr:nvSpPr>
      <xdr:spPr bwMode="auto">
        <a:xfrm rot="7084349">
          <a:off x="8874661" y="24267857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451" name="AutoShape 301">
          <a:extLst>
            <a:ext uri="{FF2B5EF4-FFF2-40B4-BE49-F238E27FC236}">
              <a16:creationId xmlns:a16="http://schemas.microsoft.com/office/drawing/2014/main" id="{3AD36D66-367E-4CBC-9DAD-7F176B67EF19}"/>
            </a:ext>
          </a:extLst>
        </xdr:cNvPr>
        <xdr:cNvSpPr>
          <a:spLocks noChangeArrowheads="1"/>
        </xdr:cNvSpPr>
      </xdr:nvSpPr>
      <xdr:spPr bwMode="auto">
        <a:xfrm rot="7084349">
          <a:off x="12880060" y="24311980"/>
          <a:ext cx="304437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7A99CE9A-E6E8-4187-96AE-A454B7A8967F}"/>
            </a:ext>
          </a:extLst>
        </xdr:cNvPr>
        <xdr:cNvSpPr/>
      </xdr:nvSpPr>
      <xdr:spPr>
        <a:xfrm>
          <a:off x="4366225" y="2783247"/>
          <a:ext cx="620268" cy="30480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18249</xdr:colOff>
      <xdr:row>15</xdr:row>
      <xdr:rowOff>68377</xdr:rowOff>
    </xdr:from>
    <xdr:to>
      <xdr:col>11</xdr:col>
      <xdr:colOff>13676</xdr:colOff>
      <xdr:row>16</xdr:row>
      <xdr:rowOff>154737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B58D26A2-8B34-45FD-8217-FF13A88149BA}"/>
            </a:ext>
          </a:extLst>
        </xdr:cNvPr>
        <xdr:cNvSpPr/>
      </xdr:nvSpPr>
      <xdr:spPr>
        <a:xfrm>
          <a:off x="5782095" y="2784223"/>
          <a:ext cx="640196" cy="29151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77CD35C7-02A0-42F8-A68D-2464C23FFC08}"/>
            </a:ext>
          </a:extLst>
        </xdr:cNvPr>
        <xdr:cNvSpPr/>
      </xdr:nvSpPr>
      <xdr:spPr>
        <a:xfrm>
          <a:off x="43708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704FF7B2-6F64-445A-8DD0-B55A92693671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CA1FD673-517F-4179-BDDB-6DDA8F5CB951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D19B7A3-EBE5-4653-BE33-48B960AAE0CA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575139EE-44CA-4677-9453-34F7DC2AC2B5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BC52673D-AEE6-458C-A462-208C673639D2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EF61B5AE-FA34-4343-BC10-C92206AF2F59}"/>
            </a:ext>
          </a:extLst>
        </xdr:cNvPr>
        <xdr:cNvSpPr/>
      </xdr:nvSpPr>
      <xdr:spPr>
        <a:xfrm>
          <a:off x="811987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6037B30C-BF5C-4F1C-BA19-E32C4FEB5084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A9D8C7B8-9CBC-4C7D-BD71-8592E2D329E7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D9720390-489A-41EE-A63A-19FB5C784347}"/>
            </a:ext>
          </a:extLst>
        </xdr:cNvPr>
        <xdr:cNvSpPr/>
      </xdr:nvSpPr>
      <xdr:spPr>
        <a:xfrm>
          <a:off x="687019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1AC353F9-E80D-42A0-A46C-FC8BEA2D25A1}"/>
            </a:ext>
          </a:extLst>
        </xdr:cNvPr>
        <xdr:cNvSpPr/>
      </xdr:nvSpPr>
      <xdr:spPr>
        <a:xfrm>
          <a:off x="11868912" y="7922994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65354069-CAB0-40F6-AB3E-A3AEB89E4A2D}"/>
            </a:ext>
          </a:extLst>
        </xdr:cNvPr>
        <xdr:cNvSpPr/>
      </xdr:nvSpPr>
      <xdr:spPr>
        <a:xfrm>
          <a:off x="185623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136" name="Line 327">
          <a:extLst>
            <a:ext uri="{FF2B5EF4-FFF2-40B4-BE49-F238E27FC236}">
              <a16:creationId xmlns:a16="http://schemas.microsoft.com/office/drawing/2014/main" id="{0C2D478A-1D3C-4EAF-9551-16CD59201424}"/>
            </a:ext>
          </a:extLst>
        </xdr:cNvPr>
        <xdr:cNvSpPr>
          <a:spLocks noChangeShapeType="1"/>
        </xdr:cNvSpPr>
      </xdr:nvSpPr>
      <xdr:spPr bwMode="auto">
        <a:xfrm flipH="1">
          <a:off x="7042404" y="2915564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139" name="Line 327">
          <a:extLst>
            <a:ext uri="{FF2B5EF4-FFF2-40B4-BE49-F238E27FC236}">
              <a16:creationId xmlns:a16="http://schemas.microsoft.com/office/drawing/2014/main" id="{1ED01202-F7BA-4709-B1F2-A9DB87E78743}"/>
            </a:ext>
          </a:extLst>
        </xdr:cNvPr>
        <xdr:cNvSpPr>
          <a:spLocks noChangeShapeType="1"/>
        </xdr:cNvSpPr>
      </xdr:nvSpPr>
      <xdr:spPr bwMode="auto">
        <a:xfrm flipH="1">
          <a:off x="7077837" y="2918231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140" name="AutoShape 301">
          <a:extLst>
            <a:ext uri="{FF2B5EF4-FFF2-40B4-BE49-F238E27FC236}">
              <a16:creationId xmlns:a16="http://schemas.microsoft.com/office/drawing/2014/main" id="{9545E206-C953-49E8-AA25-FFD3DED71B5C}"/>
            </a:ext>
          </a:extLst>
        </xdr:cNvPr>
        <xdr:cNvSpPr>
          <a:spLocks noChangeArrowheads="1"/>
        </xdr:cNvSpPr>
      </xdr:nvSpPr>
      <xdr:spPr bwMode="auto">
        <a:xfrm rot="7084349">
          <a:off x="2590559" y="29985377"/>
          <a:ext cx="30368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146" name="Line 318">
          <a:extLst>
            <a:ext uri="{FF2B5EF4-FFF2-40B4-BE49-F238E27FC236}">
              <a16:creationId xmlns:a16="http://schemas.microsoft.com/office/drawing/2014/main" id="{50665E5B-9B92-4960-A1A4-7DDB69BACE30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148" name="Line 318">
          <a:extLst>
            <a:ext uri="{FF2B5EF4-FFF2-40B4-BE49-F238E27FC236}">
              <a16:creationId xmlns:a16="http://schemas.microsoft.com/office/drawing/2014/main" id="{EA4065B3-85D7-44CD-ADC4-4E0D0EFECC9B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151" name="Line 318">
          <a:extLst>
            <a:ext uri="{FF2B5EF4-FFF2-40B4-BE49-F238E27FC236}">
              <a16:creationId xmlns:a16="http://schemas.microsoft.com/office/drawing/2014/main" id="{8B806F76-A3DC-425A-BAB7-FCAA9A4CBE2D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152" name="Line 305">
          <a:extLst>
            <a:ext uri="{FF2B5EF4-FFF2-40B4-BE49-F238E27FC236}">
              <a16:creationId xmlns:a16="http://schemas.microsoft.com/office/drawing/2014/main" id="{DBCB8894-F551-4708-B22B-86E4ADA0A51D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157" name="Line 305">
          <a:extLst>
            <a:ext uri="{FF2B5EF4-FFF2-40B4-BE49-F238E27FC236}">
              <a16:creationId xmlns:a16="http://schemas.microsoft.com/office/drawing/2014/main" id="{1A8D4E64-E63A-4DB4-B4B0-7BB04F860694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F859C52-E941-45EA-A84F-1BEDB92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6582" y="29041108"/>
          <a:ext cx="319569" cy="48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159" name="Parallelogram 158">
          <a:extLst>
            <a:ext uri="{FF2B5EF4-FFF2-40B4-BE49-F238E27FC236}">
              <a16:creationId xmlns:a16="http://schemas.microsoft.com/office/drawing/2014/main" id="{1C2BD3D7-FA81-4A72-BE8D-DEE00A23BEF7}"/>
            </a:ext>
          </a:extLst>
        </xdr:cNvPr>
        <xdr:cNvSpPr/>
      </xdr:nvSpPr>
      <xdr:spPr>
        <a:xfrm rot="1440000">
          <a:off x="10084339" y="30238784"/>
          <a:ext cx="193194" cy="28209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6E75D7CA-D6B3-4DD9-BA30-A3FE0D753313}"/>
            </a:ext>
          </a:extLst>
        </xdr:cNvPr>
        <xdr:cNvCxnSpPr/>
      </xdr:nvCxnSpPr>
      <xdr:spPr>
        <a:xfrm flipH="1">
          <a:off x="10075521" y="30264820"/>
          <a:ext cx="196693" cy="24969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4E135CCB-AFF6-4330-A63C-9C4B8E0309F1}"/>
            </a:ext>
          </a:extLst>
        </xdr:cNvPr>
        <xdr:cNvSpPr/>
      </xdr:nvSpPr>
      <xdr:spPr>
        <a:xfrm>
          <a:off x="3121152" y="27670167"/>
          <a:ext cx="62026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C5084302-ADD4-4693-9D4F-6A38E79E1D76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FDABCF93-8B97-4958-AF61-9633C432472D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563501</xdr:colOff>
      <xdr:row>15</xdr:row>
      <xdr:rowOff>69287</xdr:rowOff>
    </xdr:from>
    <xdr:to>
      <xdr:col>2</xdr:col>
      <xdr:colOff>600118</xdr:colOff>
      <xdr:row>16</xdr:row>
      <xdr:rowOff>170502</xdr:rowOff>
    </xdr:to>
    <xdr:sp macro="" textlink="">
      <xdr:nvSpPr>
        <xdr:cNvPr id="303" name="Isosceles Triangle 302">
          <a:extLst>
            <a:ext uri="{FF2B5EF4-FFF2-40B4-BE49-F238E27FC236}">
              <a16:creationId xmlns:a16="http://schemas.microsoft.com/office/drawing/2014/main" id="{909B5CE5-BD6B-4540-96FE-D679C3387B08}"/>
            </a:ext>
          </a:extLst>
        </xdr:cNvPr>
        <xdr:cNvSpPr/>
      </xdr:nvSpPr>
      <xdr:spPr>
        <a:xfrm>
          <a:off x="563501" y="2774387"/>
          <a:ext cx="623357" cy="30695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305" name="Isosceles Triangle 304">
          <a:extLst>
            <a:ext uri="{FF2B5EF4-FFF2-40B4-BE49-F238E27FC236}">
              <a16:creationId xmlns:a16="http://schemas.microsoft.com/office/drawing/2014/main" id="{9EE2B9E4-A4E4-49B9-941B-A459DC2A6CC7}"/>
            </a:ext>
          </a:extLst>
        </xdr:cNvPr>
        <xdr:cNvSpPr/>
      </xdr:nvSpPr>
      <xdr:spPr>
        <a:xfrm>
          <a:off x="1836385" y="2783247"/>
          <a:ext cx="626648" cy="30480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308" name="Isosceles Triangle 307">
          <a:extLst>
            <a:ext uri="{FF2B5EF4-FFF2-40B4-BE49-F238E27FC236}">
              <a16:creationId xmlns:a16="http://schemas.microsoft.com/office/drawing/2014/main" id="{33F9BFDC-3C94-4093-A7E9-F7AB53F52894}"/>
            </a:ext>
          </a:extLst>
        </xdr:cNvPr>
        <xdr:cNvSpPr/>
      </xdr:nvSpPr>
      <xdr:spPr>
        <a:xfrm>
          <a:off x="3101306" y="2783247"/>
          <a:ext cx="626647" cy="30099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309" name="Curved Down Ribbon 284">
          <a:extLst>
            <a:ext uri="{FF2B5EF4-FFF2-40B4-BE49-F238E27FC236}">
              <a16:creationId xmlns:a16="http://schemas.microsoft.com/office/drawing/2014/main" id="{E493348E-CDA2-485E-B25C-3174C7BFFAA3}"/>
            </a:ext>
          </a:extLst>
        </xdr:cNvPr>
        <xdr:cNvSpPr/>
      </xdr:nvSpPr>
      <xdr:spPr>
        <a:xfrm>
          <a:off x="63640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391" name="Isosceles Triangle 390">
          <a:extLst>
            <a:ext uri="{FF2B5EF4-FFF2-40B4-BE49-F238E27FC236}">
              <a16:creationId xmlns:a16="http://schemas.microsoft.com/office/drawing/2014/main" id="{720ED1EB-E349-4967-BA76-69DF6F7DE68D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52" name="Isosceles Triangle 451">
          <a:extLst>
            <a:ext uri="{FF2B5EF4-FFF2-40B4-BE49-F238E27FC236}">
              <a16:creationId xmlns:a16="http://schemas.microsoft.com/office/drawing/2014/main" id="{CFC83E40-FE33-45FF-9631-0BB13F29C7AC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453" name="Curved Right Arrow 287">
          <a:extLst>
            <a:ext uri="{FF2B5EF4-FFF2-40B4-BE49-F238E27FC236}">
              <a16:creationId xmlns:a16="http://schemas.microsoft.com/office/drawing/2014/main" id="{A8A44CC8-1823-46D0-9786-D9CFAF50ECBE}"/>
            </a:ext>
          </a:extLst>
        </xdr:cNvPr>
        <xdr:cNvSpPr/>
      </xdr:nvSpPr>
      <xdr:spPr>
        <a:xfrm>
          <a:off x="10193928" y="282206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454" name="Flowchart: Connector 453">
          <a:extLst>
            <a:ext uri="{FF2B5EF4-FFF2-40B4-BE49-F238E27FC236}">
              <a16:creationId xmlns:a16="http://schemas.microsoft.com/office/drawing/2014/main" id="{7EE45E4A-FD28-407E-BA3B-E4F3987B3889}"/>
            </a:ext>
          </a:extLst>
        </xdr:cNvPr>
        <xdr:cNvSpPr/>
      </xdr:nvSpPr>
      <xdr:spPr>
        <a:xfrm>
          <a:off x="5860868" y="2777326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57" name="Straight Arrow Connector 456">
          <a:extLst>
            <a:ext uri="{FF2B5EF4-FFF2-40B4-BE49-F238E27FC236}">
              <a16:creationId xmlns:a16="http://schemas.microsoft.com/office/drawing/2014/main" id="{39EF1C41-0BD3-4B56-A284-0DF969C16D7B}"/>
            </a:ext>
          </a:extLst>
        </xdr:cNvPr>
        <xdr:cNvCxnSpPr>
          <a:endCxn id="178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58" name="Curved Right Arrow 313">
          <a:extLst>
            <a:ext uri="{FF2B5EF4-FFF2-40B4-BE49-F238E27FC236}">
              <a16:creationId xmlns:a16="http://schemas.microsoft.com/office/drawing/2014/main" id="{EC38247C-6700-44FA-8432-298A26C0B6D1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59" name="Curved Right Arrow 314">
          <a:extLst>
            <a:ext uri="{FF2B5EF4-FFF2-40B4-BE49-F238E27FC236}">
              <a16:creationId xmlns:a16="http://schemas.microsoft.com/office/drawing/2014/main" id="{58DA190F-9D4F-4B99-9A90-E14FF3CE175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60" name="Curved Right Arrow 315">
          <a:extLst>
            <a:ext uri="{FF2B5EF4-FFF2-40B4-BE49-F238E27FC236}">
              <a16:creationId xmlns:a16="http://schemas.microsoft.com/office/drawing/2014/main" id="{110668E6-F254-4DBF-9676-FCD230C1EE1A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CB04A39F-8F7C-4E39-96F4-C87F1C8BA8C7}"/>
            </a:ext>
          </a:extLst>
        </xdr:cNvPr>
        <xdr:cNvSpPr/>
      </xdr:nvSpPr>
      <xdr:spPr>
        <a:xfrm>
          <a:off x="312115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7001FB3C-82AF-4611-905C-715BE2EDCD13}"/>
            </a:ext>
          </a:extLst>
        </xdr:cNvPr>
        <xdr:cNvSpPr/>
      </xdr:nvSpPr>
      <xdr:spPr>
        <a:xfrm>
          <a:off x="9369552" y="12745388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id="{FEF222CD-811F-4718-ADEA-31BDE6386379}"/>
            </a:ext>
          </a:extLst>
        </xdr:cNvPr>
        <xdr:cNvSpPr/>
      </xdr:nvSpPr>
      <xdr:spPr>
        <a:xfrm>
          <a:off x="1186891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id="{CCD2A294-1DA3-449A-910E-82F72B9E5837}"/>
            </a:ext>
          </a:extLst>
        </xdr:cNvPr>
        <xdr:cNvSpPr/>
      </xdr:nvSpPr>
      <xdr:spPr>
        <a:xfrm>
          <a:off x="437083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465" name="Line 327">
          <a:extLst>
            <a:ext uri="{FF2B5EF4-FFF2-40B4-BE49-F238E27FC236}">
              <a16:creationId xmlns:a16="http://schemas.microsoft.com/office/drawing/2014/main" id="{8D9668BC-502D-44E3-B49E-A3A343E59127}"/>
            </a:ext>
          </a:extLst>
        </xdr:cNvPr>
        <xdr:cNvSpPr>
          <a:spLocks noChangeShapeType="1"/>
        </xdr:cNvSpPr>
      </xdr:nvSpPr>
      <xdr:spPr bwMode="auto">
        <a:xfrm flipH="1">
          <a:off x="7000682" y="29123165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466" name="Line 327">
          <a:extLst>
            <a:ext uri="{FF2B5EF4-FFF2-40B4-BE49-F238E27FC236}">
              <a16:creationId xmlns:a16="http://schemas.microsoft.com/office/drawing/2014/main" id="{F80EE868-AFB9-4CA8-B1D8-F9FE48953AC1}"/>
            </a:ext>
          </a:extLst>
        </xdr:cNvPr>
        <xdr:cNvSpPr>
          <a:spLocks noChangeShapeType="1"/>
        </xdr:cNvSpPr>
      </xdr:nvSpPr>
      <xdr:spPr bwMode="auto">
        <a:xfrm flipH="1">
          <a:off x="7117461" y="29215842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467" name="AutoShape 410">
          <a:extLst>
            <a:ext uri="{FF2B5EF4-FFF2-40B4-BE49-F238E27FC236}">
              <a16:creationId xmlns:a16="http://schemas.microsoft.com/office/drawing/2014/main" id="{AFC43AAA-3542-4AA5-BD4F-44F707E20D58}"/>
            </a:ext>
          </a:extLst>
        </xdr:cNvPr>
        <xdr:cNvSpPr>
          <a:spLocks noChangeArrowheads="1"/>
        </xdr:cNvSpPr>
      </xdr:nvSpPr>
      <xdr:spPr bwMode="auto">
        <a:xfrm rot="7297720">
          <a:off x="4500794" y="30216755"/>
          <a:ext cx="379374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469" name="Line 318">
          <a:extLst>
            <a:ext uri="{FF2B5EF4-FFF2-40B4-BE49-F238E27FC236}">
              <a16:creationId xmlns:a16="http://schemas.microsoft.com/office/drawing/2014/main" id="{D14C8D1E-3D3D-4EAF-BCA6-533DB643C67D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470" name="Line 318">
          <a:extLst>
            <a:ext uri="{FF2B5EF4-FFF2-40B4-BE49-F238E27FC236}">
              <a16:creationId xmlns:a16="http://schemas.microsoft.com/office/drawing/2014/main" id="{321DD52F-5576-44F2-957C-0D3C3D3BA4D3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471" name="Line 318">
          <a:extLst>
            <a:ext uri="{FF2B5EF4-FFF2-40B4-BE49-F238E27FC236}">
              <a16:creationId xmlns:a16="http://schemas.microsoft.com/office/drawing/2014/main" id="{737AAEE4-7BA4-452C-AF2C-A88CE784ED30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472" name="Line 305">
          <a:extLst>
            <a:ext uri="{FF2B5EF4-FFF2-40B4-BE49-F238E27FC236}">
              <a16:creationId xmlns:a16="http://schemas.microsoft.com/office/drawing/2014/main" id="{F6E0ACBD-F697-4AEF-BBD7-B6E9FA9DAFF1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473" name="Line 305">
          <a:extLst>
            <a:ext uri="{FF2B5EF4-FFF2-40B4-BE49-F238E27FC236}">
              <a16:creationId xmlns:a16="http://schemas.microsoft.com/office/drawing/2014/main" id="{042FAF63-314E-4CCE-B47F-1DED0E790C85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474" name="Isosceles Triangle 473">
          <a:extLst>
            <a:ext uri="{FF2B5EF4-FFF2-40B4-BE49-F238E27FC236}">
              <a16:creationId xmlns:a16="http://schemas.microsoft.com/office/drawing/2014/main" id="{467D8D0C-506A-4CF5-8264-1D45D0BE8620}"/>
            </a:ext>
          </a:extLst>
        </xdr:cNvPr>
        <xdr:cNvSpPr/>
      </xdr:nvSpPr>
      <xdr:spPr>
        <a:xfrm>
          <a:off x="3121152" y="27657467"/>
          <a:ext cx="620268" cy="26729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475" name="Isosceles Triangle 474">
          <a:extLst>
            <a:ext uri="{FF2B5EF4-FFF2-40B4-BE49-F238E27FC236}">
              <a16:creationId xmlns:a16="http://schemas.microsoft.com/office/drawing/2014/main" id="{403C13F8-43CA-46C5-B44D-E4F4D8B5E3B9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476" name="Isosceles Triangle 475">
          <a:extLst>
            <a:ext uri="{FF2B5EF4-FFF2-40B4-BE49-F238E27FC236}">
              <a16:creationId xmlns:a16="http://schemas.microsoft.com/office/drawing/2014/main" id="{AB3C6AE2-8CF0-41CE-A3A3-BE7320EFF28A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478" name="Curved Down Ribbon 610">
          <a:extLst>
            <a:ext uri="{FF2B5EF4-FFF2-40B4-BE49-F238E27FC236}">
              <a16:creationId xmlns:a16="http://schemas.microsoft.com/office/drawing/2014/main" id="{47CA1E75-D230-479E-A3F9-BAE6C19F15DC}"/>
            </a:ext>
          </a:extLst>
        </xdr:cNvPr>
        <xdr:cNvSpPr/>
      </xdr:nvSpPr>
      <xdr:spPr>
        <a:xfrm>
          <a:off x="63513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id="{566B9643-E4E6-4821-A120-78D2149316A9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id="{B44CB7DF-DF77-462F-A232-22790BE448A2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481" name="Curved Right Arrow 613">
          <a:extLst>
            <a:ext uri="{FF2B5EF4-FFF2-40B4-BE49-F238E27FC236}">
              <a16:creationId xmlns:a16="http://schemas.microsoft.com/office/drawing/2014/main" id="{F8601B6C-E197-4045-98EC-3E4F634F7EF6}"/>
            </a:ext>
          </a:extLst>
        </xdr:cNvPr>
        <xdr:cNvSpPr/>
      </xdr:nvSpPr>
      <xdr:spPr>
        <a:xfrm>
          <a:off x="10193928" y="282079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482" name="Flowchart: Connector 481">
          <a:extLst>
            <a:ext uri="{FF2B5EF4-FFF2-40B4-BE49-F238E27FC236}">
              <a16:creationId xmlns:a16="http://schemas.microsoft.com/office/drawing/2014/main" id="{0FB3A768-EEEF-4329-99D6-6975673B5254}"/>
            </a:ext>
          </a:extLst>
        </xdr:cNvPr>
        <xdr:cNvSpPr/>
      </xdr:nvSpPr>
      <xdr:spPr>
        <a:xfrm>
          <a:off x="5860868" y="27745328"/>
          <a:ext cx="136072" cy="13861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>
          <a:endCxn id="476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84" name="Curved Right Arrow 621">
          <a:extLst>
            <a:ext uri="{FF2B5EF4-FFF2-40B4-BE49-F238E27FC236}">
              <a16:creationId xmlns:a16="http://schemas.microsoft.com/office/drawing/2014/main" id="{E7EE10AC-F6B2-47E1-B4A0-7E5DEA862857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85" name="Curved Right Arrow 622">
          <a:extLst>
            <a:ext uri="{FF2B5EF4-FFF2-40B4-BE49-F238E27FC236}">
              <a16:creationId xmlns:a16="http://schemas.microsoft.com/office/drawing/2014/main" id="{83DC792D-8FBE-410F-A8D1-E5BEE7EF410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86" name="Curved Right Arrow 623">
          <a:extLst>
            <a:ext uri="{FF2B5EF4-FFF2-40B4-BE49-F238E27FC236}">
              <a16:creationId xmlns:a16="http://schemas.microsoft.com/office/drawing/2014/main" id="{7C74947D-A845-4C74-B844-D8BECF757BFB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487" name="Flowchart: Connector 486">
          <a:extLst>
            <a:ext uri="{FF2B5EF4-FFF2-40B4-BE49-F238E27FC236}">
              <a16:creationId xmlns:a16="http://schemas.microsoft.com/office/drawing/2014/main" id="{DE0B1A8B-9A44-4A5F-B0CD-D0615BD71299}"/>
            </a:ext>
          </a:extLst>
        </xdr:cNvPr>
        <xdr:cNvSpPr/>
      </xdr:nvSpPr>
      <xdr:spPr>
        <a:xfrm>
          <a:off x="7151369" y="1284732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488" name="Straight Arrow Connector 487">
          <a:extLst>
            <a:ext uri="{FF2B5EF4-FFF2-40B4-BE49-F238E27FC236}">
              <a16:creationId xmlns:a16="http://schemas.microsoft.com/office/drawing/2014/main" id="{FCCBD3D7-1EBE-4F16-A27F-2D9B63BA59DF}"/>
            </a:ext>
          </a:extLst>
        </xdr:cNvPr>
        <xdr:cNvCxnSpPr/>
      </xdr:nvCxnSpPr>
      <xdr:spPr>
        <a:xfrm flipH="1" flipV="1">
          <a:off x="586740" y="3999071"/>
          <a:ext cx="786205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B4809213-A2A3-4920-89DC-8F65D6E981F2}"/>
            </a:ext>
          </a:extLst>
        </xdr:cNvPr>
        <xdr:cNvCxnSpPr/>
      </xdr:nvCxnSpPr>
      <xdr:spPr>
        <a:xfrm flipV="1">
          <a:off x="2969559" y="4010838"/>
          <a:ext cx="760246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490" name="Straight Arrow Connector 489">
          <a:extLst>
            <a:ext uri="{FF2B5EF4-FFF2-40B4-BE49-F238E27FC236}">
              <a16:creationId xmlns:a16="http://schemas.microsoft.com/office/drawing/2014/main" id="{96F734F3-53CD-4B3F-8BBA-CCD57F43DD0B}"/>
            </a:ext>
          </a:extLst>
        </xdr:cNvPr>
        <xdr:cNvCxnSpPr/>
      </xdr:nvCxnSpPr>
      <xdr:spPr>
        <a:xfrm>
          <a:off x="2183355" y="5659867"/>
          <a:ext cx="4005831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491" name="Straight Arrow Connector 490">
          <a:extLst>
            <a:ext uri="{FF2B5EF4-FFF2-40B4-BE49-F238E27FC236}">
              <a16:creationId xmlns:a16="http://schemas.microsoft.com/office/drawing/2014/main" id="{46844A54-DC97-46CC-B2DB-C2DBC4E603ED}"/>
            </a:ext>
          </a:extLst>
        </xdr:cNvPr>
        <xdr:cNvCxnSpPr/>
      </xdr:nvCxnSpPr>
      <xdr:spPr>
        <a:xfrm flipH="1" flipV="1">
          <a:off x="582705" y="7623808"/>
          <a:ext cx="2668346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492" name="Straight Arrow Connector 491">
          <a:extLst>
            <a:ext uri="{FF2B5EF4-FFF2-40B4-BE49-F238E27FC236}">
              <a16:creationId xmlns:a16="http://schemas.microsoft.com/office/drawing/2014/main" id="{61EF27C3-881E-42FE-934B-267080DF5AB8}"/>
            </a:ext>
          </a:extLst>
        </xdr:cNvPr>
        <xdr:cNvCxnSpPr/>
      </xdr:nvCxnSpPr>
      <xdr:spPr>
        <a:xfrm flipV="1">
          <a:off x="4193297" y="7618207"/>
          <a:ext cx="2612259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4E778783-FB90-4033-9B14-6877B464DE86}"/>
            </a:ext>
          </a:extLst>
        </xdr:cNvPr>
        <xdr:cNvCxnSpPr/>
      </xdr:nvCxnSpPr>
      <xdr:spPr>
        <a:xfrm>
          <a:off x="589680" y="9176196"/>
          <a:ext cx="1186677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494" name="Straight Arrow Connector 493">
          <a:extLst>
            <a:ext uri="{FF2B5EF4-FFF2-40B4-BE49-F238E27FC236}">
              <a16:creationId xmlns:a16="http://schemas.microsoft.com/office/drawing/2014/main" id="{8C673FE7-9E67-4E2B-8B34-B000A9AD650E}"/>
            </a:ext>
          </a:extLst>
        </xdr:cNvPr>
        <xdr:cNvCxnSpPr/>
      </xdr:nvCxnSpPr>
      <xdr:spPr>
        <a:xfrm flipH="1">
          <a:off x="1926320" y="9160136"/>
          <a:ext cx="2726810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495" name="Straight Arrow Connector 494">
          <a:extLst>
            <a:ext uri="{FF2B5EF4-FFF2-40B4-BE49-F238E27FC236}">
              <a16:creationId xmlns:a16="http://schemas.microsoft.com/office/drawing/2014/main" id="{61A15C94-1C71-45D1-80A1-8BA81912066C}"/>
            </a:ext>
          </a:extLst>
        </xdr:cNvPr>
        <xdr:cNvCxnSpPr/>
      </xdr:nvCxnSpPr>
      <xdr:spPr>
        <a:xfrm flipV="1">
          <a:off x="2255200" y="10734787"/>
          <a:ext cx="572831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496" name="Isosceles Triangle 495">
          <a:extLst>
            <a:ext uri="{FF2B5EF4-FFF2-40B4-BE49-F238E27FC236}">
              <a16:creationId xmlns:a16="http://schemas.microsoft.com/office/drawing/2014/main" id="{5B8BDB4C-7F0E-429D-8871-97273B7E486A}"/>
            </a:ext>
          </a:extLst>
        </xdr:cNvPr>
        <xdr:cNvSpPr/>
      </xdr:nvSpPr>
      <xdr:spPr>
        <a:xfrm>
          <a:off x="8115300" y="12748205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497" name="Isosceles Triangle 496">
          <a:extLst>
            <a:ext uri="{FF2B5EF4-FFF2-40B4-BE49-F238E27FC236}">
              <a16:creationId xmlns:a16="http://schemas.microsoft.com/office/drawing/2014/main" id="{C1B12BA5-0F5C-4291-AB97-6ED36FB1E6F1}"/>
            </a:ext>
          </a:extLst>
        </xdr:cNvPr>
        <xdr:cNvSpPr/>
      </xdr:nvSpPr>
      <xdr:spPr>
        <a:xfrm>
          <a:off x="1851660" y="16212793"/>
          <a:ext cx="602646" cy="33147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498" name="Isosceles Triangle 497">
          <a:extLst>
            <a:ext uri="{FF2B5EF4-FFF2-40B4-BE49-F238E27FC236}">
              <a16:creationId xmlns:a16="http://schemas.microsoft.com/office/drawing/2014/main" id="{766BE3F3-CB7F-4B9B-BE77-0A9E04C2971D}"/>
            </a:ext>
          </a:extLst>
        </xdr:cNvPr>
        <xdr:cNvSpPr/>
      </xdr:nvSpPr>
      <xdr:spPr>
        <a:xfrm>
          <a:off x="3116580" y="16213458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499" name="Isosceles Triangle 498">
          <a:extLst>
            <a:ext uri="{FF2B5EF4-FFF2-40B4-BE49-F238E27FC236}">
              <a16:creationId xmlns:a16="http://schemas.microsoft.com/office/drawing/2014/main" id="{B9E6246A-9AA9-47C2-9E8F-961B6A6AD843}"/>
            </a:ext>
          </a:extLst>
        </xdr:cNvPr>
        <xdr:cNvSpPr/>
      </xdr:nvSpPr>
      <xdr:spPr>
        <a:xfrm>
          <a:off x="436626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id="{6E7A1954-6A7B-4C25-AD04-3BDC065AEC0F}"/>
            </a:ext>
          </a:extLst>
        </xdr:cNvPr>
        <xdr:cNvSpPr/>
      </xdr:nvSpPr>
      <xdr:spPr>
        <a:xfrm>
          <a:off x="561594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id="{319B48C4-3C27-484B-A084-1E546C03743D}"/>
            </a:ext>
          </a:extLst>
        </xdr:cNvPr>
        <xdr:cNvSpPr/>
      </xdr:nvSpPr>
      <xdr:spPr>
        <a:xfrm>
          <a:off x="686562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id="{426D400C-3A13-42E1-917F-FE8C3CAF7CE7}"/>
            </a:ext>
          </a:extLst>
        </xdr:cNvPr>
        <xdr:cNvSpPr/>
      </xdr:nvSpPr>
      <xdr:spPr>
        <a:xfrm>
          <a:off x="81241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id="{98F8ECFF-DFCC-426B-8592-3E1005F8A56B}"/>
            </a:ext>
          </a:extLst>
        </xdr:cNvPr>
        <xdr:cNvSpPr/>
      </xdr:nvSpPr>
      <xdr:spPr>
        <a:xfrm>
          <a:off x="9364980" y="16215174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id="{6B9A1EF1-3645-4FCA-A20B-FA1798A3C5A5}"/>
            </a:ext>
          </a:extLst>
        </xdr:cNvPr>
        <xdr:cNvSpPr/>
      </xdr:nvSpPr>
      <xdr:spPr>
        <a:xfrm>
          <a:off x="106146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id="{82F1EF96-7235-4D99-8784-3BEA1CC6DBC1}"/>
            </a:ext>
          </a:extLst>
        </xdr:cNvPr>
        <xdr:cNvSpPr/>
      </xdr:nvSpPr>
      <xdr:spPr>
        <a:xfrm>
          <a:off x="586740" y="18026352"/>
          <a:ext cx="602646" cy="262891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id="{F660D5A6-0033-4771-86CD-AACC5F719C42}"/>
            </a:ext>
          </a:extLst>
        </xdr:cNvPr>
        <xdr:cNvSpPr/>
      </xdr:nvSpPr>
      <xdr:spPr>
        <a:xfrm>
          <a:off x="185166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id="{3F596C90-C14B-49A0-9F73-78D980299582}"/>
            </a:ext>
          </a:extLst>
        </xdr:cNvPr>
        <xdr:cNvSpPr/>
      </xdr:nvSpPr>
      <xdr:spPr>
        <a:xfrm>
          <a:off x="43662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id="{97899CDD-0F46-4A32-A198-3034E4C5EB2C}"/>
            </a:ext>
          </a:extLst>
        </xdr:cNvPr>
        <xdr:cNvSpPr/>
      </xdr:nvSpPr>
      <xdr:spPr>
        <a:xfrm>
          <a:off x="5615940" y="18020667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id="{65DBF8FC-5E64-45CB-89C5-015634DFCC20}"/>
            </a:ext>
          </a:extLst>
        </xdr:cNvPr>
        <xdr:cNvSpPr/>
      </xdr:nvSpPr>
      <xdr:spPr>
        <a:xfrm>
          <a:off x="686562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511" name="Isosceles Triangle 510">
          <a:extLst>
            <a:ext uri="{FF2B5EF4-FFF2-40B4-BE49-F238E27FC236}">
              <a16:creationId xmlns:a16="http://schemas.microsoft.com/office/drawing/2014/main" id="{FF76F9B9-CEAC-43BC-AB86-F2EF2393E756}"/>
            </a:ext>
          </a:extLst>
        </xdr:cNvPr>
        <xdr:cNvSpPr/>
      </xdr:nvSpPr>
      <xdr:spPr>
        <a:xfrm>
          <a:off x="811530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512" name="Isosceles Triangle 511">
          <a:extLst>
            <a:ext uri="{FF2B5EF4-FFF2-40B4-BE49-F238E27FC236}">
              <a16:creationId xmlns:a16="http://schemas.microsoft.com/office/drawing/2014/main" id="{B39CF572-3960-42A0-9356-6574C5122B52}"/>
            </a:ext>
          </a:extLst>
        </xdr:cNvPr>
        <xdr:cNvSpPr/>
      </xdr:nvSpPr>
      <xdr:spPr>
        <a:xfrm>
          <a:off x="936498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513" name="Isosceles Triangle 512">
          <a:extLst>
            <a:ext uri="{FF2B5EF4-FFF2-40B4-BE49-F238E27FC236}">
              <a16:creationId xmlns:a16="http://schemas.microsoft.com/office/drawing/2014/main" id="{7F6AF551-FCA3-4B60-8AAF-AA5C2EF87C1C}"/>
            </a:ext>
          </a:extLst>
        </xdr:cNvPr>
        <xdr:cNvSpPr/>
      </xdr:nvSpPr>
      <xdr:spPr>
        <a:xfrm>
          <a:off x="106146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514" name="Isosceles Triangle 513">
          <a:extLst>
            <a:ext uri="{FF2B5EF4-FFF2-40B4-BE49-F238E27FC236}">
              <a16:creationId xmlns:a16="http://schemas.microsoft.com/office/drawing/2014/main" id="{ACED5E7C-EA3C-4E8D-9EF6-3DF4CFEED4F1}"/>
            </a:ext>
          </a:extLst>
        </xdr:cNvPr>
        <xdr:cNvSpPr/>
      </xdr:nvSpPr>
      <xdr:spPr>
        <a:xfrm>
          <a:off x="1186434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516" name="Isosceles Triangle 515">
          <a:extLst>
            <a:ext uri="{FF2B5EF4-FFF2-40B4-BE49-F238E27FC236}">
              <a16:creationId xmlns:a16="http://schemas.microsoft.com/office/drawing/2014/main" id="{7C410147-3B3E-4BDC-9B38-1AA8861A56F1}"/>
            </a:ext>
          </a:extLst>
        </xdr:cNvPr>
        <xdr:cNvSpPr/>
      </xdr:nvSpPr>
      <xdr:spPr>
        <a:xfrm>
          <a:off x="5867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517" name="Isosceles Triangle 516">
          <a:extLst>
            <a:ext uri="{FF2B5EF4-FFF2-40B4-BE49-F238E27FC236}">
              <a16:creationId xmlns:a16="http://schemas.microsoft.com/office/drawing/2014/main" id="{3CAF4B59-10BC-4EE1-87C3-6D91E782900C}"/>
            </a:ext>
          </a:extLst>
        </xdr:cNvPr>
        <xdr:cNvSpPr/>
      </xdr:nvSpPr>
      <xdr:spPr>
        <a:xfrm>
          <a:off x="1851660" y="19892649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518" name="Isosceles Triangle 517">
          <a:extLst>
            <a:ext uri="{FF2B5EF4-FFF2-40B4-BE49-F238E27FC236}">
              <a16:creationId xmlns:a16="http://schemas.microsoft.com/office/drawing/2014/main" id="{26C20910-C5B2-4ADF-AAD3-56ABB2FF370C}"/>
            </a:ext>
          </a:extLst>
        </xdr:cNvPr>
        <xdr:cNvSpPr/>
      </xdr:nvSpPr>
      <xdr:spPr>
        <a:xfrm>
          <a:off x="3116580" y="19885633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519" name="Isosceles Triangle 518">
          <a:extLst>
            <a:ext uri="{FF2B5EF4-FFF2-40B4-BE49-F238E27FC236}">
              <a16:creationId xmlns:a16="http://schemas.microsoft.com/office/drawing/2014/main" id="{25EA86A3-D29D-43C3-9526-83014B3DE930}"/>
            </a:ext>
          </a:extLst>
        </xdr:cNvPr>
        <xdr:cNvSpPr/>
      </xdr:nvSpPr>
      <xdr:spPr>
        <a:xfrm>
          <a:off x="4366260" y="198856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520" name="Isosceles Triangle 519">
          <a:extLst>
            <a:ext uri="{FF2B5EF4-FFF2-40B4-BE49-F238E27FC236}">
              <a16:creationId xmlns:a16="http://schemas.microsoft.com/office/drawing/2014/main" id="{5BBB1418-99F1-4F4B-9C5F-EE5C145706C2}"/>
            </a:ext>
          </a:extLst>
        </xdr:cNvPr>
        <xdr:cNvSpPr/>
      </xdr:nvSpPr>
      <xdr:spPr>
        <a:xfrm>
          <a:off x="56159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id="{BB3DCA85-B409-4A54-8013-9C990DA81C19}"/>
            </a:ext>
          </a:extLst>
        </xdr:cNvPr>
        <xdr:cNvSpPr/>
      </xdr:nvSpPr>
      <xdr:spPr>
        <a:xfrm>
          <a:off x="8115300" y="19867248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id="{D7732974-C1D6-4423-9600-05238C38E25C}"/>
            </a:ext>
          </a:extLst>
        </xdr:cNvPr>
        <xdr:cNvSpPr/>
      </xdr:nvSpPr>
      <xdr:spPr>
        <a:xfrm>
          <a:off x="8115300" y="19884711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id="{02B78480-D28B-43D3-A663-87987EDAD490}"/>
            </a:ext>
          </a:extLst>
        </xdr:cNvPr>
        <xdr:cNvSpPr/>
      </xdr:nvSpPr>
      <xdr:spPr>
        <a:xfrm>
          <a:off x="1061466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id="{40473377-7E2D-4476-998F-BB1EC651F3E0}"/>
            </a:ext>
          </a:extLst>
        </xdr:cNvPr>
        <xdr:cNvSpPr/>
      </xdr:nvSpPr>
      <xdr:spPr>
        <a:xfrm>
          <a:off x="11854961" y="19885633"/>
          <a:ext cx="618979" cy="34546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id="{243B2E62-091E-4EE8-A146-EE1BD0894303}"/>
            </a:ext>
          </a:extLst>
        </xdr:cNvPr>
        <xdr:cNvSpPr/>
      </xdr:nvSpPr>
      <xdr:spPr>
        <a:xfrm>
          <a:off x="686562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id="{4127697A-4AC0-49C4-A74A-DEAB807B7864}"/>
            </a:ext>
          </a:extLst>
        </xdr:cNvPr>
        <xdr:cNvCxnSpPr/>
      </xdr:nvCxnSpPr>
      <xdr:spPr>
        <a:xfrm flipH="1" flipV="1">
          <a:off x="528918" y="12411964"/>
          <a:ext cx="1211580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529" name="Straight Arrow Connector 528">
          <a:extLst>
            <a:ext uri="{FF2B5EF4-FFF2-40B4-BE49-F238E27FC236}">
              <a16:creationId xmlns:a16="http://schemas.microsoft.com/office/drawing/2014/main" id="{92CE0516-FF41-4667-A71F-6A536293439D}"/>
            </a:ext>
          </a:extLst>
        </xdr:cNvPr>
        <xdr:cNvCxnSpPr/>
      </xdr:nvCxnSpPr>
      <xdr:spPr>
        <a:xfrm>
          <a:off x="2021990" y="14087587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id="{E8487E9C-5ECA-442E-A83E-6E55747C91E1}"/>
            </a:ext>
          </a:extLst>
        </xdr:cNvPr>
        <xdr:cNvCxnSpPr/>
      </xdr:nvCxnSpPr>
      <xdr:spPr>
        <a:xfrm flipV="1">
          <a:off x="2347023" y="15880976"/>
          <a:ext cx="567235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533" name="Straight Arrow Connector 532">
          <a:extLst>
            <a:ext uri="{FF2B5EF4-FFF2-40B4-BE49-F238E27FC236}">
              <a16:creationId xmlns:a16="http://schemas.microsoft.com/office/drawing/2014/main" id="{0828113E-5B5E-42B7-A1B0-795457C61543}"/>
            </a:ext>
          </a:extLst>
        </xdr:cNvPr>
        <xdr:cNvCxnSpPr/>
      </xdr:nvCxnSpPr>
      <xdr:spPr>
        <a:xfrm flipV="1">
          <a:off x="8216737" y="15863047"/>
          <a:ext cx="3683462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535" name="Straight Arrow Connector 534">
          <a:extLst>
            <a:ext uri="{FF2B5EF4-FFF2-40B4-BE49-F238E27FC236}">
              <a16:creationId xmlns:a16="http://schemas.microsoft.com/office/drawing/2014/main" id="{C99C3921-627A-4880-89C1-0342E4A514BE}"/>
            </a:ext>
          </a:extLst>
        </xdr:cNvPr>
        <xdr:cNvCxnSpPr/>
      </xdr:nvCxnSpPr>
      <xdr:spPr>
        <a:xfrm flipV="1">
          <a:off x="6294568" y="17603178"/>
          <a:ext cx="1712169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536" name="Straight Arrow Connector 535">
          <a:extLst>
            <a:ext uri="{FF2B5EF4-FFF2-40B4-BE49-F238E27FC236}">
              <a16:creationId xmlns:a16="http://schemas.microsoft.com/office/drawing/2014/main" id="{647D5673-B4C2-4F1A-8DB9-6AFAE9C235E9}"/>
            </a:ext>
          </a:extLst>
        </xdr:cNvPr>
        <xdr:cNvCxnSpPr/>
      </xdr:nvCxnSpPr>
      <xdr:spPr>
        <a:xfrm flipH="1" flipV="1">
          <a:off x="8240807" y="17601031"/>
          <a:ext cx="3231776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537" name="Straight Arrow Connector 536">
          <a:extLst>
            <a:ext uri="{FF2B5EF4-FFF2-40B4-BE49-F238E27FC236}">
              <a16:creationId xmlns:a16="http://schemas.microsoft.com/office/drawing/2014/main" id="{850527E8-A5A7-4DC3-AB58-B06A18F7DCD4}"/>
            </a:ext>
          </a:extLst>
        </xdr:cNvPr>
        <xdr:cNvCxnSpPr/>
      </xdr:nvCxnSpPr>
      <xdr:spPr>
        <a:xfrm>
          <a:off x="609080" y="19331817"/>
          <a:ext cx="3589540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id="{C4C9C5C8-7827-4048-BACD-6C9E709CE107}"/>
            </a:ext>
          </a:extLst>
        </xdr:cNvPr>
        <xdr:cNvCxnSpPr/>
      </xdr:nvCxnSpPr>
      <xdr:spPr>
        <a:xfrm flipH="1">
          <a:off x="4496226" y="19333733"/>
          <a:ext cx="7066004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id="{AB1D5316-E210-48DD-BE6F-931BD194C96E}"/>
            </a:ext>
          </a:extLst>
        </xdr:cNvPr>
        <xdr:cNvCxnSpPr/>
      </xdr:nvCxnSpPr>
      <xdr:spPr>
        <a:xfrm flipH="1">
          <a:off x="3232993" y="21293418"/>
          <a:ext cx="8176837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542" name="Straight Arrow Connector 541">
          <a:extLst>
            <a:ext uri="{FF2B5EF4-FFF2-40B4-BE49-F238E27FC236}">
              <a16:creationId xmlns:a16="http://schemas.microsoft.com/office/drawing/2014/main" id="{99ECF025-AA28-4B9B-AB88-E4775D973734}"/>
            </a:ext>
          </a:extLst>
        </xdr:cNvPr>
        <xdr:cNvCxnSpPr/>
      </xdr:nvCxnSpPr>
      <xdr:spPr>
        <a:xfrm flipV="1">
          <a:off x="580786" y="23094427"/>
          <a:ext cx="2281196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id="{9DA33438-E84A-4688-A75C-433CE8B0EF46}"/>
            </a:ext>
          </a:extLst>
        </xdr:cNvPr>
        <xdr:cNvCxnSpPr/>
      </xdr:nvCxnSpPr>
      <xdr:spPr>
        <a:xfrm flipH="1">
          <a:off x="3212149" y="23103392"/>
          <a:ext cx="4263071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544" name="Straight Arrow Connector 543">
          <a:extLst>
            <a:ext uri="{FF2B5EF4-FFF2-40B4-BE49-F238E27FC236}">
              <a16:creationId xmlns:a16="http://schemas.microsoft.com/office/drawing/2014/main" id="{8AADAA44-A599-4D38-A1FA-A78A9DFB3BCC}"/>
            </a:ext>
          </a:extLst>
        </xdr:cNvPr>
        <xdr:cNvCxnSpPr/>
      </xdr:nvCxnSpPr>
      <xdr:spPr>
        <a:xfrm flipV="1">
          <a:off x="2111637" y="24932463"/>
          <a:ext cx="10909171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545" name="Lightning Bolt 544">
          <a:extLst>
            <a:ext uri="{FF2B5EF4-FFF2-40B4-BE49-F238E27FC236}">
              <a16:creationId xmlns:a16="http://schemas.microsoft.com/office/drawing/2014/main" id="{5252BEAA-7674-4696-B281-567F64A57B29}"/>
            </a:ext>
          </a:extLst>
        </xdr:cNvPr>
        <xdr:cNvSpPr/>
      </xdr:nvSpPr>
      <xdr:spPr>
        <a:xfrm>
          <a:off x="7103081" y="28574822"/>
          <a:ext cx="151477" cy="529768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546" name="AutoShape 10733">
          <a:extLst>
            <a:ext uri="{FF2B5EF4-FFF2-40B4-BE49-F238E27FC236}">
              <a16:creationId xmlns:a16="http://schemas.microsoft.com/office/drawing/2014/main" id="{7666F90F-92C8-4BF2-83B9-9F7D58047CB4}"/>
            </a:ext>
          </a:extLst>
        </xdr:cNvPr>
        <xdr:cNvSpPr>
          <a:spLocks noChangeArrowheads="1"/>
        </xdr:cNvSpPr>
      </xdr:nvSpPr>
      <xdr:spPr bwMode="auto">
        <a:xfrm rot="5400000">
          <a:off x="9980111" y="29849630"/>
          <a:ext cx="522336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547" name="Lightning Bolt 546">
          <a:extLst>
            <a:ext uri="{FF2B5EF4-FFF2-40B4-BE49-F238E27FC236}">
              <a16:creationId xmlns:a16="http://schemas.microsoft.com/office/drawing/2014/main" id="{89F9DDE4-28BF-4DD8-8971-F4BEFC8CD06E}"/>
            </a:ext>
          </a:extLst>
        </xdr:cNvPr>
        <xdr:cNvSpPr/>
      </xdr:nvSpPr>
      <xdr:spPr>
        <a:xfrm>
          <a:off x="7131658" y="29928351"/>
          <a:ext cx="125801" cy="56433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552" name="AutoShape 10733">
          <a:extLst>
            <a:ext uri="{FF2B5EF4-FFF2-40B4-BE49-F238E27FC236}">
              <a16:creationId xmlns:a16="http://schemas.microsoft.com/office/drawing/2014/main" id="{3B6F9FBA-41DF-4798-BBBE-1BE94260C3D5}"/>
            </a:ext>
          </a:extLst>
        </xdr:cNvPr>
        <xdr:cNvSpPr>
          <a:spLocks noChangeArrowheads="1"/>
        </xdr:cNvSpPr>
      </xdr:nvSpPr>
      <xdr:spPr bwMode="auto">
        <a:xfrm rot="5400000">
          <a:off x="11483489" y="16753092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53" name="Parallelogram 552">
          <a:extLst>
            <a:ext uri="{FF2B5EF4-FFF2-40B4-BE49-F238E27FC236}">
              <a16:creationId xmlns:a16="http://schemas.microsoft.com/office/drawing/2014/main" id="{F123F3F9-48B6-46BD-9602-89F2B4E8B3CF}"/>
            </a:ext>
          </a:extLst>
        </xdr:cNvPr>
        <xdr:cNvSpPr/>
      </xdr:nvSpPr>
      <xdr:spPr>
        <a:xfrm rot="1440000">
          <a:off x="7596489" y="18301941"/>
          <a:ext cx="193194" cy="335277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id="{3B1A8392-4DC1-4F80-9ED1-75F540857A68}"/>
            </a:ext>
          </a:extLst>
        </xdr:cNvPr>
        <xdr:cNvCxnSpPr/>
      </xdr:nvCxnSpPr>
      <xdr:spPr>
        <a:xfrm flipH="1">
          <a:off x="7571084" y="18297149"/>
          <a:ext cx="196693" cy="29525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55" name="AutoShape 301">
          <a:extLst>
            <a:ext uri="{FF2B5EF4-FFF2-40B4-BE49-F238E27FC236}">
              <a16:creationId xmlns:a16="http://schemas.microsoft.com/office/drawing/2014/main" id="{98DC85AE-F394-41AE-8B74-5B7D6931EFAF}"/>
            </a:ext>
          </a:extLst>
        </xdr:cNvPr>
        <xdr:cNvSpPr>
          <a:spLocks noChangeArrowheads="1"/>
        </xdr:cNvSpPr>
      </xdr:nvSpPr>
      <xdr:spPr bwMode="auto">
        <a:xfrm rot="7084349">
          <a:off x="1337905" y="11415435"/>
          <a:ext cx="29606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56" name="AutoShape 410">
          <a:extLst>
            <a:ext uri="{FF2B5EF4-FFF2-40B4-BE49-F238E27FC236}">
              <a16:creationId xmlns:a16="http://schemas.microsoft.com/office/drawing/2014/main" id="{7CA57E44-9FDD-429D-A9B8-DB53CF065524}"/>
            </a:ext>
          </a:extLst>
        </xdr:cNvPr>
        <xdr:cNvSpPr>
          <a:spLocks noChangeArrowheads="1"/>
        </xdr:cNvSpPr>
      </xdr:nvSpPr>
      <xdr:spPr bwMode="auto">
        <a:xfrm rot="7297720">
          <a:off x="4443669" y="28802391"/>
          <a:ext cx="37683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58" name="Picture 11597">
          <a:extLst>
            <a:ext uri="{FF2B5EF4-FFF2-40B4-BE49-F238E27FC236}">
              <a16:creationId xmlns:a16="http://schemas.microsoft.com/office/drawing/2014/main" id="{CA7C3E9B-FB1F-4B75-AF5B-4C34C4DC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220" y="29545280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59" name="Picture 11597">
          <a:extLst>
            <a:ext uri="{FF2B5EF4-FFF2-40B4-BE49-F238E27FC236}">
              <a16:creationId xmlns:a16="http://schemas.microsoft.com/office/drawing/2014/main" id="{0509218D-2DE0-4312-950A-E15A7C07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18045" y="28146057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60" name="Lightning Bolt 559">
          <a:extLst>
            <a:ext uri="{FF2B5EF4-FFF2-40B4-BE49-F238E27FC236}">
              <a16:creationId xmlns:a16="http://schemas.microsoft.com/office/drawing/2014/main" id="{C9DCD844-D2D7-4959-AC5D-6186C90E6CC5}"/>
            </a:ext>
          </a:extLst>
        </xdr:cNvPr>
        <xdr:cNvSpPr/>
      </xdr:nvSpPr>
      <xdr:spPr>
        <a:xfrm>
          <a:off x="8981440" y="3111500"/>
          <a:ext cx="125801" cy="5472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61" name="Picture 11597">
          <a:extLst>
            <a:ext uri="{FF2B5EF4-FFF2-40B4-BE49-F238E27FC236}">
              <a16:creationId xmlns:a16="http://schemas.microsoft.com/office/drawing/2014/main" id="{E41DFC09-B71E-4AAD-90D0-373C900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5" y="47052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62" name="Picture 11597">
          <a:extLst>
            <a:ext uri="{FF2B5EF4-FFF2-40B4-BE49-F238E27FC236}">
              <a16:creationId xmlns:a16="http://schemas.microsoft.com/office/drawing/2014/main" id="{8EFEBD75-22C5-4416-859C-9062F2C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080" y="47294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3" name="Picture 11597">
          <a:extLst>
            <a:ext uri="{FF2B5EF4-FFF2-40B4-BE49-F238E27FC236}">
              <a16:creationId xmlns:a16="http://schemas.microsoft.com/office/drawing/2014/main" id="{15EE81D4-0568-4A84-A5EF-F60A4D86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9880" y="66293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64" name="Picture 11597">
          <a:extLst>
            <a:ext uri="{FF2B5EF4-FFF2-40B4-BE49-F238E27FC236}">
              <a16:creationId xmlns:a16="http://schemas.microsoft.com/office/drawing/2014/main" id="{70107CF4-7311-44F3-809F-53AAA146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3710" y="47066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65" name="Picture 11597">
          <a:extLst>
            <a:ext uri="{FF2B5EF4-FFF2-40B4-BE49-F238E27FC236}">
              <a16:creationId xmlns:a16="http://schemas.microsoft.com/office/drawing/2014/main" id="{26B5D371-B8F1-4160-9143-87226D13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5027" y="66295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66" name="Picture 11597">
          <a:extLst>
            <a:ext uri="{FF2B5EF4-FFF2-40B4-BE49-F238E27FC236}">
              <a16:creationId xmlns:a16="http://schemas.microsoft.com/office/drawing/2014/main" id="{A7DC4D27-DE08-45DC-8131-25C8A12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071" y="66358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567" name="Picture 11597">
          <a:extLst>
            <a:ext uri="{FF2B5EF4-FFF2-40B4-BE49-F238E27FC236}">
              <a16:creationId xmlns:a16="http://schemas.microsoft.com/office/drawing/2014/main" id="{9C403E69-00DB-4598-86F7-F2387819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4270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569" name="Picture 11597">
          <a:extLst>
            <a:ext uri="{FF2B5EF4-FFF2-40B4-BE49-F238E27FC236}">
              <a16:creationId xmlns:a16="http://schemas.microsoft.com/office/drawing/2014/main" id="{704B0300-7A11-4777-89AE-5E5215B61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3112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573" name="Picture 11597">
          <a:extLst>
            <a:ext uri="{FF2B5EF4-FFF2-40B4-BE49-F238E27FC236}">
              <a16:creationId xmlns:a16="http://schemas.microsoft.com/office/drawing/2014/main" id="{30B08982-1594-4F98-A2AC-90CD8F97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95900" y="130225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575" name="Picture 11597">
          <a:extLst>
            <a:ext uri="{FF2B5EF4-FFF2-40B4-BE49-F238E27FC236}">
              <a16:creationId xmlns:a16="http://schemas.microsoft.com/office/drawing/2014/main" id="{15EBDFF2-4114-499B-BA85-45EE6337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59104" y="130124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576" name="Picture 11597">
          <a:extLst>
            <a:ext uri="{FF2B5EF4-FFF2-40B4-BE49-F238E27FC236}">
              <a16:creationId xmlns:a16="http://schemas.microsoft.com/office/drawing/2014/main" id="{7A068A8E-CD94-4874-B334-7BCE3582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946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577" name="Picture 11597">
          <a:extLst>
            <a:ext uri="{FF2B5EF4-FFF2-40B4-BE49-F238E27FC236}">
              <a16:creationId xmlns:a16="http://schemas.microsoft.com/office/drawing/2014/main" id="{523236B0-34E0-47C3-A4D3-08294D21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2561" y="1300345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578" name="Picture 11597">
          <a:extLst>
            <a:ext uri="{FF2B5EF4-FFF2-40B4-BE49-F238E27FC236}">
              <a16:creationId xmlns:a16="http://schemas.microsoft.com/office/drawing/2014/main" id="{A5C3F715-D2CA-4B31-A160-9420F672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4438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580" name="Picture 11597">
          <a:extLst>
            <a:ext uri="{FF2B5EF4-FFF2-40B4-BE49-F238E27FC236}">
              <a16:creationId xmlns:a16="http://schemas.microsoft.com/office/drawing/2014/main" id="{76AF1879-9CD4-44D7-8960-3B1709A3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0" y="129997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583" name="Picture 11597">
          <a:extLst>
            <a:ext uri="{FF2B5EF4-FFF2-40B4-BE49-F238E27FC236}">
              <a16:creationId xmlns:a16="http://schemas.microsoft.com/office/drawing/2014/main" id="{6C5695E2-F959-468E-89AA-128DBCD3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2400" y="129870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584" name="Picture 11597">
          <a:extLst>
            <a:ext uri="{FF2B5EF4-FFF2-40B4-BE49-F238E27FC236}">
              <a16:creationId xmlns:a16="http://schemas.microsoft.com/office/drawing/2014/main" id="{55FEF765-5560-47B9-BA2D-2911764C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6680" y="1479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585" name="Picture 11597">
          <a:extLst>
            <a:ext uri="{FF2B5EF4-FFF2-40B4-BE49-F238E27FC236}">
              <a16:creationId xmlns:a16="http://schemas.microsoft.com/office/drawing/2014/main" id="{1315184A-B75F-4C23-8194-5D0187F48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420" y="148437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587" name="Picture 11597">
          <a:extLst>
            <a:ext uri="{FF2B5EF4-FFF2-40B4-BE49-F238E27FC236}">
              <a16:creationId xmlns:a16="http://schemas.microsoft.com/office/drawing/2014/main" id="{0228729D-C793-4EDF-A4F8-725C196E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38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589" name="Picture 11597">
          <a:extLst>
            <a:ext uri="{FF2B5EF4-FFF2-40B4-BE49-F238E27FC236}">
              <a16:creationId xmlns:a16="http://schemas.microsoft.com/office/drawing/2014/main" id="{52C3C625-554A-4B13-A732-A9A58856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0105" y="1656722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590" name="Picture 11597">
          <a:extLst>
            <a:ext uri="{FF2B5EF4-FFF2-40B4-BE49-F238E27FC236}">
              <a16:creationId xmlns:a16="http://schemas.microsoft.com/office/drawing/2014/main" id="{AA4AA1B8-1327-49A6-8751-EEF6C2A6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3471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592" name="Picture 11597">
          <a:extLst>
            <a:ext uri="{FF2B5EF4-FFF2-40B4-BE49-F238E27FC236}">
              <a16:creationId xmlns:a16="http://schemas.microsoft.com/office/drawing/2014/main" id="{CE0D6667-A298-4751-9DBB-41087E74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2060" y="16570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593" name="Picture 11597">
          <a:extLst>
            <a:ext uri="{FF2B5EF4-FFF2-40B4-BE49-F238E27FC236}">
              <a16:creationId xmlns:a16="http://schemas.microsoft.com/office/drawing/2014/main" id="{51C8C670-244F-44E0-A066-F419C66F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7160" y="16583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600" name="Picture 11597">
          <a:extLst>
            <a:ext uri="{FF2B5EF4-FFF2-40B4-BE49-F238E27FC236}">
              <a16:creationId xmlns:a16="http://schemas.microsoft.com/office/drawing/2014/main" id="{4F773CE6-75F8-4432-A999-2CEADB17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5924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601" name="Picture 11597">
          <a:extLst>
            <a:ext uri="{FF2B5EF4-FFF2-40B4-BE49-F238E27FC236}">
              <a16:creationId xmlns:a16="http://schemas.microsoft.com/office/drawing/2014/main" id="{85208212-01DF-4AD7-99D6-0C593968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2253" y="165888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605" name="Picture 11597">
          <a:extLst>
            <a:ext uri="{FF2B5EF4-FFF2-40B4-BE49-F238E27FC236}">
              <a16:creationId xmlns:a16="http://schemas.microsoft.com/office/drawing/2014/main" id="{90785441-C2ED-45A3-94E9-74AF1D7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849" y="1830885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608" name="Picture 11597">
          <a:extLst>
            <a:ext uri="{FF2B5EF4-FFF2-40B4-BE49-F238E27FC236}">
              <a16:creationId xmlns:a16="http://schemas.microsoft.com/office/drawing/2014/main" id="{19187142-AB01-4AB5-9534-91552AB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1555" y="182803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609" name="Picture 11597">
          <a:extLst>
            <a:ext uri="{FF2B5EF4-FFF2-40B4-BE49-F238E27FC236}">
              <a16:creationId xmlns:a16="http://schemas.microsoft.com/office/drawing/2014/main" id="{22872B26-C699-45CF-B20D-D31F038C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0320" y="182930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610" name="Picture 11597">
          <a:extLst>
            <a:ext uri="{FF2B5EF4-FFF2-40B4-BE49-F238E27FC236}">
              <a16:creationId xmlns:a16="http://schemas.microsoft.com/office/drawing/2014/main" id="{13E3AFD9-4F59-407F-91BC-90E80C1A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6284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618" name="Picture 11597">
          <a:extLst>
            <a:ext uri="{FF2B5EF4-FFF2-40B4-BE49-F238E27FC236}">
              <a16:creationId xmlns:a16="http://schemas.microsoft.com/office/drawing/2014/main" id="{EFFEC60A-0334-4A0A-B709-895517CD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621" name="Picture 11597">
          <a:extLst>
            <a:ext uri="{FF2B5EF4-FFF2-40B4-BE49-F238E27FC236}">
              <a16:creationId xmlns:a16="http://schemas.microsoft.com/office/drawing/2014/main" id="{C60B08AA-4B69-4588-BA29-4A9054C2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7573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627" name="Picture 11597">
          <a:extLst>
            <a:ext uri="{FF2B5EF4-FFF2-40B4-BE49-F238E27FC236}">
              <a16:creationId xmlns:a16="http://schemas.microsoft.com/office/drawing/2014/main" id="{932A4307-96CC-4E4B-8F47-5DF78E3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100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628" name="Picture 11597">
          <a:extLst>
            <a:ext uri="{FF2B5EF4-FFF2-40B4-BE49-F238E27FC236}">
              <a16:creationId xmlns:a16="http://schemas.microsoft.com/office/drawing/2014/main" id="{6F1040D2-7773-4D4B-BB35-DB4FEAA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40055" y="2024882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629" name="Picture 11597">
          <a:extLst>
            <a:ext uri="{FF2B5EF4-FFF2-40B4-BE49-F238E27FC236}">
              <a16:creationId xmlns:a16="http://schemas.microsoft.com/office/drawing/2014/main" id="{1C0D0152-AC7A-4CBD-AC9B-1EFD8FD2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8235" y="20257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630" name="Picture 11597">
          <a:extLst>
            <a:ext uri="{FF2B5EF4-FFF2-40B4-BE49-F238E27FC236}">
              <a16:creationId xmlns:a16="http://schemas.microsoft.com/office/drawing/2014/main" id="{B55D3C29-A7CE-43E1-BD00-65E2361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9803" y="220497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631" name="Picture 11597">
          <a:extLst>
            <a:ext uri="{FF2B5EF4-FFF2-40B4-BE49-F238E27FC236}">
              <a16:creationId xmlns:a16="http://schemas.microsoft.com/office/drawing/2014/main" id="{FE8CD09D-51A1-46A0-B0EA-0CF98C62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713" y="220357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632" name="Picture 11597">
          <a:extLst>
            <a:ext uri="{FF2B5EF4-FFF2-40B4-BE49-F238E27FC236}">
              <a16:creationId xmlns:a16="http://schemas.microsoft.com/office/drawing/2014/main" id="{61BA5976-BEFB-4C4C-B9B1-FE39FF1D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64950" y="2204590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633" name="Picture 11597">
          <a:extLst>
            <a:ext uri="{FF2B5EF4-FFF2-40B4-BE49-F238E27FC236}">
              <a16:creationId xmlns:a16="http://schemas.microsoft.com/office/drawing/2014/main" id="{4503CD07-7043-4EDC-88C8-CD474BFC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633" y="2203881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634" name="Picture 11597">
          <a:extLst>
            <a:ext uri="{FF2B5EF4-FFF2-40B4-BE49-F238E27FC236}">
              <a16:creationId xmlns:a16="http://schemas.microsoft.com/office/drawing/2014/main" id="{5745217E-D1D0-493F-A9B1-FA85B992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66747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635" name="Picture 11597">
          <a:extLst>
            <a:ext uri="{FF2B5EF4-FFF2-40B4-BE49-F238E27FC236}">
              <a16:creationId xmlns:a16="http://schemas.microsoft.com/office/drawing/2014/main" id="{5736DAA4-D135-446A-B2A2-DD9D7ACD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6630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636" name="Picture 11597">
          <a:extLst>
            <a:ext uri="{FF2B5EF4-FFF2-40B4-BE49-F238E27FC236}">
              <a16:creationId xmlns:a16="http://schemas.microsoft.com/office/drawing/2014/main" id="{719A52EC-BF02-4E28-827A-E79477FD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3328" y="2387470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637" name="Picture 11597">
          <a:extLst>
            <a:ext uri="{FF2B5EF4-FFF2-40B4-BE49-F238E27FC236}">
              <a16:creationId xmlns:a16="http://schemas.microsoft.com/office/drawing/2014/main" id="{AF267B17-98E7-4CB6-AB42-058E535B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17220" y="2388261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638" name="Isosceles Triangle 637">
          <a:extLst>
            <a:ext uri="{FF2B5EF4-FFF2-40B4-BE49-F238E27FC236}">
              <a16:creationId xmlns:a16="http://schemas.microsoft.com/office/drawing/2014/main" id="{0FEA4F58-A83F-48BC-BF3C-45757C94F1B7}"/>
            </a:ext>
          </a:extLst>
        </xdr:cNvPr>
        <xdr:cNvSpPr/>
      </xdr:nvSpPr>
      <xdr:spPr>
        <a:xfrm>
          <a:off x="11864340" y="6394420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639" name="Isosceles Triangle 638">
          <a:extLst>
            <a:ext uri="{FF2B5EF4-FFF2-40B4-BE49-F238E27FC236}">
              <a16:creationId xmlns:a16="http://schemas.microsoft.com/office/drawing/2014/main" id="{55309D7C-E849-49E5-8C86-B17FC36C1D9C}"/>
            </a:ext>
          </a:extLst>
        </xdr:cNvPr>
        <xdr:cNvSpPr/>
      </xdr:nvSpPr>
      <xdr:spPr>
        <a:xfrm>
          <a:off x="586740" y="4391660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640" name="Isosceles Triangle 639">
          <a:extLst>
            <a:ext uri="{FF2B5EF4-FFF2-40B4-BE49-F238E27FC236}">
              <a16:creationId xmlns:a16="http://schemas.microsoft.com/office/drawing/2014/main" id="{50E45F90-8D2D-49D3-9395-C030D98BBD32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641" name="Isosceles Triangle 640">
          <a:extLst>
            <a:ext uri="{FF2B5EF4-FFF2-40B4-BE49-F238E27FC236}">
              <a16:creationId xmlns:a16="http://schemas.microsoft.com/office/drawing/2014/main" id="{E9A71B51-21D1-4A63-AD08-86B65FD480C0}"/>
            </a:ext>
          </a:extLst>
        </xdr:cNvPr>
        <xdr:cNvSpPr/>
      </xdr:nvSpPr>
      <xdr:spPr>
        <a:xfrm>
          <a:off x="3116580" y="4403033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642" name="Isosceles Triangle 641">
          <a:extLst>
            <a:ext uri="{FF2B5EF4-FFF2-40B4-BE49-F238E27FC236}">
              <a16:creationId xmlns:a16="http://schemas.microsoft.com/office/drawing/2014/main" id="{2F06A7C3-8935-452E-A2DB-4774DDC44245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643" name="Isosceles Triangle 642">
          <a:extLst>
            <a:ext uri="{FF2B5EF4-FFF2-40B4-BE49-F238E27FC236}">
              <a16:creationId xmlns:a16="http://schemas.microsoft.com/office/drawing/2014/main" id="{58ADA63E-2789-410C-832C-171305A381A0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44" name="Isosceles Triangle 643">
          <a:extLst>
            <a:ext uri="{FF2B5EF4-FFF2-40B4-BE49-F238E27FC236}">
              <a16:creationId xmlns:a16="http://schemas.microsoft.com/office/drawing/2014/main" id="{8F507844-8A4A-4F8C-8A21-2E9FEF781975}"/>
            </a:ext>
          </a:extLst>
        </xdr:cNvPr>
        <xdr:cNvSpPr/>
      </xdr:nvSpPr>
      <xdr:spPr>
        <a:xfrm>
          <a:off x="438213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45" name="Isosceles Triangle 644">
          <a:extLst>
            <a:ext uri="{FF2B5EF4-FFF2-40B4-BE49-F238E27FC236}">
              <a16:creationId xmlns:a16="http://schemas.microsoft.com/office/drawing/2014/main" id="{7BC4E48F-E590-41A2-B5BE-36B1F732151C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46" name="Isosceles Triangle 645">
          <a:extLst>
            <a:ext uri="{FF2B5EF4-FFF2-40B4-BE49-F238E27FC236}">
              <a16:creationId xmlns:a16="http://schemas.microsoft.com/office/drawing/2014/main" id="{E203F435-3442-4A3D-AB9E-6CAB50F8069E}"/>
            </a:ext>
          </a:extLst>
        </xdr:cNvPr>
        <xdr:cNvSpPr/>
      </xdr:nvSpPr>
      <xdr:spPr>
        <a:xfrm>
          <a:off x="8119872" y="6396367"/>
          <a:ext cx="620268" cy="2851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7" name="Isosceles Triangle 646">
          <a:extLst>
            <a:ext uri="{FF2B5EF4-FFF2-40B4-BE49-F238E27FC236}">
              <a16:creationId xmlns:a16="http://schemas.microsoft.com/office/drawing/2014/main" id="{01837541-4A20-42E7-903A-71AFFC506234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0" name="Isosceles Triangle 649">
          <a:extLst>
            <a:ext uri="{FF2B5EF4-FFF2-40B4-BE49-F238E27FC236}">
              <a16:creationId xmlns:a16="http://schemas.microsoft.com/office/drawing/2014/main" id="{C0040C30-2F91-42C1-8266-7A4085274360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1" name="Isosceles Triangle 650">
          <a:extLst>
            <a:ext uri="{FF2B5EF4-FFF2-40B4-BE49-F238E27FC236}">
              <a16:creationId xmlns:a16="http://schemas.microsoft.com/office/drawing/2014/main" id="{48FECD12-FF2D-4FC2-8CA7-BD103303ACAA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52" name="Isosceles Triangle 651">
          <a:extLst>
            <a:ext uri="{FF2B5EF4-FFF2-40B4-BE49-F238E27FC236}">
              <a16:creationId xmlns:a16="http://schemas.microsoft.com/office/drawing/2014/main" id="{D2D57A65-48F8-4338-BD41-BE9E8BC5952A}"/>
            </a:ext>
          </a:extLst>
        </xdr:cNvPr>
        <xdr:cNvSpPr/>
      </xdr:nvSpPr>
      <xdr:spPr>
        <a:xfrm>
          <a:off x="31324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3" name="Isosceles Triangle 652">
          <a:extLst>
            <a:ext uri="{FF2B5EF4-FFF2-40B4-BE49-F238E27FC236}">
              <a16:creationId xmlns:a16="http://schemas.microsoft.com/office/drawing/2014/main" id="{8D17123F-783F-4FE4-BB12-D46BF04F9D77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6" name="Isosceles Triangle 655">
          <a:extLst>
            <a:ext uri="{FF2B5EF4-FFF2-40B4-BE49-F238E27FC236}">
              <a16:creationId xmlns:a16="http://schemas.microsoft.com/office/drawing/2014/main" id="{89DCF8BE-18E6-402C-8AE6-074A93B42378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57" name="Isosceles Triangle 656">
          <a:extLst>
            <a:ext uri="{FF2B5EF4-FFF2-40B4-BE49-F238E27FC236}">
              <a16:creationId xmlns:a16="http://schemas.microsoft.com/office/drawing/2014/main" id="{EFEF656C-2658-4D77-B957-B16595B3C5E1}"/>
            </a:ext>
          </a:extLst>
        </xdr:cNvPr>
        <xdr:cNvSpPr/>
      </xdr:nvSpPr>
      <xdr:spPr>
        <a:xfrm>
          <a:off x="6881496" y="6396674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59" name="Isosceles Triangle 658">
          <a:extLst>
            <a:ext uri="{FF2B5EF4-FFF2-40B4-BE49-F238E27FC236}">
              <a16:creationId xmlns:a16="http://schemas.microsoft.com/office/drawing/2014/main" id="{3C80F3A5-C672-4B8B-8A8A-C0714A3BBA86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63" name="Isosceles Triangle 662">
          <a:extLst>
            <a:ext uri="{FF2B5EF4-FFF2-40B4-BE49-F238E27FC236}">
              <a16:creationId xmlns:a16="http://schemas.microsoft.com/office/drawing/2014/main" id="{25B64205-AF20-49B0-8DD4-756011AA555E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665" name="Isosceles Triangle 664">
          <a:extLst>
            <a:ext uri="{FF2B5EF4-FFF2-40B4-BE49-F238E27FC236}">
              <a16:creationId xmlns:a16="http://schemas.microsoft.com/office/drawing/2014/main" id="{740AF6DB-1B32-4015-8E1B-1E89E495A4EA}"/>
            </a:ext>
          </a:extLst>
        </xdr:cNvPr>
        <xdr:cNvSpPr/>
      </xdr:nvSpPr>
      <xdr:spPr>
        <a:xfrm>
          <a:off x="93808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6" name="Isosceles Triangle 665">
          <a:extLst>
            <a:ext uri="{FF2B5EF4-FFF2-40B4-BE49-F238E27FC236}">
              <a16:creationId xmlns:a16="http://schemas.microsoft.com/office/drawing/2014/main" id="{501C2DA3-41E8-4D22-8F7F-BB22279F2AF4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7" name="Isosceles Triangle 666">
          <a:extLst>
            <a:ext uri="{FF2B5EF4-FFF2-40B4-BE49-F238E27FC236}">
              <a16:creationId xmlns:a16="http://schemas.microsoft.com/office/drawing/2014/main" id="{9444F035-BF9B-43B2-B9AE-843607D6201C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8" name="Isosceles Triangle 667">
          <a:extLst>
            <a:ext uri="{FF2B5EF4-FFF2-40B4-BE49-F238E27FC236}">
              <a16:creationId xmlns:a16="http://schemas.microsoft.com/office/drawing/2014/main" id="{2B7C36F8-8D2B-4F41-9E4A-84A73E65CD8B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669" name="Isosceles Triangle 668">
          <a:extLst>
            <a:ext uri="{FF2B5EF4-FFF2-40B4-BE49-F238E27FC236}">
              <a16:creationId xmlns:a16="http://schemas.microsoft.com/office/drawing/2014/main" id="{11C0A492-885B-4DBE-9C2D-A1475322C4C6}"/>
            </a:ext>
          </a:extLst>
        </xdr:cNvPr>
        <xdr:cNvSpPr/>
      </xdr:nvSpPr>
      <xdr:spPr>
        <a:xfrm>
          <a:off x="5867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1" name="Isosceles Triangle 670">
          <a:extLst>
            <a:ext uri="{FF2B5EF4-FFF2-40B4-BE49-F238E27FC236}">
              <a16:creationId xmlns:a16="http://schemas.microsoft.com/office/drawing/2014/main" id="{A11A5FBA-E65B-4263-91C9-42CA9886861C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5" name="Isosceles Triangle 674">
          <a:extLst>
            <a:ext uri="{FF2B5EF4-FFF2-40B4-BE49-F238E27FC236}">
              <a16:creationId xmlns:a16="http://schemas.microsoft.com/office/drawing/2014/main" id="{44D0B5F2-31E7-4145-8FC4-52D232167357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6" name="Isosceles Triangle 675">
          <a:extLst>
            <a:ext uri="{FF2B5EF4-FFF2-40B4-BE49-F238E27FC236}">
              <a16:creationId xmlns:a16="http://schemas.microsoft.com/office/drawing/2014/main" id="{230E1445-5C6F-4CD0-9243-8981AAE4502D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677" name="Isosceles Triangle 676">
          <a:extLst>
            <a:ext uri="{FF2B5EF4-FFF2-40B4-BE49-F238E27FC236}">
              <a16:creationId xmlns:a16="http://schemas.microsoft.com/office/drawing/2014/main" id="{A3C4139A-785A-47A8-8C24-C83B95477896}"/>
            </a:ext>
          </a:extLst>
        </xdr:cNvPr>
        <xdr:cNvSpPr/>
      </xdr:nvSpPr>
      <xdr:spPr>
        <a:xfrm>
          <a:off x="185166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0" name="Isosceles Triangle 679">
          <a:extLst>
            <a:ext uri="{FF2B5EF4-FFF2-40B4-BE49-F238E27FC236}">
              <a16:creationId xmlns:a16="http://schemas.microsoft.com/office/drawing/2014/main" id="{92C0FAAC-5301-4153-9998-796140A55686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3" name="Isosceles Triangle 682">
          <a:extLst>
            <a:ext uri="{FF2B5EF4-FFF2-40B4-BE49-F238E27FC236}">
              <a16:creationId xmlns:a16="http://schemas.microsoft.com/office/drawing/2014/main" id="{7CF842A2-DF09-4972-93A8-6E2B0A0949D0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5" name="Isosceles Triangle 684">
          <a:extLst>
            <a:ext uri="{FF2B5EF4-FFF2-40B4-BE49-F238E27FC236}">
              <a16:creationId xmlns:a16="http://schemas.microsoft.com/office/drawing/2014/main" id="{376D5A37-9DBD-4AAB-9AE6-E7DAC3308D6E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688" name="Isosceles Triangle 687">
          <a:extLst>
            <a:ext uri="{FF2B5EF4-FFF2-40B4-BE49-F238E27FC236}">
              <a16:creationId xmlns:a16="http://schemas.microsoft.com/office/drawing/2014/main" id="{E3E9A95C-B4E7-4047-B2B3-159DD62442C5}"/>
            </a:ext>
          </a:extLst>
        </xdr:cNvPr>
        <xdr:cNvSpPr/>
      </xdr:nvSpPr>
      <xdr:spPr>
        <a:xfrm>
          <a:off x="31165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0" name="Isosceles Triangle 689">
          <a:extLst>
            <a:ext uri="{FF2B5EF4-FFF2-40B4-BE49-F238E27FC236}">
              <a16:creationId xmlns:a16="http://schemas.microsoft.com/office/drawing/2014/main" id="{1778A024-539B-44D2-B264-09F7777C5D41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1" name="Isosceles Triangle 690">
          <a:extLst>
            <a:ext uri="{FF2B5EF4-FFF2-40B4-BE49-F238E27FC236}">
              <a16:creationId xmlns:a16="http://schemas.microsoft.com/office/drawing/2014/main" id="{96B65E30-02E3-4326-A6CF-4E0B6F7E257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3" name="Isosceles Triangle 692">
          <a:extLst>
            <a:ext uri="{FF2B5EF4-FFF2-40B4-BE49-F238E27FC236}">
              <a16:creationId xmlns:a16="http://schemas.microsoft.com/office/drawing/2014/main" id="{AED61320-1BBE-48C4-A59D-2364701C776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695" name="Isosceles Triangle 694">
          <a:extLst>
            <a:ext uri="{FF2B5EF4-FFF2-40B4-BE49-F238E27FC236}">
              <a16:creationId xmlns:a16="http://schemas.microsoft.com/office/drawing/2014/main" id="{DE47C0A9-E7A9-417C-A687-D71630991A99}"/>
            </a:ext>
          </a:extLst>
        </xdr:cNvPr>
        <xdr:cNvSpPr/>
      </xdr:nvSpPr>
      <xdr:spPr>
        <a:xfrm>
          <a:off x="56159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6" name="Isosceles Triangle 695">
          <a:extLst>
            <a:ext uri="{FF2B5EF4-FFF2-40B4-BE49-F238E27FC236}">
              <a16:creationId xmlns:a16="http://schemas.microsoft.com/office/drawing/2014/main" id="{11968505-8543-463E-AC11-D07EBA48DA6A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7" name="Isosceles Triangle 696">
          <a:extLst>
            <a:ext uri="{FF2B5EF4-FFF2-40B4-BE49-F238E27FC236}">
              <a16:creationId xmlns:a16="http://schemas.microsoft.com/office/drawing/2014/main" id="{9A19365D-42FB-4817-ABB7-EBEC243D2F10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8" name="Isosceles Triangle 697">
          <a:extLst>
            <a:ext uri="{FF2B5EF4-FFF2-40B4-BE49-F238E27FC236}">
              <a16:creationId xmlns:a16="http://schemas.microsoft.com/office/drawing/2014/main" id="{DB345FCE-2D15-4331-AB33-E030EFA8BCCF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699" name="Isosceles Triangle 698">
          <a:extLst>
            <a:ext uri="{FF2B5EF4-FFF2-40B4-BE49-F238E27FC236}">
              <a16:creationId xmlns:a16="http://schemas.microsoft.com/office/drawing/2014/main" id="{55970EFC-F53D-4419-A3C4-5D1DBBB05514}"/>
            </a:ext>
          </a:extLst>
        </xdr:cNvPr>
        <xdr:cNvSpPr/>
      </xdr:nvSpPr>
      <xdr:spPr>
        <a:xfrm>
          <a:off x="686562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0" name="Isosceles Triangle 699">
          <a:extLst>
            <a:ext uri="{FF2B5EF4-FFF2-40B4-BE49-F238E27FC236}">
              <a16:creationId xmlns:a16="http://schemas.microsoft.com/office/drawing/2014/main" id="{009FE9DE-D038-4E2D-9F18-DFA8CD5F1D6B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1" name="Isosceles Triangle 700">
          <a:extLst>
            <a:ext uri="{FF2B5EF4-FFF2-40B4-BE49-F238E27FC236}">
              <a16:creationId xmlns:a16="http://schemas.microsoft.com/office/drawing/2014/main" id="{0659E072-542B-47C0-8310-66301A219457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7" name="Isosceles Triangle 706">
          <a:extLst>
            <a:ext uri="{FF2B5EF4-FFF2-40B4-BE49-F238E27FC236}">
              <a16:creationId xmlns:a16="http://schemas.microsoft.com/office/drawing/2014/main" id="{C8FC0157-8ABD-46DE-A83B-594D66126045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708" name="Isosceles Triangle 707">
          <a:extLst>
            <a:ext uri="{FF2B5EF4-FFF2-40B4-BE49-F238E27FC236}">
              <a16:creationId xmlns:a16="http://schemas.microsoft.com/office/drawing/2014/main" id="{AB0AAC75-6F31-4FAE-BFA1-90CA6BC0D256}"/>
            </a:ext>
          </a:extLst>
        </xdr:cNvPr>
        <xdr:cNvSpPr/>
      </xdr:nvSpPr>
      <xdr:spPr>
        <a:xfrm>
          <a:off x="811530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1" name="Isosceles Triangle 710">
          <a:extLst>
            <a:ext uri="{FF2B5EF4-FFF2-40B4-BE49-F238E27FC236}">
              <a16:creationId xmlns:a16="http://schemas.microsoft.com/office/drawing/2014/main" id="{4C62319C-F8F8-408D-8E5C-DCE8D164CE87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2" name="Isosceles Triangle 711">
          <a:extLst>
            <a:ext uri="{FF2B5EF4-FFF2-40B4-BE49-F238E27FC236}">
              <a16:creationId xmlns:a16="http://schemas.microsoft.com/office/drawing/2014/main" id="{DEAFC4B0-BC4D-4CA5-B689-9E3E02BD4A60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3" name="Isosceles Triangle 712">
          <a:extLst>
            <a:ext uri="{FF2B5EF4-FFF2-40B4-BE49-F238E27FC236}">
              <a16:creationId xmlns:a16="http://schemas.microsoft.com/office/drawing/2014/main" id="{7B654589-5F8D-4917-BF73-01C81FEBDB0A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715" name="Isosceles Triangle 714">
          <a:extLst>
            <a:ext uri="{FF2B5EF4-FFF2-40B4-BE49-F238E27FC236}">
              <a16:creationId xmlns:a16="http://schemas.microsoft.com/office/drawing/2014/main" id="{DF9ECF26-8EA5-41EE-B205-34F2AD71CBE8}"/>
            </a:ext>
          </a:extLst>
        </xdr:cNvPr>
        <xdr:cNvSpPr/>
      </xdr:nvSpPr>
      <xdr:spPr>
        <a:xfrm>
          <a:off x="93649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0" name="Isosceles Triangle 719">
          <a:extLst>
            <a:ext uri="{FF2B5EF4-FFF2-40B4-BE49-F238E27FC236}">
              <a16:creationId xmlns:a16="http://schemas.microsoft.com/office/drawing/2014/main" id="{877C65C2-C034-4E1E-9309-9A2755FE9C17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5" name="Isosceles Triangle 724">
          <a:extLst>
            <a:ext uri="{FF2B5EF4-FFF2-40B4-BE49-F238E27FC236}">
              <a16:creationId xmlns:a16="http://schemas.microsoft.com/office/drawing/2014/main" id="{DB232ED0-16AB-4DE3-AEC5-2BF3BEBA4A22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9" name="Isosceles Triangle 728">
          <a:extLst>
            <a:ext uri="{FF2B5EF4-FFF2-40B4-BE49-F238E27FC236}">
              <a16:creationId xmlns:a16="http://schemas.microsoft.com/office/drawing/2014/main" id="{A14F2BFA-8998-4BAB-AB0B-45FE615AE3B1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8664</xdr:colOff>
      <xdr:row>53</xdr:row>
      <xdr:rowOff>77174</xdr:rowOff>
    </xdr:from>
    <xdr:to>
      <xdr:col>14</xdr:col>
      <xdr:colOff>641363</xdr:colOff>
      <xdr:row>54</xdr:row>
      <xdr:rowOff>184271</xdr:rowOff>
    </xdr:to>
    <xdr:sp macro="" textlink="">
      <xdr:nvSpPr>
        <xdr:cNvPr id="730" name="Isosceles Triangle 729">
          <a:extLst>
            <a:ext uri="{FF2B5EF4-FFF2-40B4-BE49-F238E27FC236}">
              <a16:creationId xmlns:a16="http://schemas.microsoft.com/office/drawing/2014/main" id="{2F9F3BB0-5DC3-436B-B54B-A288F8A101C3}"/>
            </a:ext>
          </a:extLst>
        </xdr:cNvPr>
        <xdr:cNvSpPr/>
      </xdr:nvSpPr>
      <xdr:spPr>
        <a:xfrm>
          <a:off x="8345307" y="9184888"/>
          <a:ext cx="632699" cy="27945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2" name="Isosceles Triangle 731">
          <a:extLst>
            <a:ext uri="{FF2B5EF4-FFF2-40B4-BE49-F238E27FC236}">
              <a16:creationId xmlns:a16="http://schemas.microsoft.com/office/drawing/2014/main" id="{CAC357F9-56DE-4847-8C26-97CB0E7BBCA7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3" name="Isosceles Triangle 732">
          <a:extLst>
            <a:ext uri="{FF2B5EF4-FFF2-40B4-BE49-F238E27FC236}">
              <a16:creationId xmlns:a16="http://schemas.microsoft.com/office/drawing/2014/main" id="{EE0FDA72-A338-42E4-A54C-8AC1AA5345DB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4" name="Isosceles Triangle 733">
          <a:extLst>
            <a:ext uri="{FF2B5EF4-FFF2-40B4-BE49-F238E27FC236}">
              <a16:creationId xmlns:a16="http://schemas.microsoft.com/office/drawing/2014/main" id="{6C83BF5D-7F9D-4AB8-9239-3AF76D00ABF9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735" name="Isosceles Triangle 734">
          <a:extLst>
            <a:ext uri="{FF2B5EF4-FFF2-40B4-BE49-F238E27FC236}">
              <a16:creationId xmlns:a16="http://schemas.microsoft.com/office/drawing/2014/main" id="{17137054-07D6-43AA-9B95-225E6D5EB174}"/>
            </a:ext>
          </a:extLst>
        </xdr:cNvPr>
        <xdr:cNvSpPr/>
      </xdr:nvSpPr>
      <xdr:spPr>
        <a:xfrm>
          <a:off x="9351513" y="9479226"/>
          <a:ext cx="643333" cy="30417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6" name="Isosceles Triangle 735">
          <a:extLst>
            <a:ext uri="{FF2B5EF4-FFF2-40B4-BE49-F238E27FC236}">
              <a16:creationId xmlns:a16="http://schemas.microsoft.com/office/drawing/2014/main" id="{35B93942-3987-4BF6-9EAF-3A9A937E855A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9" name="Isosceles Triangle 738">
          <a:extLst>
            <a:ext uri="{FF2B5EF4-FFF2-40B4-BE49-F238E27FC236}">
              <a16:creationId xmlns:a16="http://schemas.microsoft.com/office/drawing/2014/main" id="{741A76D3-681D-44D4-8D4B-4DE18B2DA1C0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40" name="Isosceles Triangle 739">
          <a:extLst>
            <a:ext uri="{FF2B5EF4-FFF2-40B4-BE49-F238E27FC236}">
              <a16:creationId xmlns:a16="http://schemas.microsoft.com/office/drawing/2014/main" id="{B905A0B3-77AA-4C0E-B8F4-6392F608B433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743" name="Isosceles Triangle 742">
          <a:extLst>
            <a:ext uri="{FF2B5EF4-FFF2-40B4-BE49-F238E27FC236}">
              <a16:creationId xmlns:a16="http://schemas.microsoft.com/office/drawing/2014/main" id="{6D5E3E6B-32BA-4414-BAC1-13D50BAA540E}"/>
            </a:ext>
          </a:extLst>
        </xdr:cNvPr>
        <xdr:cNvSpPr/>
      </xdr:nvSpPr>
      <xdr:spPr>
        <a:xfrm>
          <a:off x="10606481" y="9496946"/>
          <a:ext cx="646904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4" name="Isosceles Triangle 743">
          <a:extLst>
            <a:ext uri="{FF2B5EF4-FFF2-40B4-BE49-F238E27FC236}">
              <a16:creationId xmlns:a16="http://schemas.microsoft.com/office/drawing/2014/main" id="{59662C59-291D-4D68-AFA6-589488FC47E3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5" name="Isosceles Triangle 744">
          <a:extLst>
            <a:ext uri="{FF2B5EF4-FFF2-40B4-BE49-F238E27FC236}">
              <a16:creationId xmlns:a16="http://schemas.microsoft.com/office/drawing/2014/main" id="{0AA0D7E8-2F75-4EFA-BC4C-7C4BD50D3A11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6" name="Isosceles Triangle 745">
          <a:extLst>
            <a:ext uri="{FF2B5EF4-FFF2-40B4-BE49-F238E27FC236}">
              <a16:creationId xmlns:a16="http://schemas.microsoft.com/office/drawing/2014/main" id="{1AD0E29A-E4E0-4041-9ACC-C30905259246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748" name="Isosceles Triangle 747">
          <a:extLst>
            <a:ext uri="{FF2B5EF4-FFF2-40B4-BE49-F238E27FC236}">
              <a16:creationId xmlns:a16="http://schemas.microsoft.com/office/drawing/2014/main" id="{61E447E5-27FD-4B7C-9C6B-6CD6745492CC}"/>
            </a:ext>
          </a:extLst>
        </xdr:cNvPr>
        <xdr:cNvSpPr/>
      </xdr:nvSpPr>
      <xdr:spPr>
        <a:xfrm>
          <a:off x="3105592" y="9488085"/>
          <a:ext cx="653548" cy="29280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751" name="Isosceles Triangle 750">
          <a:extLst>
            <a:ext uri="{FF2B5EF4-FFF2-40B4-BE49-F238E27FC236}">
              <a16:creationId xmlns:a16="http://schemas.microsoft.com/office/drawing/2014/main" id="{7E235352-0A02-49A1-A4BB-D8F796C72591}"/>
            </a:ext>
          </a:extLst>
        </xdr:cNvPr>
        <xdr:cNvSpPr/>
      </xdr:nvSpPr>
      <xdr:spPr>
        <a:xfrm>
          <a:off x="43708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752" name="Isosceles Triangle 751">
          <a:extLst>
            <a:ext uri="{FF2B5EF4-FFF2-40B4-BE49-F238E27FC236}">
              <a16:creationId xmlns:a16="http://schemas.microsoft.com/office/drawing/2014/main" id="{86C008C8-108A-420E-9A3E-8FCD6F9968C8}"/>
            </a:ext>
          </a:extLst>
        </xdr:cNvPr>
        <xdr:cNvSpPr/>
      </xdr:nvSpPr>
      <xdr:spPr>
        <a:xfrm>
          <a:off x="1856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753" name="Isosceles Triangle 752">
          <a:extLst>
            <a:ext uri="{FF2B5EF4-FFF2-40B4-BE49-F238E27FC236}">
              <a16:creationId xmlns:a16="http://schemas.microsoft.com/office/drawing/2014/main" id="{99BDDC8B-DC3D-4476-8C18-E596DDA627C3}"/>
            </a:ext>
          </a:extLst>
        </xdr:cNvPr>
        <xdr:cNvSpPr/>
      </xdr:nvSpPr>
      <xdr:spPr>
        <a:xfrm>
          <a:off x="561590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755" name="Isosceles Triangle 754">
          <a:extLst>
            <a:ext uri="{FF2B5EF4-FFF2-40B4-BE49-F238E27FC236}">
              <a16:creationId xmlns:a16="http://schemas.microsoft.com/office/drawing/2014/main" id="{5A1E0C07-7C64-440D-9A74-036A238C0C40}"/>
            </a:ext>
          </a:extLst>
        </xdr:cNvPr>
        <xdr:cNvSpPr/>
      </xdr:nvSpPr>
      <xdr:spPr>
        <a:xfrm>
          <a:off x="686558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756" name="Isosceles Triangle 755">
          <a:extLst>
            <a:ext uri="{FF2B5EF4-FFF2-40B4-BE49-F238E27FC236}">
              <a16:creationId xmlns:a16="http://schemas.microsoft.com/office/drawing/2014/main" id="{B5503F21-B914-4243-91DB-47F962B90D20}"/>
            </a:ext>
          </a:extLst>
        </xdr:cNvPr>
        <xdr:cNvSpPr/>
      </xdr:nvSpPr>
      <xdr:spPr>
        <a:xfrm>
          <a:off x="811987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757" name="Isosceles Triangle 756">
          <a:extLst>
            <a:ext uri="{FF2B5EF4-FFF2-40B4-BE49-F238E27FC236}">
              <a16:creationId xmlns:a16="http://schemas.microsoft.com/office/drawing/2014/main" id="{DE44F71E-AF7E-4392-962C-A4971ECE5537}"/>
            </a:ext>
          </a:extLst>
        </xdr:cNvPr>
        <xdr:cNvSpPr/>
      </xdr:nvSpPr>
      <xdr:spPr>
        <a:xfrm>
          <a:off x="936955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758" name="Isosceles Triangle 757">
          <a:extLst>
            <a:ext uri="{FF2B5EF4-FFF2-40B4-BE49-F238E27FC236}">
              <a16:creationId xmlns:a16="http://schemas.microsoft.com/office/drawing/2014/main" id="{A0DA8DB4-ACC3-4BE6-AC44-E258A0931D7B}"/>
            </a:ext>
          </a:extLst>
        </xdr:cNvPr>
        <xdr:cNvSpPr/>
      </xdr:nvSpPr>
      <xdr:spPr>
        <a:xfrm>
          <a:off x="10619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759" name="Isosceles Triangle 758">
          <a:extLst>
            <a:ext uri="{FF2B5EF4-FFF2-40B4-BE49-F238E27FC236}">
              <a16:creationId xmlns:a16="http://schemas.microsoft.com/office/drawing/2014/main" id="{8267E9D1-440E-4D32-9FC2-6691ADCDD517}"/>
            </a:ext>
          </a:extLst>
        </xdr:cNvPr>
        <xdr:cNvSpPr/>
      </xdr:nvSpPr>
      <xdr:spPr>
        <a:xfrm>
          <a:off x="1186891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70444</xdr:rowOff>
    </xdr:from>
    <xdr:to>
      <xdr:col>3</xdr:col>
      <xdr:colOff>0</xdr:colOff>
      <xdr:row>73</xdr:row>
      <xdr:rowOff>165694</xdr:rowOff>
    </xdr:to>
    <xdr:sp macro="" textlink="">
      <xdr:nvSpPr>
        <xdr:cNvPr id="766" name="Isosceles Triangle 765">
          <a:extLst>
            <a:ext uri="{FF2B5EF4-FFF2-40B4-BE49-F238E27FC236}">
              <a16:creationId xmlns:a16="http://schemas.microsoft.com/office/drawing/2014/main" id="{8A6FCAD3-3915-44F9-A6B9-2AD87C84F6D6}"/>
            </a:ext>
          </a:extLst>
        </xdr:cNvPr>
        <xdr:cNvSpPr/>
      </xdr:nvSpPr>
      <xdr:spPr>
        <a:xfrm>
          <a:off x="587278" y="12764468"/>
          <a:ext cx="622957" cy="26557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768" name="Isosceles Triangle 767">
          <a:extLst>
            <a:ext uri="{FF2B5EF4-FFF2-40B4-BE49-F238E27FC236}">
              <a16:creationId xmlns:a16="http://schemas.microsoft.com/office/drawing/2014/main" id="{C6C61CD5-2314-49C1-921D-1C9CA5388713}"/>
            </a:ext>
          </a:extLst>
        </xdr:cNvPr>
        <xdr:cNvSpPr/>
      </xdr:nvSpPr>
      <xdr:spPr>
        <a:xfrm>
          <a:off x="5620512" y="12741159"/>
          <a:ext cx="620268" cy="26289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770" name="Isosceles Triangle 769">
          <a:extLst>
            <a:ext uri="{FF2B5EF4-FFF2-40B4-BE49-F238E27FC236}">
              <a16:creationId xmlns:a16="http://schemas.microsoft.com/office/drawing/2014/main" id="{93C5E2C2-19C9-4C8F-A07B-E0B6F75036D3}"/>
            </a:ext>
          </a:extLst>
        </xdr:cNvPr>
        <xdr:cNvSpPr/>
      </xdr:nvSpPr>
      <xdr:spPr>
        <a:xfrm>
          <a:off x="687019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773" name="Isosceles Triangle 772">
          <a:extLst>
            <a:ext uri="{FF2B5EF4-FFF2-40B4-BE49-F238E27FC236}">
              <a16:creationId xmlns:a16="http://schemas.microsoft.com/office/drawing/2014/main" id="{40E02188-4E30-4066-A1E3-619A4AA05E7D}"/>
            </a:ext>
          </a:extLst>
        </xdr:cNvPr>
        <xdr:cNvSpPr/>
      </xdr:nvSpPr>
      <xdr:spPr>
        <a:xfrm>
          <a:off x="1061923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788" name="Isosceles Triangle 787">
          <a:extLst>
            <a:ext uri="{FF2B5EF4-FFF2-40B4-BE49-F238E27FC236}">
              <a16:creationId xmlns:a16="http://schemas.microsoft.com/office/drawing/2014/main" id="{B5073279-1971-4508-8622-BFFAE73C8DCF}"/>
            </a:ext>
          </a:extLst>
        </xdr:cNvPr>
        <xdr:cNvSpPr/>
      </xdr:nvSpPr>
      <xdr:spPr>
        <a:xfrm>
          <a:off x="11868912" y="12741159"/>
          <a:ext cx="620268" cy="26289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6980</xdr:colOff>
      <xdr:row>81</xdr:row>
      <xdr:rowOff>70444</xdr:rowOff>
    </xdr:from>
    <xdr:to>
      <xdr:col>3</xdr:col>
      <xdr:colOff>2408</xdr:colOff>
      <xdr:row>82</xdr:row>
      <xdr:rowOff>165694</xdr:rowOff>
    </xdr:to>
    <xdr:sp macro="" textlink="">
      <xdr:nvSpPr>
        <xdr:cNvPr id="791" name="Isosceles Triangle 790">
          <a:extLst>
            <a:ext uri="{FF2B5EF4-FFF2-40B4-BE49-F238E27FC236}">
              <a16:creationId xmlns:a16="http://schemas.microsoft.com/office/drawing/2014/main" id="{1671B16D-59F8-4375-8E42-B62F2E974FBE}"/>
            </a:ext>
          </a:extLst>
        </xdr:cNvPr>
        <xdr:cNvSpPr/>
      </xdr:nvSpPr>
      <xdr:spPr>
        <a:xfrm>
          <a:off x="589686" y="14476726"/>
          <a:ext cx="622957" cy="3552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792" name="Isosceles Triangle 791">
          <a:extLst>
            <a:ext uri="{FF2B5EF4-FFF2-40B4-BE49-F238E27FC236}">
              <a16:creationId xmlns:a16="http://schemas.microsoft.com/office/drawing/2014/main" id="{667E95C7-38D2-44B4-85A9-BAE51BC0EDCF}"/>
            </a:ext>
          </a:extLst>
        </xdr:cNvPr>
        <xdr:cNvSpPr/>
      </xdr:nvSpPr>
      <xdr:spPr>
        <a:xfrm>
          <a:off x="1061923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793" name="Isosceles Triangle 792">
          <a:extLst>
            <a:ext uri="{FF2B5EF4-FFF2-40B4-BE49-F238E27FC236}">
              <a16:creationId xmlns:a16="http://schemas.microsoft.com/office/drawing/2014/main" id="{D3EA11CA-EA8A-48A5-963F-3765A292FA50}"/>
            </a:ext>
          </a:extLst>
        </xdr:cNvPr>
        <xdr:cNvSpPr/>
      </xdr:nvSpPr>
      <xdr:spPr>
        <a:xfrm>
          <a:off x="8119872" y="14434515"/>
          <a:ext cx="620268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794" name="Isosceles Triangle 793">
          <a:extLst>
            <a:ext uri="{FF2B5EF4-FFF2-40B4-BE49-F238E27FC236}">
              <a16:creationId xmlns:a16="http://schemas.microsoft.com/office/drawing/2014/main" id="{020FBB1D-B488-45A7-BB2A-2AAEC967DFBA}"/>
            </a:ext>
          </a:extLst>
        </xdr:cNvPr>
        <xdr:cNvSpPr/>
      </xdr:nvSpPr>
      <xdr:spPr>
        <a:xfrm>
          <a:off x="687019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795" name="Isosceles Triangle 794">
          <a:extLst>
            <a:ext uri="{FF2B5EF4-FFF2-40B4-BE49-F238E27FC236}">
              <a16:creationId xmlns:a16="http://schemas.microsoft.com/office/drawing/2014/main" id="{328BC595-E04B-4405-807F-2837B3589903}"/>
            </a:ext>
          </a:extLst>
        </xdr:cNvPr>
        <xdr:cNvSpPr/>
      </xdr:nvSpPr>
      <xdr:spPr>
        <a:xfrm>
          <a:off x="11864340" y="16212793"/>
          <a:ext cx="602646" cy="331470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796" name="Isosceles Triangle 795">
          <a:extLst>
            <a:ext uri="{FF2B5EF4-FFF2-40B4-BE49-F238E27FC236}">
              <a16:creationId xmlns:a16="http://schemas.microsoft.com/office/drawing/2014/main" id="{4AA899C8-7758-4C2C-AD77-7F7B1D444EAC}"/>
            </a:ext>
          </a:extLst>
        </xdr:cNvPr>
        <xdr:cNvSpPr/>
      </xdr:nvSpPr>
      <xdr:spPr>
        <a:xfrm>
          <a:off x="58674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797" name="Isosceles Triangle 796">
          <a:extLst>
            <a:ext uri="{FF2B5EF4-FFF2-40B4-BE49-F238E27FC236}">
              <a16:creationId xmlns:a16="http://schemas.microsoft.com/office/drawing/2014/main" id="{182EC093-C254-436E-AF1F-7A76A2E3E396}"/>
            </a:ext>
          </a:extLst>
        </xdr:cNvPr>
        <xdr:cNvSpPr/>
      </xdr:nvSpPr>
      <xdr:spPr>
        <a:xfrm>
          <a:off x="3121152" y="1802181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798" name="Isosceles Triangle 797">
          <a:extLst>
            <a:ext uri="{FF2B5EF4-FFF2-40B4-BE49-F238E27FC236}">
              <a16:creationId xmlns:a16="http://schemas.microsoft.com/office/drawing/2014/main" id="{100E5DFA-DD3A-4333-AB18-93A302EB6DAA}"/>
            </a:ext>
          </a:extLst>
        </xdr:cNvPr>
        <xdr:cNvSpPr/>
      </xdr:nvSpPr>
      <xdr:spPr>
        <a:xfrm>
          <a:off x="185166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799" name="Isosceles Triangle 798">
          <a:extLst>
            <a:ext uri="{FF2B5EF4-FFF2-40B4-BE49-F238E27FC236}">
              <a16:creationId xmlns:a16="http://schemas.microsoft.com/office/drawing/2014/main" id="{16DA49B3-1D71-41A8-9E01-DBA5A8F2DEF3}"/>
            </a:ext>
          </a:extLst>
        </xdr:cNvPr>
        <xdr:cNvSpPr/>
      </xdr:nvSpPr>
      <xdr:spPr>
        <a:xfrm>
          <a:off x="586740" y="217601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802" name="Isosceles Triangle 801">
          <a:extLst>
            <a:ext uri="{FF2B5EF4-FFF2-40B4-BE49-F238E27FC236}">
              <a16:creationId xmlns:a16="http://schemas.microsoft.com/office/drawing/2014/main" id="{A652C37F-4387-47F8-9C2E-56204378C5CE}"/>
            </a:ext>
          </a:extLst>
        </xdr:cNvPr>
        <xdr:cNvSpPr/>
      </xdr:nvSpPr>
      <xdr:spPr>
        <a:xfrm>
          <a:off x="561594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803" name="Isosceles Triangle 802">
          <a:extLst>
            <a:ext uri="{FF2B5EF4-FFF2-40B4-BE49-F238E27FC236}">
              <a16:creationId xmlns:a16="http://schemas.microsoft.com/office/drawing/2014/main" id="{596DEE4C-376D-4CE6-8CED-4051FBB300C8}"/>
            </a:ext>
          </a:extLst>
        </xdr:cNvPr>
        <xdr:cNvSpPr/>
      </xdr:nvSpPr>
      <xdr:spPr>
        <a:xfrm>
          <a:off x="686562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804" name="Isosceles Triangle 803">
          <a:extLst>
            <a:ext uri="{FF2B5EF4-FFF2-40B4-BE49-F238E27FC236}">
              <a16:creationId xmlns:a16="http://schemas.microsoft.com/office/drawing/2014/main" id="{DBA72773-99DB-4307-B03D-CC9E0BD4143F}"/>
            </a:ext>
          </a:extLst>
        </xdr:cNvPr>
        <xdr:cNvSpPr/>
      </xdr:nvSpPr>
      <xdr:spPr>
        <a:xfrm>
          <a:off x="43662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618565</xdr:colOff>
      <xdr:row>117</xdr:row>
      <xdr:rowOff>20162</xdr:rowOff>
    </xdr:from>
    <xdr:to>
      <xdr:col>8</xdr:col>
      <xdr:colOff>618564</xdr:colOff>
      <xdr:row>118</xdr:row>
      <xdr:rowOff>170330</xdr:rowOff>
    </xdr:to>
    <xdr:sp macro="" textlink="">
      <xdr:nvSpPr>
        <xdr:cNvPr id="805" name="Isosceles Triangle 804">
          <a:extLst>
            <a:ext uri="{FF2B5EF4-FFF2-40B4-BE49-F238E27FC236}">
              <a16:creationId xmlns:a16="http://schemas.microsoft.com/office/drawing/2014/main" id="{4FAA448F-B2CF-4E1A-9358-F898184D846F}"/>
            </a:ext>
          </a:extLst>
        </xdr:cNvPr>
        <xdr:cNvSpPr/>
      </xdr:nvSpPr>
      <xdr:spPr>
        <a:xfrm>
          <a:off x="4356847" y="21813362"/>
          <a:ext cx="627529" cy="320497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807" name="Isosceles Triangle 806">
          <a:extLst>
            <a:ext uri="{FF2B5EF4-FFF2-40B4-BE49-F238E27FC236}">
              <a16:creationId xmlns:a16="http://schemas.microsoft.com/office/drawing/2014/main" id="{0C8FA2DD-21D6-4019-8072-948CC63CF507}"/>
            </a:ext>
          </a:extLst>
        </xdr:cNvPr>
        <xdr:cNvSpPr/>
      </xdr:nvSpPr>
      <xdr:spPr>
        <a:xfrm>
          <a:off x="31165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808" name="Isosceles Triangle 807">
          <a:extLst>
            <a:ext uri="{FF2B5EF4-FFF2-40B4-BE49-F238E27FC236}">
              <a16:creationId xmlns:a16="http://schemas.microsoft.com/office/drawing/2014/main" id="{02488309-C2A5-40A8-948E-E5DE7C02D81A}"/>
            </a:ext>
          </a:extLst>
        </xdr:cNvPr>
        <xdr:cNvSpPr/>
      </xdr:nvSpPr>
      <xdr:spPr>
        <a:xfrm>
          <a:off x="3124518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809" name="Isosceles Triangle 808">
          <a:extLst>
            <a:ext uri="{FF2B5EF4-FFF2-40B4-BE49-F238E27FC236}">
              <a16:creationId xmlns:a16="http://schemas.microsoft.com/office/drawing/2014/main" id="{91527F3A-AE2E-4C71-AA1F-94D79C956680}"/>
            </a:ext>
          </a:extLst>
        </xdr:cNvPr>
        <xdr:cNvSpPr/>
      </xdr:nvSpPr>
      <xdr:spPr>
        <a:xfrm>
          <a:off x="311658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810" name="Isosceles Triangle 809">
          <a:extLst>
            <a:ext uri="{FF2B5EF4-FFF2-40B4-BE49-F238E27FC236}">
              <a16:creationId xmlns:a16="http://schemas.microsoft.com/office/drawing/2014/main" id="{94E94693-EF0B-44CF-B2E5-63B354711884}"/>
            </a:ext>
          </a:extLst>
        </xdr:cNvPr>
        <xdr:cNvSpPr/>
      </xdr:nvSpPr>
      <xdr:spPr>
        <a:xfrm>
          <a:off x="311658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812" name="Isosceles Triangle 811">
          <a:extLst>
            <a:ext uri="{FF2B5EF4-FFF2-40B4-BE49-F238E27FC236}">
              <a16:creationId xmlns:a16="http://schemas.microsoft.com/office/drawing/2014/main" id="{56057F94-269C-4677-831E-6D8F562B4A12}"/>
            </a:ext>
          </a:extLst>
        </xdr:cNvPr>
        <xdr:cNvSpPr/>
      </xdr:nvSpPr>
      <xdr:spPr>
        <a:xfrm>
          <a:off x="185166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816" name="Isosceles Triangle 815">
          <a:extLst>
            <a:ext uri="{FF2B5EF4-FFF2-40B4-BE49-F238E27FC236}">
              <a16:creationId xmlns:a16="http://schemas.microsoft.com/office/drawing/2014/main" id="{DCFC3560-FBC4-4287-AB3A-5F243625045F}"/>
            </a:ext>
          </a:extLst>
        </xdr:cNvPr>
        <xdr:cNvSpPr/>
      </xdr:nvSpPr>
      <xdr:spPr>
        <a:xfrm>
          <a:off x="1840672" y="23450461"/>
          <a:ext cx="635828" cy="4313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817" name="Isosceles Triangle 816">
          <a:extLst>
            <a:ext uri="{FF2B5EF4-FFF2-40B4-BE49-F238E27FC236}">
              <a16:creationId xmlns:a16="http://schemas.microsoft.com/office/drawing/2014/main" id="{13EE444C-BCF7-43DF-85A2-111302209BE1}"/>
            </a:ext>
          </a:extLst>
        </xdr:cNvPr>
        <xdr:cNvSpPr/>
      </xdr:nvSpPr>
      <xdr:spPr>
        <a:xfrm>
          <a:off x="58674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818" name="Isosceles Triangle 817">
          <a:extLst>
            <a:ext uri="{FF2B5EF4-FFF2-40B4-BE49-F238E27FC236}">
              <a16:creationId xmlns:a16="http://schemas.microsoft.com/office/drawing/2014/main" id="{81A368AA-3A9B-43B3-9DD4-4C8614ADD0B2}"/>
            </a:ext>
          </a:extLst>
        </xdr:cNvPr>
        <xdr:cNvSpPr/>
      </xdr:nvSpPr>
      <xdr:spPr>
        <a:xfrm>
          <a:off x="58674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819" name="Isosceles Triangle 818">
          <a:extLst>
            <a:ext uri="{FF2B5EF4-FFF2-40B4-BE49-F238E27FC236}">
              <a16:creationId xmlns:a16="http://schemas.microsoft.com/office/drawing/2014/main" id="{733E4C06-7545-4FF9-9FFC-61025D84DD4E}"/>
            </a:ext>
          </a:extLst>
        </xdr:cNvPr>
        <xdr:cNvSpPr/>
      </xdr:nvSpPr>
      <xdr:spPr>
        <a:xfrm>
          <a:off x="93649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820" name="Isosceles Triangle 819">
          <a:extLst>
            <a:ext uri="{FF2B5EF4-FFF2-40B4-BE49-F238E27FC236}">
              <a16:creationId xmlns:a16="http://schemas.microsoft.com/office/drawing/2014/main" id="{7184FC18-B227-421B-8E93-EF5BE4691625}"/>
            </a:ext>
          </a:extLst>
        </xdr:cNvPr>
        <xdr:cNvSpPr/>
      </xdr:nvSpPr>
      <xdr:spPr>
        <a:xfrm>
          <a:off x="9368311" y="21759231"/>
          <a:ext cx="598393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821" name="Isosceles Triangle 820">
          <a:extLst>
            <a:ext uri="{FF2B5EF4-FFF2-40B4-BE49-F238E27FC236}">
              <a16:creationId xmlns:a16="http://schemas.microsoft.com/office/drawing/2014/main" id="{8383C152-3DA6-4206-A176-39C29472CF21}"/>
            </a:ext>
          </a:extLst>
        </xdr:cNvPr>
        <xdr:cNvSpPr/>
      </xdr:nvSpPr>
      <xdr:spPr>
        <a:xfrm>
          <a:off x="106146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823" name="Isosceles Triangle 822">
          <a:extLst>
            <a:ext uri="{FF2B5EF4-FFF2-40B4-BE49-F238E27FC236}">
              <a16:creationId xmlns:a16="http://schemas.microsoft.com/office/drawing/2014/main" id="{AC65DD83-189D-4259-B6B0-9EBF8B22E345}"/>
            </a:ext>
          </a:extLst>
        </xdr:cNvPr>
        <xdr:cNvSpPr/>
      </xdr:nvSpPr>
      <xdr:spPr>
        <a:xfrm>
          <a:off x="10614660" y="2176015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824" name="Isosceles Triangle 823">
          <a:extLst>
            <a:ext uri="{FF2B5EF4-FFF2-40B4-BE49-F238E27FC236}">
              <a16:creationId xmlns:a16="http://schemas.microsoft.com/office/drawing/2014/main" id="{C8D98CE7-FE94-4E62-8E33-796E0C3C7AF4}"/>
            </a:ext>
          </a:extLst>
        </xdr:cNvPr>
        <xdr:cNvSpPr/>
      </xdr:nvSpPr>
      <xdr:spPr>
        <a:xfrm>
          <a:off x="1186434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825" name="Isosceles Triangle 824">
          <a:extLst>
            <a:ext uri="{FF2B5EF4-FFF2-40B4-BE49-F238E27FC236}">
              <a16:creationId xmlns:a16="http://schemas.microsoft.com/office/drawing/2014/main" id="{5728F3B6-6084-44D0-8F12-19D3691BFE28}"/>
            </a:ext>
          </a:extLst>
        </xdr:cNvPr>
        <xdr:cNvSpPr/>
      </xdr:nvSpPr>
      <xdr:spPr>
        <a:xfrm>
          <a:off x="11864340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6" name="Isosceles Triangle 825">
          <a:extLst>
            <a:ext uri="{FF2B5EF4-FFF2-40B4-BE49-F238E27FC236}">
              <a16:creationId xmlns:a16="http://schemas.microsoft.com/office/drawing/2014/main" id="{C385BB69-09EB-46CC-A2F9-8556F4D35F29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7" name="Isosceles Triangle 826">
          <a:extLst>
            <a:ext uri="{FF2B5EF4-FFF2-40B4-BE49-F238E27FC236}">
              <a16:creationId xmlns:a16="http://schemas.microsoft.com/office/drawing/2014/main" id="{30254B24-88D8-4455-B4AC-AA1595934CB6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831" name="Isosceles Triangle 830">
          <a:extLst>
            <a:ext uri="{FF2B5EF4-FFF2-40B4-BE49-F238E27FC236}">
              <a16:creationId xmlns:a16="http://schemas.microsoft.com/office/drawing/2014/main" id="{C9359FD9-8FB0-4FC4-8FED-8752EFB20476}"/>
            </a:ext>
          </a:extLst>
        </xdr:cNvPr>
        <xdr:cNvSpPr/>
      </xdr:nvSpPr>
      <xdr:spPr>
        <a:xfrm>
          <a:off x="1851660" y="144373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834" name="Isosceles Triangle 833">
          <a:extLst>
            <a:ext uri="{FF2B5EF4-FFF2-40B4-BE49-F238E27FC236}">
              <a16:creationId xmlns:a16="http://schemas.microsoft.com/office/drawing/2014/main" id="{A70FBB5C-2FFA-4EF8-B663-0C43CBEE1B91}"/>
            </a:ext>
          </a:extLst>
        </xdr:cNvPr>
        <xdr:cNvSpPr/>
      </xdr:nvSpPr>
      <xdr:spPr>
        <a:xfrm>
          <a:off x="811530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835" name="Isosceles Triangle 834">
          <a:extLst>
            <a:ext uri="{FF2B5EF4-FFF2-40B4-BE49-F238E27FC236}">
              <a16:creationId xmlns:a16="http://schemas.microsoft.com/office/drawing/2014/main" id="{F3E138FC-C3DC-469E-859D-60A9FF5E04CD}"/>
            </a:ext>
          </a:extLst>
        </xdr:cNvPr>
        <xdr:cNvSpPr/>
      </xdr:nvSpPr>
      <xdr:spPr>
        <a:xfrm>
          <a:off x="436626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837" name="Isosceles Triangle 836">
          <a:extLst>
            <a:ext uri="{FF2B5EF4-FFF2-40B4-BE49-F238E27FC236}">
              <a16:creationId xmlns:a16="http://schemas.microsoft.com/office/drawing/2014/main" id="{48078BDC-CC11-43B8-94B5-A734E528D257}"/>
            </a:ext>
          </a:extLst>
        </xdr:cNvPr>
        <xdr:cNvSpPr/>
      </xdr:nvSpPr>
      <xdr:spPr>
        <a:xfrm>
          <a:off x="43708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838" name="Straight Arrow Connector 837">
          <a:extLst>
            <a:ext uri="{FF2B5EF4-FFF2-40B4-BE49-F238E27FC236}">
              <a16:creationId xmlns:a16="http://schemas.microsoft.com/office/drawing/2014/main" id="{5001F6C5-D75B-4A83-B4A9-64713A49853E}"/>
            </a:ext>
          </a:extLst>
        </xdr:cNvPr>
        <xdr:cNvCxnSpPr/>
      </xdr:nvCxnSpPr>
      <xdr:spPr>
        <a:xfrm flipV="1">
          <a:off x="6001422" y="9132495"/>
          <a:ext cx="3262555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39" name="Straight Arrow Connector 838">
          <a:extLst>
            <a:ext uri="{FF2B5EF4-FFF2-40B4-BE49-F238E27FC236}">
              <a16:creationId xmlns:a16="http://schemas.microsoft.com/office/drawing/2014/main" id="{BA631ABB-D033-4363-A275-8EF30A78A9C2}"/>
            </a:ext>
          </a:extLst>
        </xdr:cNvPr>
        <xdr:cNvCxnSpPr/>
      </xdr:nvCxnSpPr>
      <xdr:spPr>
        <a:xfrm flipH="1">
          <a:off x="9372450" y="9115313"/>
          <a:ext cx="3448424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42" name="Isosceles Triangle 841">
          <a:extLst>
            <a:ext uri="{FF2B5EF4-FFF2-40B4-BE49-F238E27FC236}">
              <a16:creationId xmlns:a16="http://schemas.microsoft.com/office/drawing/2014/main" id="{C3781141-013D-4C14-9278-3D14557E2926}"/>
            </a:ext>
          </a:extLst>
        </xdr:cNvPr>
        <xdr:cNvSpPr/>
      </xdr:nvSpPr>
      <xdr:spPr>
        <a:xfrm>
          <a:off x="3116580" y="1274569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46" name="Isosceles Triangle 845">
          <a:extLst>
            <a:ext uri="{FF2B5EF4-FFF2-40B4-BE49-F238E27FC236}">
              <a16:creationId xmlns:a16="http://schemas.microsoft.com/office/drawing/2014/main" id="{EE828885-D5F7-4891-B36E-0FF78949BA79}"/>
            </a:ext>
          </a:extLst>
        </xdr:cNvPr>
        <xdr:cNvSpPr/>
      </xdr:nvSpPr>
      <xdr:spPr>
        <a:xfrm>
          <a:off x="4366260" y="14437333"/>
          <a:ext cx="602646" cy="35433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8" name="Isosceles Triangle 847">
          <a:extLst>
            <a:ext uri="{FF2B5EF4-FFF2-40B4-BE49-F238E27FC236}">
              <a16:creationId xmlns:a16="http://schemas.microsoft.com/office/drawing/2014/main" id="{10321B5B-FFAE-4C05-9EEE-181071FC7638}"/>
            </a:ext>
          </a:extLst>
        </xdr:cNvPr>
        <xdr:cNvSpPr/>
      </xdr:nvSpPr>
      <xdr:spPr>
        <a:xfrm>
          <a:off x="5913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849" name="Isosceles Triangle 848">
          <a:extLst>
            <a:ext uri="{FF2B5EF4-FFF2-40B4-BE49-F238E27FC236}">
              <a16:creationId xmlns:a16="http://schemas.microsoft.com/office/drawing/2014/main" id="{C2263EC2-7E5B-4649-BC7C-AF6AA06CD1E8}"/>
            </a:ext>
          </a:extLst>
        </xdr:cNvPr>
        <xdr:cNvSpPr/>
      </xdr:nvSpPr>
      <xdr:spPr>
        <a:xfrm>
          <a:off x="561594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0" name="Isosceles Triangle 849">
          <a:extLst>
            <a:ext uri="{FF2B5EF4-FFF2-40B4-BE49-F238E27FC236}">
              <a16:creationId xmlns:a16="http://schemas.microsoft.com/office/drawing/2014/main" id="{FBE75E06-5D41-4B58-B550-D8563801C7EF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3" name="Isosceles Triangle 852">
          <a:extLst>
            <a:ext uri="{FF2B5EF4-FFF2-40B4-BE49-F238E27FC236}">
              <a16:creationId xmlns:a16="http://schemas.microsoft.com/office/drawing/2014/main" id="{526609EA-5F8B-4833-9037-05003525C2D7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4" name="Isosceles Triangle 853">
          <a:extLst>
            <a:ext uri="{FF2B5EF4-FFF2-40B4-BE49-F238E27FC236}">
              <a16:creationId xmlns:a16="http://schemas.microsoft.com/office/drawing/2014/main" id="{0AC89179-0683-4E52-A5A1-054BC01A7AEF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6" name="Isosceles Triangle 855">
          <a:extLst>
            <a:ext uri="{FF2B5EF4-FFF2-40B4-BE49-F238E27FC236}">
              <a16:creationId xmlns:a16="http://schemas.microsoft.com/office/drawing/2014/main" id="{5F02A845-82D5-462D-AC20-64B2BD5F6C7B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857" name="Isosceles Triangle 856">
          <a:extLst>
            <a:ext uri="{FF2B5EF4-FFF2-40B4-BE49-F238E27FC236}">
              <a16:creationId xmlns:a16="http://schemas.microsoft.com/office/drawing/2014/main" id="{E4D8080B-1481-4CC5-80F9-8E3C447466E8}"/>
            </a:ext>
          </a:extLst>
        </xdr:cNvPr>
        <xdr:cNvSpPr/>
      </xdr:nvSpPr>
      <xdr:spPr>
        <a:xfrm>
          <a:off x="1851660" y="12745693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858" name="Isosceles Triangle 857">
          <a:extLst>
            <a:ext uri="{FF2B5EF4-FFF2-40B4-BE49-F238E27FC236}">
              <a16:creationId xmlns:a16="http://schemas.microsoft.com/office/drawing/2014/main" id="{679ED2CF-D94B-4477-B5D3-7292E91351E9}"/>
            </a:ext>
          </a:extLst>
        </xdr:cNvPr>
        <xdr:cNvSpPr/>
      </xdr:nvSpPr>
      <xdr:spPr>
        <a:xfrm>
          <a:off x="93649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859" name="Isosceles Triangle 858">
          <a:extLst>
            <a:ext uri="{FF2B5EF4-FFF2-40B4-BE49-F238E27FC236}">
              <a16:creationId xmlns:a16="http://schemas.microsoft.com/office/drawing/2014/main" id="{7794F18E-D2AD-4D27-B50D-F41EF0101790}"/>
            </a:ext>
          </a:extLst>
        </xdr:cNvPr>
        <xdr:cNvSpPr/>
      </xdr:nvSpPr>
      <xdr:spPr>
        <a:xfrm>
          <a:off x="561594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60" name="Isosceles Triangle 859">
          <a:extLst>
            <a:ext uri="{FF2B5EF4-FFF2-40B4-BE49-F238E27FC236}">
              <a16:creationId xmlns:a16="http://schemas.microsoft.com/office/drawing/2014/main" id="{EA263C06-80BC-4550-8F1D-AEE0496F8955}"/>
            </a:ext>
          </a:extLst>
        </xdr:cNvPr>
        <xdr:cNvSpPr/>
      </xdr:nvSpPr>
      <xdr:spPr>
        <a:xfrm>
          <a:off x="687448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861" name="Isosceles Triangle 860">
          <a:extLst>
            <a:ext uri="{FF2B5EF4-FFF2-40B4-BE49-F238E27FC236}">
              <a16:creationId xmlns:a16="http://schemas.microsoft.com/office/drawing/2014/main" id="{FB304C7C-898D-4EDC-8592-8C69C88D1021}"/>
            </a:ext>
          </a:extLst>
        </xdr:cNvPr>
        <xdr:cNvSpPr/>
      </xdr:nvSpPr>
      <xdr:spPr>
        <a:xfrm>
          <a:off x="1186434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68394</xdr:rowOff>
    </xdr:from>
    <xdr:to>
      <xdr:col>2</xdr:col>
      <xdr:colOff>602647</xdr:colOff>
      <xdr:row>64</xdr:row>
      <xdr:rowOff>163644</xdr:rowOff>
    </xdr:to>
    <xdr:sp macro="" textlink="">
      <xdr:nvSpPr>
        <xdr:cNvPr id="863" name="Isosceles Triangle 862">
          <a:extLst>
            <a:ext uri="{FF2B5EF4-FFF2-40B4-BE49-F238E27FC236}">
              <a16:creationId xmlns:a16="http://schemas.microsoft.com/office/drawing/2014/main" id="{B0DB2ABA-FD84-437F-A415-742FEED7F0EC}"/>
            </a:ext>
          </a:extLst>
        </xdr:cNvPr>
        <xdr:cNvSpPr/>
      </xdr:nvSpPr>
      <xdr:spPr>
        <a:xfrm>
          <a:off x="586740" y="1106405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7" name="Isosceles Triangle 866">
          <a:extLst>
            <a:ext uri="{FF2B5EF4-FFF2-40B4-BE49-F238E27FC236}">
              <a16:creationId xmlns:a16="http://schemas.microsoft.com/office/drawing/2014/main" id="{B22734B6-259B-4879-8BCA-3EFC0FB5621C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9" name="Isosceles Triangle 868">
          <a:extLst>
            <a:ext uri="{FF2B5EF4-FFF2-40B4-BE49-F238E27FC236}">
              <a16:creationId xmlns:a16="http://schemas.microsoft.com/office/drawing/2014/main" id="{1799ED0E-FDDF-476C-B796-36B97C28959A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870" name="Isosceles Triangle 869">
          <a:extLst>
            <a:ext uri="{FF2B5EF4-FFF2-40B4-BE49-F238E27FC236}">
              <a16:creationId xmlns:a16="http://schemas.microsoft.com/office/drawing/2014/main" id="{D54ABEC5-DAFC-4774-A1F0-DC0C5874A3B4}"/>
            </a:ext>
          </a:extLst>
        </xdr:cNvPr>
        <xdr:cNvSpPr/>
      </xdr:nvSpPr>
      <xdr:spPr>
        <a:xfrm>
          <a:off x="93649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1" name="Isosceles Triangle 870">
          <a:extLst>
            <a:ext uri="{FF2B5EF4-FFF2-40B4-BE49-F238E27FC236}">
              <a16:creationId xmlns:a16="http://schemas.microsoft.com/office/drawing/2014/main" id="{4364F501-E8F6-4CD0-BBF6-A23180E3FC9C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2" name="Isosceles Triangle 871">
          <a:extLst>
            <a:ext uri="{FF2B5EF4-FFF2-40B4-BE49-F238E27FC236}">
              <a16:creationId xmlns:a16="http://schemas.microsoft.com/office/drawing/2014/main" id="{1350B624-7D56-4484-864C-F9637A544320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73" name="Isosceles Triangle 872">
          <a:extLst>
            <a:ext uri="{FF2B5EF4-FFF2-40B4-BE49-F238E27FC236}">
              <a16:creationId xmlns:a16="http://schemas.microsoft.com/office/drawing/2014/main" id="{7D8B0284-D4BD-4BCF-9693-94C1BF2FF892}"/>
            </a:ext>
          </a:extLst>
        </xdr:cNvPr>
        <xdr:cNvSpPr/>
      </xdr:nvSpPr>
      <xdr:spPr>
        <a:xfrm>
          <a:off x="3116580" y="1107291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876" name="Isosceles Triangle 875">
          <a:extLst>
            <a:ext uri="{FF2B5EF4-FFF2-40B4-BE49-F238E27FC236}">
              <a16:creationId xmlns:a16="http://schemas.microsoft.com/office/drawing/2014/main" id="{97D64426-9D2D-480F-88FB-643E318DD135}"/>
            </a:ext>
          </a:extLst>
        </xdr:cNvPr>
        <xdr:cNvSpPr/>
      </xdr:nvSpPr>
      <xdr:spPr>
        <a:xfrm>
          <a:off x="31165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877" name="Isosceles Triangle 876">
          <a:extLst>
            <a:ext uri="{FF2B5EF4-FFF2-40B4-BE49-F238E27FC236}">
              <a16:creationId xmlns:a16="http://schemas.microsoft.com/office/drawing/2014/main" id="{FCFC2BB9-ADE1-481A-B8A3-8BEB911FEEBA}"/>
            </a:ext>
          </a:extLst>
        </xdr:cNvPr>
        <xdr:cNvSpPr/>
      </xdr:nvSpPr>
      <xdr:spPr>
        <a:xfrm>
          <a:off x="1061466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881" name="Isosceles Triangle 880">
          <a:extLst>
            <a:ext uri="{FF2B5EF4-FFF2-40B4-BE49-F238E27FC236}">
              <a16:creationId xmlns:a16="http://schemas.microsoft.com/office/drawing/2014/main" id="{00633BD0-EAB7-40AE-82C6-51A73D24A9EC}"/>
            </a:ext>
          </a:extLst>
        </xdr:cNvPr>
        <xdr:cNvSpPr/>
      </xdr:nvSpPr>
      <xdr:spPr>
        <a:xfrm>
          <a:off x="562051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882" name="Isosceles Triangle 881">
          <a:extLst>
            <a:ext uri="{FF2B5EF4-FFF2-40B4-BE49-F238E27FC236}">
              <a16:creationId xmlns:a16="http://schemas.microsoft.com/office/drawing/2014/main" id="{BA64782F-F3DA-4E05-A9B3-F273CF56E5A5}"/>
            </a:ext>
          </a:extLst>
        </xdr:cNvPr>
        <xdr:cNvSpPr/>
      </xdr:nvSpPr>
      <xdr:spPr>
        <a:xfrm>
          <a:off x="5913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883" name="Isosceles Triangle 882">
          <a:extLst>
            <a:ext uri="{FF2B5EF4-FFF2-40B4-BE49-F238E27FC236}">
              <a16:creationId xmlns:a16="http://schemas.microsoft.com/office/drawing/2014/main" id="{D68136FF-5A8F-41EB-8CEE-AEC86C0836E8}"/>
            </a:ext>
          </a:extLst>
        </xdr:cNvPr>
        <xdr:cNvSpPr/>
      </xdr:nvSpPr>
      <xdr:spPr>
        <a:xfrm>
          <a:off x="580503" y="6387507"/>
          <a:ext cx="626470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884" name="Isosceles Triangle 883">
          <a:extLst>
            <a:ext uri="{FF2B5EF4-FFF2-40B4-BE49-F238E27FC236}">
              <a16:creationId xmlns:a16="http://schemas.microsoft.com/office/drawing/2014/main" id="{2EB09C00-2DA7-44B8-B6C0-C6F98BC5BD5B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886" name="Isosceles Triangle 885">
          <a:extLst>
            <a:ext uri="{FF2B5EF4-FFF2-40B4-BE49-F238E27FC236}">
              <a16:creationId xmlns:a16="http://schemas.microsoft.com/office/drawing/2014/main" id="{47758218-A8E1-4E3C-A017-0B365D93FF56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rgbClr val="FF006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7" name="Isosceles Triangle 886">
          <a:extLst>
            <a:ext uri="{FF2B5EF4-FFF2-40B4-BE49-F238E27FC236}">
              <a16:creationId xmlns:a16="http://schemas.microsoft.com/office/drawing/2014/main" id="{4D239013-CE55-4AEE-83B8-3DF7BE57C2D2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8" name="Isosceles Triangle 887">
          <a:extLst>
            <a:ext uri="{FF2B5EF4-FFF2-40B4-BE49-F238E27FC236}">
              <a16:creationId xmlns:a16="http://schemas.microsoft.com/office/drawing/2014/main" id="{051A4676-A547-4FE4-A77F-F1D86A0CA756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90" name="Isosceles Triangle 889">
          <a:extLst>
            <a:ext uri="{FF2B5EF4-FFF2-40B4-BE49-F238E27FC236}">
              <a16:creationId xmlns:a16="http://schemas.microsoft.com/office/drawing/2014/main" id="{19B86C3E-0CC5-4BCE-BE5B-20C42D8BFDD5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891" name="Isosceles Triangle 890">
          <a:extLst>
            <a:ext uri="{FF2B5EF4-FFF2-40B4-BE49-F238E27FC236}">
              <a16:creationId xmlns:a16="http://schemas.microsoft.com/office/drawing/2014/main" id="{B9856CB1-9036-41A6-8708-672BABC58670}"/>
            </a:ext>
          </a:extLst>
        </xdr:cNvPr>
        <xdr:cNvSpPr/>
      </xdr:nvSpPr>
      <xdr:spPr>
        <a:xfrm>
          <a:off x="11869628" y="9496946"/>
          <a:ext cx="617720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92" name="Lightning Bolt 891">
          <a:extLst>
            <a:ext uri="{FF2B5EF4-FFF2-40B4-BE49-F238E27FC236}">
              <a16:creationId xmlns:a16="http://schemas.microsoft.com/office/drawing/2014/main" id="{976F81FC-E43B-415B-95D5-7EEB433A3813}"/>
            </a:ext>
          </a:extLst>
        </xdr:cNvPr>
        <xdr:cNvSpPr/>
      </xdr:nvSpPr>
      <xdr:spPr>
        <a:xfrm>
          <a:off x="1458425" y="3071825"/>
          <a:ext cx="125801" cy="567452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893" name="Picture 11597">
          <a:extLst>
            <a:ext uri="{FF2B5EF4-FFF2-40B4-BE49-F238E27FC236}">
              <a16:creationId xmlns:a16="http://schemas.microsoft.com/office/drawing/2014/main" id="{75F57D8A-DA0B-4FA0-B65B-472332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1901" y="3122043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894" name="Picture 11597">
          <a:extLst>
            <a:ext uri="{FF2B5EF4-FFF2-40B4-BE49-F238E27FC236}">
              <a16:creationId xmlns:a16="http://schemas.microsoft.com/office/drawing/2014/main" id="{9AB29FB0-EFA1-4451-95C4-FDBDF812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89" y="3129232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895" name="Picture 11597">
          <a:extLst>
            <a:ext uri="{FF2B5EF4-FFF2-40B4-BE49-F238E27FC236}">
              <a16:creationId xmlns:a16="http://schemas.microsoft.com/office/drawing/2014/main" id="{52CDB8BD-55A3-4AD9-A8A5-48A5C193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935" y="3081970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896" name="Picture 11597">
          <a:extLst>
            <a:ext uri="{FF2B5EF4-FFF2-40B4-BE49-F238E27FC236}">
              <a16:creationId xmlns:a16="http://schemas.microsoft.com/office/drawing/2014/main" id="{664B69B7-8A0C-41B8-BE49-34C2C68E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796" y="3073197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897" name="Picture 11597">
          <a:extLst>
            <a:ext uri="{FF2B5EF4-FFF2-40B4-BE49-F238E27FC236}">
              <a16:creationId xmlns:a16="http://schemas.microsoft.com/office/drawing/2014/main" id="{86A480B6-4DCF-4DA4-8124-B091F7C3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402" y="307359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898" name="Picture 11597">
          <a:extLst>
            <a:ext uri="{FF2B5EF4-FFF2-40B4-BE49-F238E27FC236}">
              <a16:creationId xmlns:a16="http://schemas.microsoft.com/office/drawing/2014/main" id="{5942FA63-B295-439E-8A91-E6E6698A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1823" y="307063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id="{EA491492-3638-412C-919A-AE7F7A25CFED}"/>
            </a:ext>
          </a:extLst>
        </xdr:cNvPr>
        <xdr:cNvCxnSpPr/>
      </xdr:nvCxnSpPr>
      <xdr:spPr>
        <a:xfrm flipH="1">
          <a:off x="9989820" y="3204469"/>
          <a:ext cx="244136" cy="35526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900" name="Parallelogram 899">
          <a:extLst>
            <a:ext uri="{FF2B5EF4-FFF2-40B4-BE49-F238E27FC236}">
              <a16:creationId xmlns:a16="http://schemas.microsoft.com/office/drawing/2014/main" id="{DF61E428-2E24-4F66-A976-70E41D658645}"/>
            </a:ext>
          </a:extLst>
        </xdr:cNvPr>
        <xdr:cNvSpPr/>
      </xdr:nvSpPr>
      <xdr:spPr>
        <a:xfrm rot="1440000">
          <a:off x="10236618" y="3097521"/>
          <a:ext cx="156475" cy="30344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901" name="Straight Connector 900">
          <a:extLst>
            <a:ext uri="{FF2B5EF4-FFF2-40B4-BE49-F238E27FC236}">
              <a16:creationId xmlns:a16="http://schemas.microsoft.com/office/drawing/2014/main" id="{B9FCFC27-F772-4100-AA09-EEEA046191F7}"/>
            </a:ext>
          </a:extLst>
        </xdr:cNvPr>
        <xdr:cNvCxnSpPr/>
      </xdr:nvCxnSpPr>
      <xdr:spPr>
        <a:xfrm flipH="1">
          <a:off x="10217726" y="3091223"/>
          <a:ext cx="196693" cy="296328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902" name="Picture 11597">
          <a:extLst>
            <a:ext uri="{FF2B5EF4-FFF2-40B4-BE49-F238E27FC236}">
              <a16:creationId xmlns:a16="http://schemas.microsoft.com/office/drawing/2014/main" id="{ED4A55A0-8C36-40ED-A246-70196277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7698" y="307457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903" name="AutoShape 10733">
          <a:extLst>
            <a:ext uri="{FF2B5EF4-FFF2-40B4-BE49-F238E27FC236}">
              <a16:creationId xmlns:a16="http://schemas.microsoft.com/office/drawing/2014/main" id="{8E60ACDB-CC0B-456E-8A99-16D0CF05B022}"/>
            </a:ext>
          </a:extLst>
        </xdr:cNvPr>
        <xdr:cNvSpPr>
          <a:spLocks noChangeArrowheads="1"/>
        </xdr:cNvSpPr>
      </xdr:nvSpPr>
      <xdr:spPr bwMode="auto">
        <a:xfrm rot="5400000" flipV="1">
          <a:off x="1344091" y="4938987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904" name="AutoShape 301">
          <a:extLst>
            <a:ext uri="{FF2B5EF4-FFF2-40B4-BE49-F238E27FC236}">
              <a16:creationId xmlns:a16="http://schemas.microsoft.com/office/drawing/2014/main" id="{0449C904-4F76-4441-9068-61FF7C4DF833}"/>
            </a:ext>
          </a:extLst>
        </xdr:cNvPr>
        <xdr:cNvSpPr>
          <a:spLocks noChangeArrowheads="1"/>
        </xdr:cNvSpPr>
      </xdr:nvSpPr>
      <xdr:spPr bwMode="auto">
        <a:xfrm rot="7084349">
          <a:off x="2858070" y="48642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905" name="AutoShape 10733">
          <a:extLst>
            <a:ext uri="{FF2B5EF4-FFF2-40B4-BE49-F238E27FC236}">
              <a16:creationId xmlns:a16="http://schemas.microsoft.com/office/drawing/2014/main" id="{B4A76233-147C-4055-9925-E2EADB8F89E7}"/>
            </a:ext>
          </a:extLst>
        </xdr:cNvPr>
        <xdr:cNvSpPr>
          <a:spLocks noChangeArrowheads="1"/>
        </xdr:cNvSpPr>
      </xdr:nvSpPr>
      <xdr:spPr bwMode="auto">
        <a:xfrm rot="5400000" flipV="1">
          <a:off x="6132998" y="4951582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906" name="AutoShape 301">
          <a:extLst>
            <a:ext uri="{FF2B5EF4-FFF2-40B4-BE49-F238E27FC236}">
              <a16:creationId xmlns:a16="http://schemas.microsoft.com/office/drawing/2014/main" id="{7C0A2D78-73E7-4733-830D-5C4F0064C6D5}"/>
            </a:ext>
          </a:extLst>
        </xdr:cNvPr>
        <xdr:cNvSpPr>
          <a:spLocks noChangeArrowheads="1"/>
        </xdr:cNvSpPr>
      </xdr:nvSpPr>
      <xdr:spPr bwMode="auto">
        <a:xfrm rot="7084349">
          <a:off x="1297166" y="677216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907" name="AutoShape 301">
          <a:extLst>
            <a:ext uri="{FF2B5EF4-FFF2-40B4-BE49-F238E27FC236}">
              <a16:creationId xmlns:a16="http://schemas.microsoft.com/office/drawing/2014/main" id="{5D98337A-99CD-4641-93F8-4D96E46B2EAB}"/>
            </a:ext>
          </a:extLst>
        </xdr:cNvPr>
        <xdr:cNvSpPr>
          <a:spLocks noChangeArrowheads="1"/>
        </xdr:cNvSpPr>
      </xdr:nvSpPr>
      <xdr:spPr bwMode="auto">
        <a:xfrm rot="7084349">
          <a:off x="2672398" y="679378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908" name="Picture 11597">
          <a:extLst>
            <a:ext uri="{FF2B5EF4-FFF2-40B4-BE49-F238E27FC236}">
              <a16:creationId xmlns:a16="http://schemas.microsoft.com/office/drawing/2014/main" id="{29875C31-F7DB-44AF-AC63-8047EB2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585" y="66407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909" name="Picture 11597">
          <a:extLst>
            <a:ext uri="{FF2B5EF4-FFF2-40B4-BE49-F238E27FC236}">
              <a16:creationId xmlns:a16="http://schemas.microsoft.com/office/drawing/2014/main" id="{F6B8747E-546A-4AC8-B74E-BAA9D578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9543" y="66840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914" name="Picture 11597">
          <a:extLst>
            <a:ext uri="{FF2B5EF4-FFF2-40B4-BE49-F238E27FC236}">
              <a16:creationId xmlns:a16="http://schemas.microsoft.com/office/drawing/2014/main" id="{448883AE-8F23-4BD9-A03B-3690C2B0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878" y="664073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919" name="AutoShape 10733">
          <a:extLst>
            <a:ext uri="{FF2B5EF4-FFF2-40B4-BE49-F238E27FC236}">
              <a16:creationId xmlns:a16="http://schemas.microsoft.com/office/drawing/2014/main" id="{968E27AA-63B0-40B2-A238-EE5AA21D0CF4}"/>
            </a:ext>
          </a:extLst>
        </xdr:cNvPr>
        <xdr:cNvSpPr>
          <a:spLocks noChangeArrowheads="1"/>
        </xdr:cNvSpPr>
      </xdr:nvSpPr>
      <xdr:spPr bwMode="auto">
        <a:xfrm rot="5400000" flipV="1">
          <a:off x="10141402" y="6885898"/>
          <a:ext cx="54864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924" name="AutoShape 301">
          <a:extLst>
            <a:ext uri="{FF2B5EF4-FFF2-40B4-BE49-F238E27FC236}">
              <a16:creationId xmlns:a16="http://schemas.microsoft.com/office/drawing/2014/main" id="{E4BF641D-6314-4E5B-8BD8-BF91BB3CB8D6}"/>
            </a:ext>
          </a:extLst>
        </xdr:cNvPr>
        <xdr:cNvSpPr>
          <a:spLocks noChangeArrowheads="1"/>
        </xdr:cNvSpPr>
      </xdr:nvSpPr>
      <xdr:spPr bwMode="auto">
        <a:xfrm rot="7084349">
          <a:off x="11556957" y="6740289"/>
          <a:ext cx="270216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929" name="Picture 11597">
          <a:extLst>
            <a:ext uri="{FF2B5EF4-FFF2-40B4-BE49-F238E27FC236}">
              <a16:creationId xmlns:a16="http://schemas.microsoft.com/office/drawing/2014/main" id="{9CD77E06-4DC3-428B-A783-3ADBFDEE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243" y="81875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934" name="Picture 11597">
          <a:extLst>
            <a:ext uri="{FF2B5EF4-FFF2-40B4-BE49-F238E27FC236}">
              <a16:creationId xmlns:a16="http://schemas.microsoft.com/office/drawing/2014/main" id="{C30603AF-EAF7-4548-9284-DB85A362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92681" y="819389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939" name="AutoShape 10733">
          <a:extLst>
            <a:ext uri="{FF2B5EF4-FFF2-40B4-BE49-F238E27FC236}">
              <a16:creationId xmlns:a16="http://schemas.microsoft.com/office/drawing/2014/main" id="{1C1339C6-22DD-4968-9429-6BB8ACE08599}"/>
            </a:ext>
          </a:extLst>
        </xdr:cNvPr>
        <xdr:cNvSpPr>
          <a:spLocks noChangeArrowheads="1"/>
        </xdr:cNvSpPr>
      </xdr:nvSpPr>
      <xdr:spPr bwMode="auto">
        <a:xfrm rot="5400000">
          <a:off x="6475866" y="8399635"/>
          <a:ext cx="44958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944" name="Picture 11597">
          <a:extLst>
            <a:ext uri="{FF2B5EF4-FFF2-40B4-BE49-F238E27FC236}">
              <a16:creationId xmlns:a16="http://schemas.microsoft.com/office/drawing/2014/main" id="{F282324C-1D08-4520-B057-2BF5F116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626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945" name="Picture 11597">
          <a:extLst>
            <a:ext uri="{FF2B5EF4-FFF2-40B4-BE49-F238E27FC236}">
              <a16:creationId xmlns:a16="http://schemas.microsoft.com/office/drawing/2014/main" id="{BDE1C8C0-ED9F-42A1-9C7A-927B427D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67551" y="8205417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946" name="Lightning Bolt 945">
          <a:extLst>
            <a:ext uri="{FF2B5EF4-FFF2-40B4-BE49-F238E27FC236}">
              <a16:creationId xmlns:a16="http://schemas.microsoft.com/office/drawing/2014/main" id="{95142428-15E4-4C5F-8F85-481026539A9B}"/>
            </a:ext>
          </a:extLst>
        </xdr:cNvPr>
        <xdr:cNvSpPr/>
      </xdr:nvSpPr>
      <xdr:spPr>
        <a:xfrm>
          <a:off x="10229126" y="8199120"/>
          <a:ext cx="125801" cy="547274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948" name="Picture 11597">
          <a:extLst>
            <a:ext uri="{FF2B5EF4-FFF2-40B4-BE49-F238E27FC236}">
              <a16:creationId xmlns:a16="http://schemas.microsoft.com/office/drawing/2014/main" id="{F5D7FCAD-2F45-4C16-B5B4-EAD76374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5130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950" name="AutoShape 10733">
          <a:extLst>
            <a:ext uri="{FF2B5EF4-FFF2-40B4-BE49-F238E27FC236}">
              <a16:creationId xmlns:a16="http://schemas.microsoft.com/office/drawing/2014/main" id="{7FE47876-CE55-4576-99D4-E73CEB254BA2}"/>
            </a:ext>
          </a:extLst>
        </xdr:cNvPr>
        <xdr:cNvSpPr>
          <a:spLocks noChangeArrowheads="1"/>
        </xdr:cNvSpPr>
      </xdr:nvSpPr>
      <xdr:spPr bwMode="auto">
        <a:xfrm rot="5400000">
          <a:off x="12610375" y="8405397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952" name="Picture 11597">
          <a:extLst>
            <a:ext uri="{FF2B5EF4-FFF2-40B4-BE49-F238E27FC236}">
              <a16:creationId xmlns:a16="http://schemas.microsoft.com/office/drawing/2014/main" id="{94539887-C50F-4EEF-A0B1-5EF6AD12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7" y="97812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954" name="Lightning Bolt 953">
          <a:extLst>
            <a:ext uri="{FF2B5EF4-FFF2-40B4-BE49-F238E27FC236}">
              <a16:creationId xmlns:a16="http://schemas.microsoft.com/office/drawing/2014/main" id="{EDB82861-0C0B-4376-8D0D-3AA1590B7533}"/>
            </a:ext>
          </a:extLst>
        </xdr:cNvPr>
        <xdr:cNvSpPr/>
      </xdr:nvSpPr>
      <xdr:spPr>
        <a:xfrm>
          <a:off x="6480013" y="9754310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956" name="Lightning Bolt 955">
          <a:extLst>
            <a:ext uri="{FF2B5EF4-FFF2-40B4-BE49-F238E27FC236}">
              <a16:creationId xmlns:a16="http://schemas.microsoft.com/office/drawing/2014/main" id="{C81952B1-53BB-4BF7-9BE8-DB2489B222E6}"/>
            </a:ext>
          </a:extLst>
        </xdr:cNvPr>
        <xdr:cNvSpPr/>
      </xdr:nvSpPr>
      <xdr:spPr>
        <a:xfrm>
          <a:off x="6612919" y="9736589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958" name="Picture 11597">
          <a:extLst>
            <a:ext uri="{FF2B5EF4-FFF2-40B4-BE49-F238E27FC236}">
              <a16:creationId xmlns:a16="http://schemas.microsoft.com/office/drawing/2014/main" id="{4559EAA2-59FB-4BDA-938F-35DE4DA2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0386" y="97742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960" name="Picture 11597">
          <a:extLst>
            <a:ext uri="{FF2B5EF4-FFF2-40B4-BE49-F238E27FC236}">
              <a16:creationId xmlns:a16="http://schemas.microsoft.com/office/drawing/2014/main" id="{BE2DD74F-003B-4794-B504-B9B46BA8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09129" y="1133165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962" name="Picture 11597">
          <a:extLst>
            <a:ext uri="{FF2B5EF4-FFF2-40B4-BE49-F238E27FC236}">
              <a16:creationId xmlns:a16="http://schemas.microsoft.com/office/drawing/2014/main" id="{FFFCD98C-DB80-4DE3-B1E4-BEE42496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59" y="113474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966" name="Picture 11597">
          <a:extLst>
            <a:ext uri="{FF2B5EF4-FFF2-40B4-BE49-F238E27FC236}">
              <a16:creationId xmlns:a16="http://schemas.microsoft.com/office/drawing/2014/main" id="{2E5A0F8C-9F10-4C12-B8D3-E0D2D3A1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9417" y="130314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968" name="Picture 11597">
          <a:extLst>
            <a:ext uri="{FF2B5EF4-FFF2-40B4-BE49-F238E27FC236}">
              <a16:creationId xmlns:a16="http://schemas.microsoft.com/office/drawing/2014/main" id="{FBDDFADE-0AD3-4A93-9611-46BA3306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868" y="130403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970" name="Picture 11597">
          <a:extLst>
            <a:ext uri="{FF2B5EF4-FFF2-40B4-BE49-F238E27FC236}">
              <a16:creationId xmlns:a16="http://schemas.microsoft.com/office/drawing/2014/main" id="{EDAA4CA2-C0FC-4E15-A422-5D3EA2D4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105" y="1298908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972" name="Lightning Bolt 971">
          <a:extLst>
            <a:ext uri="{FF2B5EF4-FFF2-40B4-BE49-F238E27FC236}">
              <a16:creationId xmlns:a16="http://schemas.microsoft.com/office/drawing/2014/main" id="{364E13A7-2D62-4E4C-B559-DBB95363AE46}"/>
            </a:ext>
          </a:extLst>
        </xdr:cNvPr>
        <xdr:cNvSpPr/>
      </xdr:nvSpPr>
      <xdr:spPr>
        <a:xfrm>
          <a:off x="9005955" y="1301566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974" name="AutoShape 10733">
          <a:extLst>
            <a:ext uri="{FF2B5EF4-FFF2-40B4-BE49-F238E27FC236}">
              <a16:creationId xmlns:a16="http://schemas.microsoft.com/office/drawing/2014/main" id="{FA424507-47C3-4540-9E2B-AB2D89F04DF2}"/>
            </a:ext>
          </a:extLst>
        </xdr:cNvPr>
        <xdr:cNvSpPr>
          <a:spLocks noChangeArrowheads="1"/>
        </xdr:cNvSpPr>
      </xdr:nvSpPr>
      <xdr:spPr bwMode="auto">
        <a:xfrm rot="5400000">
          <a:off x="8639455" y="13229591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976" name="Picture 11597">
          <a:extLst>
            <a:ext uri="{FF2B5EF4-FFF2-40B4-BE49-F238E27FC236}">
              <a16:creationId xmlns:a16="http://schemas.microsoft.com/office/drawing/2014/main" id="{C1502580-6A0C-4063-B1F0-201E014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75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978" name="AutoShape 10733">
          <a:extLst>
            <a:ext uri="{FF2B5EF4-FFF2-40B4-BE49-F238E27FC236}">
              <a16:creationId xmlns:a16="http://schemas.microsoft.com/office/drawing/2014/main" id="{87AD7665-AF2D-4213-B30C-D32CE03DA27B}"/>
            </a:ext>
          </a:extLst>
        </xdr:cNvPr>
        <xdr:cNvSpPr>
          <a:spLocks noChangeArrowheads="1"/>
        </xdr:cNvSpPr>
      </xdr:nvSpPr>
      <xdr:spPr bwMode="auto">
        <a:xfrm rot="5400000">
          <a:off x="1475149" y="14995924"/>
          <a:ext cx="45017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980" name="Picture 11597">
          <a:extLst>
            <a:ext uri="{FF2B5EF4-FFF2-40B4-BE49-F238E27FC236}">
              <a16:creationId xmlns:a16="http://schemas.microsoft.com/office/drawing/2014/main" id="{3A9DF1F4-3B4D-463E-A9F0-0242DFBF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244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982" name="Picture 11597">
          <a:extLst>
            <a:ext uri="{FF2B5EF4-FFF2-40B4-BE49-F238E27FC236}">
              <a16:creationId xmlns:a16="http://schemas.microsoft.com/office/drawing/2014/main" id="{C03E697A-757F-4605-A391-2D54C953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151" y="14805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984" name="Picture 11597">
          <a:extLst>
            <a:ext uri="{FF2B5EF4-FFF2-40B4-BE49-F238E27FC236}">
              <a16:creationId xmlns:a16="http://schemas.microsoft.com/office/drawing/2014/main" id="{CC7FFDA0-DA1F-48B4-A9A4-7C4C3D56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1164" y="147987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986" name="AutoShape 301">
          <a:extLst>
            <a:ext uri="{FF2B5EF4-FFF2-40B4-BE49-F238E27FC236}">
              <a16:creationId xmlns:a16="http://schemas.microsoft.com/office/drawing/2014/main" id="{42E911D3-D914-4FBB-87DA-46B982D1A803}"/>
            </a:ext>
          </a:extLst>
        </xdr:cNvPr>
        <xdr:cNvSpPr>
          <a:spLocks noChangeArrowheads="1"/>
        </xdr:cNvSpPr>
      </xdr:nvSpPr>
      <xdr:spPr bwMode="auto">
        <a:xfrm rot="7084349">
          <a:off x="3960779" y="14896415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993" name="Picture 11597">
          <a:extLst>
            <a:ext uri="{FF2B5EF4-FFF2-40B4-BE49-F238E27FC236}">
              <a16:creationId xmlns:a16="http://schemas.microsoft.com/office/drawing/2014/main" id="{2735250C-FF31-41D7-B8D5-2C539397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1012" y="1479874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996" name="Picture 11597">
          <a:extLst>
            <a:ext uri="{FF2B5EF4-FFF2-40B4-BE49-F238E27FC236}">
              <a16:creationId xmlns:a16="http://schemas.microsoft.com/office/drawing/2014/main" id="{D386EC84-434F-4135-943F-E80D9D98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9361" y="148145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999" name="Picture 11597">
          <a:extLst>
            <a:ext uri="{FF2B5EF4-FFF2-40B4-BE49-F238E27FC236}">
              <a16:creationId xmlns:a16="http://schemas.microsoft.com/office/drawing/2014/main" id="{60C19207-DC90-4466-840F-9DAAA9CE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4739" y="148588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002" name="AutoShape 10733">
          <a:extLst>
            <a:ext uri="{FF2B5EF4-FFF2-40B4-BE49-F238E27FC236}">
              <a16:creationId xmlns:a16="http://schemas.microsoft.com/office/drawing/2014/main" id="{2F6BD98D-412E-4D18-91C0-28F326C7CFD4}"/>
            </a:ext>
          </a:extLst>
        </xdr:cNvPr>
        <xdr:cNvSpPr>
          <a:spLocks noChangeArrowheads="1"/>
        </xdr:cNvSpPr>
      </xdr:nvSpPr>
      <xdr:spPr bwMode="auto">
        <a:xfrm rot="5400000">
          <a:off x="12475860" y="15052012"/>
          <a:ext cx="45211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005" name="AutoShape 10733">
          <a:extLst>
            <a:ext uri="{FF2B5EF4-FFF2-40B4-BE49-F238E27FC236}">
              <a16:creationId xmlns:a16="http://schemas.microsoft.com/office/drawing/2014/main" id="{563C36A2-AD79-4E26-A682-23A104EE6DDE}"/>
            </a:ext>
          </a:extLst>
        </xdr:cNvPr>
        <xdr:cNvSpPr>
          <a:spLocks noChangeArrowheads="1"/>
        </xdr:cNvSpPr>
      </xdr:nvSpPr>
      <xdr:spPr bwMode="auto">
        <a:xfrm rot="5400000">
          <a:off x="10091572" y="16765274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008" name="Picture 11597">
          <a:extLst>
            <a:ext uri="{FF2B5EF4-FFF2-40B4-BE49-F238E27FC236}">
              <a16:creationId xmlns:a16="http://schemas.microsoft.com/office/drawing/2014/main" id="{990D5A18-DD76-4CD6-B132-55B29E2D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94867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011" name="Picture 11597">
          <a:extLst>
            <a:ext uri="{FF2B5EF4-FFF2-40B4-BE49-F238E27FC236}">
              <a16:creationId xmlns:a16="http://schemas.microsoft.com/office/drawing/2014/main" id="{01000E68-E780-48AC-BA24-B6C9123C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7994" y="165921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014" name="Picture 11597">
          <a:extLst>
            <a:ext uri="{FF2B5EF4-FFF2-40B4-BE49-F238E27FC236}">
              <a16:creationId xmlns:a16="http://schemas.microsoft.com/office/drawing/2014/main" id="{BAACF6A5-A2DA-46B9-94AC-1AA3A65E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4110" y="165671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015" name="Picture 11597">
          <a:extLst>
            <a:ext uri="{FF2B5EF4-FFF2-40B4-BE49-F238E27FC236}">
              <a16:creationId xmlns:a16="http://schemas.microsoft.com/office/drawing/2014/main" id="{09435FDC-E810-4CA9-839D-DB4A685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6594" y="183209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016" name="Picture 11597">
          <a:extLst>
            <a:ext uri="{FF2B5EF4-FFF2-40B4-BE49-F238E27FC236}">
              <a16:creationId xmlns:a16="http://schemas.microsoft.com/office/drawing/2014/main" id="{596DBABB-847A-470E-9F43-62B32027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181" y="183326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017" name="Lightning Bolt 1016">
          <a:extLst>
            <a:ext uri="{FF2B5EF4-FFF2-40B4-BE49-F238E27FC236}">
              <a16:creationId xmlns:a16="http://schemas.microsoft.com/office/drawing/2014/main" id="{0F5F790F-105F-4C0E-83A0-88B4B774C4A5}"/>
            </a:ext>
          </a:extLst>
        </xdr:cNvPr>
        <xdr:cNvSpPr/>
      </xdr:nvSpPr>
      <xdr:spPr>
        <a:xfrm>
          <a:off x="1343549" y="2024704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018" name="Picture 11597">
          <a:extLst>
            <a:ext uri="{FF2B5EF4-FFF2-40B4-BE49-F238E27FC236}">
              <a16:creationId xmlns:a16="http://schemas.microsoft.com/office/drawing/2014/main" id="{F9EC6235-DAAA-4BA7-AF75-16D3D7A7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03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019" name="Picture 11597">
          <a:extLst>
            <a:ext uri="{FF2B5EF4-FFF2-40B4-BE49-F238E27FC236}">
              <a16:creationId xmlns:a16="http://schemas.microsoft.com/office/drawing/2014/main" id="{CBACEA4E-46D7-4F00-A6A9-154EBACA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338" y="202559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020" name="Picture 11597">
          <a:extLst>
            <a:ext uri="{FF2B5EF4-FFF2-40B4-BE49-F238E27FC236}">
              <a16:creationId xmlns:a16="http://schemas.microsoft.com/office/drawing/2014/main" id="{F2E0F7DD-D0B5-440E-A239-50AE1A4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26849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021" name="Picture 11597">
          <a:extLst>
            <a:ext uri="{FF2B5EF4-FFF2-40B4-BE49-F238E27FC236}">
              <a16:creationId xmlns:a16="http://schemas.microsoft.com/office/drawing/2014/main" id="{6DF8B5D8-C2A2-49C9-90C6-A3AD53D8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624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022" name="Picture 11597">
          <a:extLst>
            <a:ext uri="{FF2B5EF4-FFF2-40B4-BE49-F238E27FC236}">
              <a16:creationId xmlns:a16="http://schemas.microsoft.com/office/drawing/2014/main" id="{6185CC16-BC29-44D3-806A-819BAC98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2462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023" name="Picture 11597">
          <a:extLst>
            <a:ext uri="{FF2B5EF4-FFF2-40B4-BE49-F238E27FC236}">
              <a16:creationId xmlns:a16="http://schemas.microsoft.com/office/drawing/2014/main" id="{F456CD5A-5300-46FD-8A6C-A7914C0A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892" y="202869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024" name="Picture 11597">
          <a:extLst>
            <a:ext uri="{FF2B5EF4-FFF2-40B4-BE49-F238E27FC236}">
              <a16:creationId xmlns:a16="http://schemas.microsoft.com/office/drawing/2014/main" id="{64DBC29E-EA36-4761-8D88-492B00B3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733" y="2198707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025" name="Picture 11597">
          <a:extLst>
            <a:ext uri="{FF2B5EF4-FFF2-40B4-BE49-F238E27FC236}">
              <a16:creationId xmlns:a16="http://schemas.microsoft.com/office/drawing/2014/main" id="{3990010B-8315-42EA-B00A-8522486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1048" y="2202293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026" name="Parallelogram 1025">
          <a:extLst>
            <a:ext uri="{FF2B5EF4-FFF2-40B4-BE49-F238E27FC236}">
              <a16:creationId xmlns:a16="http://schemas.microsoft.com/office/drawing/2014/main" id="{923210D8-F96E-47F2-B653-720399038CE9}"/>
            </a:ext>
          </a:extLst>
        </xdr:cNvPr>
        <xdr:cNvSpPr/>
      </xdr:nvSpPr>
      <xdr:spPr>
        <a:xfrm rot="495798">
          <a:off x="8811885" y="22041369"/>
          <a:ext cx="136696" cy="3371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027" name="Straight Connector 1026">
          <a:extLst>
            <a:ext uri="{FF2B5EF4-FFF2-40B4-BE49-F238E27FC236}">
              <a16:creationId xmlns:a16="http://schemas.microsoft.com/office/drawing/2014/main" id="{6C3EE481-4057-4960-BA6F-8EF136F5605D}"/>
            </a:ext>
          </a:extLst>
        </xdr:cNvPr>
        <xdr:cNvCxnSpPr/>
      </xdr:nvCxnSpPr>
      <xdr:spPr>
        <a:xfrm flipH="1">
          <a:off x="8836732" y="22050205"/>
          <a:ext cx="81381" cy="32308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028" name="Lightning Bolt 1027">
          <a:extLst>
            <a:ext uri="{FF2B5EF4-FFF2-40B4-BE49-F238E27FC236}">
              <a16:creationId xmlns:a16="http://schemas.microsoft.com/office/drawing/2014/main" id="{89723F8A-523C-4C99-9227-1F84D0095CCE}"/>
            </a:ext>
          </a:extLst>
        </xdr:cNvPr>
        <xdr:cNvSpPr/>
      </xdr:nvSpPr>
      <xdr:spPr>
        <a:xfrm>
          <a:off x="8995617" y="22032367"/>
          <a:ext cx="125801" cy="58283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029" name="Picture 11597">
          <a:extLst>
            <a:ext uri="{FF2B5EF4-FFF2-40B4-BE49-F238E27FC236}">
              <a16:creationId xmlns:a16="http://schemas.microsoft.com/office/drawing/2014/main" id="{9DC1CEF1-A7DE-4A58-ADD1-82C991D8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590" y="220195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1030" name="Picture 11597">
          <a:extLst>
            <a:ext uri="{FF2B5EF4-FFF2-40B4-BE49-F238E27FC236}">
              <a16:creationId xmlns:a16="http://schemas.microsoft.com/office/drawing/2014/main" id="{D33C90DB-869D-4FA3-9339-29AFFA0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6440" y="2390307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1031" name="Straight Arrow Connector 1030">
          <a:extLst>
            <a:ext uri="{FF2B5EF4-FFF2-40B4-BE49-F238E27FC236}">
              <a16:creationId xmlns:a16="http://schemas.microsoft.com/office/drawing/2014/main" id="{4CC1598F-CCF2-4AAE-9F2A-57A01EF971D0}"/>
            </a:ext>
          </a:extLst>
        </xdr:cNvPr>
        <xdr:cNvCxnSpPr/>
      </xdr:nvCxnSpPr>
      <xdr:spPr>
        <a:xfrm flipH="1" flipV="1">
          <a:off x="3795209" y="4020223"/>
          <a:ext cx="78620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1033" name="Straight Arrow Connector 1032">
          <a:extLst>
            <a:ext uri="{FF2B5EF4-FFF2-40B4-BE49-F238E27FC236}">
              <a16:creationId xmlns:a16="http://schemas.microsoft.com/office/drawing/2014/main" id="{5D986A32-C716-48E2-9765-278DFEA294A1}"/>
            </a:ext>
          </a:extLst>
        </xdr:cNvPr>
        <xdr:cNvCxnSpPr/>
      </xdr:nvCxnSpPr>
      <xdr:spPr>
        <a:xfrm flipV="1">
          <a:off x="6073140" y="4020223"/>
          <a:ext cx="753971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1034" name="Straight Arrow Connector 1033">
          <a:extLst>
            <a:ext uri="{FF2B5EF4-FFF2-40B4-BE49-F238E27FC236}">
              <a16:creationId xmlns:a16="http://schemas.microsoft.com/office/drawing/2014/main" id="{9FB9EDF8-3431-4EFD-95DD-8631201ACCD8}"/>
            </a:ext>
          </a:extLst>
        </xdr:cNvPr>
        <xdr:cNvCxnSpPr/>
      </xdr:nvCxnSpPr>
      <xdr:spPr>
        <a:xfrm flipH="1">
          <a:off x="6946302" y="4011258"/>
          <a:ext cx="442766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1035" name="Straight Arrow Connector 1034">
          <a:extLst>
            <a:ext uri="{FF2B5EF4-FFF2-40B4-BE49-F238E27FC236}">
              <a16:creationId xmlns:a16="http://schemas.microsoft.com/office/drawing/2014/main" id="{BCBAF27C-026F-4153-9DC9-F7AB27509B96}"/>
            </a:ext>
          </a:extLst>
        </xdr:cNvPr>
        <xdr:cNvCxnSpPr/>
      </xdr:nvCxnSpPr>
      <xdr:spPr>
        <a:xfrm flipH="1">
          <a:off x="7000091" y="7618207"/>
          <a:ext cx="4215204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1036" name="Straight Arrow Connector 1035">
          <a:extLst>
            <a:ext uri="{FF2B5EF4-FFF2-40B4-BE49-F238E27FC236}">
              <a16:creationId xmlns:a16="http://schemas.microsoft.com/office/drawing/2014/main" id="{21849330-EB26-46FF-A6FA-E1986774D348}"/>
            </a:ext>
          </a:extLst>
        </xdr:cNvPr>
        <xdr:cNvCxnSpPr/>
      </xdr:nvCxnSpPr>
      <xdr:spPr>
        <a:xfrm flipH="1">
          <a:off x="8231842" y="10725823"/>
          <a:ext cx="1617232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1037" name="Straight Arrow Connector 1036">
          <a:extLst>
            <a:ext uri="{FF2B5EF4-FFF2-40B4-BE49-F238E27FC236}">
              <a16:creationId xmlns:a16="http://schemas.microsoft.com/office/drawing/2014/main" id="{A227861D-30B2-47AB-80BC-B310DDF3B039}"/>
            </a:ext>
          </a:extLst>
        </xdr:cNvPr>
        <xdr:cNvCxnSpPr/>
      </xdr:nvCxnSpPr>
      <xdr:spPr>
        <a:xfrm flipV="1">
          <a:off x="11284323" y="10725822"/>
          <a:ext cx="1671022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1038" name="Straight Arrow Connector 1037">
          <a:extLst>
            <a:ext uri="{FF2B5EF4-FFF2-40B4-BE49-F238E27FC236}">
              <a16:creationId xmlns:a16="http://schemas.microsoft.com/office/drawing/2014/main" id="{38DDF602-7054-44BA-9718-77C95725EEFD}"/>
            </a:ext>
          </a:extLst>
        </xdr:cNvPr>
        <xdr:cNvCxnSpPr/>
      </xdr:nvCxnSpPr>
      <xdr:spPr>
        <a:xfrm flipV="1">
          <a:off x="2861982" y="12404912"/>
          <a:ext cx="1390427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0</xdr:rowOff>
    </xdr:from>
    <xdr:to>
      <xdr:col>17</xdr:col>
      <xdr:colOff>295835</xdr:colOff>
      <xdr:row>71</xdr:row>
      <xdr:rowOff>17929</xdr:rowOff>
    </xdr:to>
    <xdr:cxnSp macro="">
      <xdr:nvCxnSpPr>
        <xdr:cNvPr id="1039" name="Straight Arrow Connector 1038">
          <a:extLst>
            <a:ext uri="{FF2B5EF4-FFF2-40B4-BE49-F238E27FC236}">
              <a16:creationId xmlns:a16="http://schemas.microsoft.com/office/drawing/2014/main" id="{B34E31CD-0167-4565-98D5-CABD1A3E7089}"/>
            </a:ext>
          </a:extLst>
        </xdr:cNvPr>
        <xdr:cNvCxnSpPr/>
      </xdr:nvCxnSpPr>
      <xdr:spPr>
        <a:xfrm flipH="1" flipV="1">
          <a:off x="3738282" y="1252369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1040" name="Straight Arrow Connector 1039">
          <a:extLst>
            <a:ext uri="{FF2B5EF4-FFF2-40B4-BE49-F238E27FC236}">
              <a16:creationId xmlns:a16="http://schemas.microsoft.com/office/drawing/2014/main" id="{509AC6F6-2280-4BD9-B455-0A74511A72E2}"/>
            </a:ext>
          </a:extLst>
        </xdr:cNvPr>
        <xdr:cNvCxnSpPr/>
      </xdr:nvCxnSpPr>
      <xdr:spPr>
        <a:xfrm flipH="1">
          <a:off x="4446942" y="14069657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1041" name="Straight Arrow Connector 1040">
          <a:extLst>
            <a:ext uri="{FF2B5EF4-FFF2-40B4-BE49-F238E27FC236}">
              <a16:creationId xmlns:a16="http://schemas.microsoft.com/office/drawing/2014/main" id="{8E1E32AF-B483-4E3F-8880-51CB59A62C63}"/>
            </a:ext>
          </a:extLst>
        </xdr:cNvPr>
        <xdr:cNvCxnSpPr/>
      </xdr:nvCxnSpPr>
      <xdr:spPr>
        <a:xfrm flipV="1">
          <a:off x="5929705" y="14078622"/>
          <a:ext cx="893781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id="{8C3F4E3D-C3FB-462F-AA78-C6EB07D36C82}"/>
            </a:ext>
          </a:extLst>
        </xdr:cNvPr>
        <xdr:cNvCxnSpPr/>
      </xdr:nvCxnSpPr>
      <xdr:spPr>
        <a:xfrm flipH="1">
          <a:off x="7009056" y="14078622"/>
          <a:ext cx="4062804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1043" name="Straight Arrow Connector 1042">
          <a:extLst>
            <a:ext uri="{FF2B5EF4-FFF2-40B4-BE49-F238E27FC236}">
              <a16:creationId xmlns:a16="http://schemas.microsoft.com/office/drawing/2014/main" id="{D40E76AB-A010-4AB6-B44D-1457499A0A09}"/>
            </a:ext>
          </a:extLst>
        </xdr:cNvPr>
        <xdr:cNvCxnSpPr/>
      </xdr:nvCxnSpPr>
      <xdr:spPr>
        <a:xfrm>
          <a:off x="586740" y="17606682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1044" name="Straight Arrow Connector 1043">
          <a:extLst>
            <a:ext uri="{FF2B5EF4-FFF2-40B4-BE49-F238E27FC236}">
              <a16:creationId xmlns:a16="http://schemas.microsoft.com/office/drawing/2014/main" id="{70E47228-92B5-49B0-8A92-E5E5A3D7D8C6}"/>
            </a:ext>
          </a:extLst>
        </xdr:cNvPr>
        <xdr:cNvCxnSpPr/>
      </xdr:nvCxnSpPr>
      <xdr:spPr>
        <a:xfrm flipH="1">
          <a:off x="3242086" y="17597717"/>
          <a:ext cx="170688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1046" name="Straight Arrow Connector 1045">
          <a:extLst>
            <a:ext uri="{FF2B5EF4-FFF2-40B4-BE49-F238E27FC236}">
              <a16:creationId xmlns:a16="http://schemas.microsoft.com/office/drawing/2014/main" id="{9A025414-BE4E-4874-AEDF-28C2A4E685F8}"/>
            </a:ext>
          </a:extLst>
        </xdr:cNvPr>
        <xdr:cNvCxnSpPr/>
      </xdr:nvCxnSpPr>
      <xdr:spPr>
        <a:xfrm flipV="1">
          <a:off x="604669" y="21302382"/>
          <a:ext cx="2373854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1050" name="Straight Arrow Connector 1049">
          <a:extLst>
            <a:ext uri="{FF2B5EF4-FFF2-40B4-BE49-F238E27FC236}">
              <a16:creationId xmlns:a16="http://schemas.microsoft.com/office/drawing/2014/main" id="{1C63A2D7-22CE-43F1-A0FB-4ED7AA4BE436}"/>
            </a:ext>
          </a:extLst>
        </xdr:cNvPr>
        <xdr:cNvCxnSpPr/>
      </xdr:nvCxnSpPr>
      <xdr:spPr>
        <a:xfrm flipV="1">
          <a:off x="8671112" y="23094427"/>
          <a:ext cx="3054402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1053" name="Straight Arrow Connector 1052">
          <a:extLst>
            <a:ext uri="{FF2B5EF4-FFF2-40B4-BE49-F238E27FC236}">
              <a16:creationId xmlns:a16="http://schemas.microsoft.com/office/drawing/2014/main" id="{2A6099BE-979F-4987-9797-E4DDB12A9A54}"/>
            </a:ext>
          </a:extLst>
        </xdr:cNvPr>
        <xdr:cNvCxnSpPr/>
      </xdr:nvCxnSpPr>
      <xdr:spPr>
        <a:xfrm flipH="1">
          <a:off x="11945023" y="23085463"/>
          <a:ext cx="11779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id="{D2C1256E-8946-455D-AE81-A34D632E53EF}"/>
            </a:ext>
          </a:extLst>
        </xdr:cNvPr>
        <xdr:cNvCxnSpPr/>
      </xdr:nvCxnSpPr>
      <xdr:spPr>
        <a:xfrm flipH="1">
          <a:off x="7621232" y="18327688"/>
          <a:ext cx="196693" cy="29492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058" name="Oval 1057">
          <a:extLst>
            <a:ext uri="{FF2B5EF4-FFF2-40B4-BE49-F238E27FC236}">
              <a16:creationId xmlns:a16="http://schemas.microsoft.com/office/drawing/2014/main" id="{2BEE0790-261D-4A79-96A4-BCB2E004D67A}"/>
            </a:ext>
          </a:extLst>
        </xdr:cNvPr>
        <xdr:cNvSpPr/>
      </xdr:nvSpPr>
      <xdr:spPr>
        <a:xfrm>
          <a:off x="4588510" y="29263340"/>
          <a:ext cx="194930" cy="23977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1062" name="Isosceles Triangle 1061">
          <a:extLst>
            <a:ext uri="{FF2B5EF4-FFF2-40B4-BE49-F238E27FC236}">
              <a16:creationId xmlns:a16="http://schemas.microsoft.com/office/drawing/2014/main" id="{BE0496AF-A8C7-45EF-8914-A8A45D3D2C06}"/>
            </a:ext>
          </a:extLst>
        </xdr:cNvPr>
        <xdr:cNvSpPr/>
      </xdr:nvSpPr>
      <xdr:spPr>
        <a:xfrm>
          <a:off x="4575195" y="29758804"/>
          <a:ext cx="186070" cy="228668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8860</xdr:colOff>
      <xdr:row>127</xdr:row>
      <xdr:rowOff>83732</xdr:rowOff>
    </xdr:from>
    <xdr:to>
      <xdr:col>14</xdr:col>
      <xdr:colOff>611506</xdr:colOff>
      <xdr:row>129</xdr:row>
      <xdr:rowOff>1774</xdr:rowOff>
    </xdr:to>
    <xdr:sp macro="" textlink="">
      <xdr:nvSpPr>
        <xdr:cNvPr id="1063" name="Isosceles Triangle 1062">
          <a:extLst>
            <a:ext uri="{FF2B5EF4-FFF2-40B4-BE49-F238E27FC236}">
              <a16:creationId xmlns:a16="http://schemas.microsoft.com/office/drawing/2014/main" id="{B5E34C1A-9911-40B9-B275-99FF127B3D29}"/>
            </a:ext>
          </a:extLst>
        </xdr:cNvPr>
        <xdr:cNvSpPr/>
      </xdr:nvSpPr>
      <xdr:spPr>
        <a:xfrm>
          <a:off x="8124160" y="23507612"/>
          <a:ext cx="602646" cy="382862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1064" name="Isosceles Triangle 1063">
          <a:extLst>
            <a:ext uri="{FF2B5EF4-FFF2-40B4-BE49-F238E27FC236}">
              <a16:creationId xmlns:a16="http://schemas.microsoft.com/office/drawing/2014/main" id="{557FF160-1D85-47F7-9C32-35B2A9C25E6D}"/>
            </a:ext>
          </a:extLst>
        </xdr:cNvPr>
        <xdr:cNvSpPr/>
      </xdr:nvSpPr>
      <xdr:spPr>
        <a:xfrm>
          <a:off x="937384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1065" name="Isosceles Triangle 1064">
          <a:extLst>
            <a:ext uri="{FF2B5EF4-FFF2-40B4-BE49-F238E27FC236}">
              <a16:creationId xmlns:a16="http://schemas.microsoft.com/office/drawing/2014/main" id="{037E2C6E-5B05-4522-A94D-680E65003670}"/>
            </a:ext>
          </a:extLst>
        </xdr:cNvPr>
        <xdr:cNvSpPr/>
      </xdr:nvSpPr>
      <xdr:spPr>
        <a:xfrm>
          <a:off x="1062352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1066" name="Isosceles Triangle 1065">
          <a:extLst>
            <a:ext uri="{FF2B5EF4-FFF2-40B4-BE49-F238E27FC236}">
              <a16:creationId xmlns:a16="http://schemas.microsoft.com/office/drawing/2014/main" id="{CF0B9744-4C4D-4931-A26F-58CFBDD39AEF}"/>
            </a:ext>
          </a:extLst>
        </xdr:cNvPr>
        <xdr:cNvSpPr/>
      </xdr:nvSpPr>
      <xdr:spPr>
        <a:xfrm>
          <a:off x="11873200" y="23507612"/>
          <a:ext cx="602646" cy="382862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1067" name="Isosceles Triangle 1066">
          <a:extLst>
            <a:ext uri="{FF2B5EF4-FFF2-40B4-BE49-F238E27FC236}">
              <a16:creationId xmlns:a16="http://schemas.microsoft.com/office/drawing/2014/main" id="{0C4EC3F5-959F-49DB-8B61-F3A5C24AF313}"/>
            </a:ext>
          </a:extLst>
        </xdr:cNvPr>
        <xdr:cNvSpPr/>
      </xdr:nvSpPr>
      <xdr:spPr>
        <a:xfrm>
          <a:off x="1851660" y="25478620"/>
          <a:ext cx="624841" cy="3817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1068" name="Isosceles Triangle 1067">
          <a:extLst>
            <a:ext uri="{FF2B5EF4-FFF2-40B4-BE49-F238E27FC236}">
              <a16:creationId xmlns:a16="http://schemas.microsoft.com/office/drawing/2014/main" id="{0E2703DD-6949-4E90-9FAA-58CB617497A1}"/>
            </a:ext>
          </a:extLst>
        </xdr:cNvPr>
        <xdr:cNvSpPr/>
      </xdr:nvSpPr>
      <xdr:spPr>
        <a:xfrm>
          <a:off x="575931" y="25496342"/>
          <a:ext cx="635650" cy="355127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1069" name="Rectangle 1068">
          <a:extLst>
            <a:ext uri="{FF2B5EF4-FFF2-40B4-BE49-F238E27FC236}">
              <a16:creationId xmlns:a16="http://schemas.microsoft.com/office/drawing/2014/main" id="{9EB9F894-410D-47D0-9751-021BE00097B1}"/>
            </a:ext>
          </a:extLst>
        </xdr:cNvPr>
        <xdr:cNvSpPr/>
      </xdr:nvSpPr>
      <xdr:spPr>
        <a:xfrm>
          <a:off x="3338092" y="25593808"/>
          <a:ext cx="103188" cy="70668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1070" name="Picture 11597">
          <a:extLst>
            <a:ext uri="{FF2B5EF4-FFF2-40B4-BE49-F238E27FC236}">
              <a16:creationId xmlns:a16="http://schemas.microsoft.com/office/drawing/2014/main" id="{2510D66D-A98A-4593-A3E3-BDD6CBA4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75249" y="220370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1071" name="Picture 11597">
          <a:extLst>
            <a:ext uri="{FF2B5EF4-FFF2-40B4-BE49-F238E27FC236}">
              <a16:creationId xmlns:a16="http://schemas.microsoft.com/office/drawing/2014/main" id="{9D60A7D2-B82E-4074-8035-7D549FA8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7905" y="2390642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1072" name="Picture 11597">
          <a:extLst>
            <a:ext uri="{FF2B5EF4-FFF2-40B4-BE49-F238E27FC236}">
              <a16:creationId xmlns:a16="http://schemas.microsoft.com/office/drawing/2014/main" id="{8C38CC43-F5B4-42D5-AE8C-AAA0DA6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45" y="238975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1073" name="Lightning Bolt 1072">
          <a:extLst>
            <a:ext uri="{FF2B5EF4-FFF2-40B4-BE49-F238E27FC236}">
              <a16:creationId xmlns:a16="http://schemas.microsoft.com/office/drawing/2014/main" id="{0113BD06-6FDE-43A0-92E2-C5490B6184CD}"/>
            </a:ext>
          </a:extLst>
        </xdr:cNvPr>
        <xdr:cNvSpPr/>
      </xdr:nvSpPr>
      <xdr:spPr>
        <a:xfrm>
          <a:off x="2689152" y="23888700"/>
          <a:ext cx="125801" cy="58354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1074" name="Picture 11597">
          <a:extLst>
            <a:ext uri="{FF2B5EF4-FFF2-40B4-BE49-F238E27FC236}">
              <a16:creationId xmlns:a16="http://schemas.microsoft.com/office/drawing/2014/main" id="{64604C2B-0D01-4A11-9FBC-A9E62200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745" y="238817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1075" name="Picture 11597">
          <a:extLst>
            <a:ext uri="{FF2B5EF4-FFF2-40B4-BE49-F238E27FC236}">
              <a16:creationId xmlns:a16="http://schemas.microsoft.com/office/drawing/2014/main" id="{5DE01C19-361A-48BD-91BC-8E344960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5390" y="23888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1076" name="Picture 11597">
          <a:extLst>
            <a:ext uri="{FF2B5EF4-FFF2-40B4-BE49-F238E27FC236}">
              <a16:creationId xmlns:a16="http://schemas.microsoft.com/office/drawing/2014/main" id="{965B3DF6-DE98-46FE-A2E8-2F7692BD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33483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1077" name="Picture 11597">
          <a:extLst>
            <a:ext uri="{FF2B5EF4-FFF2-40B4-BE49-F238E27FC236}">
              <a16:creationId xmlns:a16="http://schemas.microsoft.com/office/drawing/2014/main" id="{A0CBC921-69A7-4AB1-A83D-95730DB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64495" y="238887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1078" name="Picture 11597">
          <a:extLst>
            <a:ext uri="{FF2B5EF4-FFF2-40B4-BE49-F238E27FC236}">
              <a16:creationId xmlns:a16="http://schemas.microsoft.com/office/drawing/2014/main" id="{311CD83A-D9B7-4A9E-A76C-94BCA54A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31895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079" name="Parallelogram 1078">
          <a:extLst>
            <a:ext uri="{FF2B5EF4-FFF2-40B4-BE49-F238E27FC236}">
              <a16:creationId xmlns:a16="http://schemas.microsoft.com/office/drawing/2014/main" id="{78D4AA67-A0F8-4581-A433-137587598CB7}"/>
            </a:ext>
          </a:extLst>
        </xdr:cNvPr>
        <xdr:cNvSpPr/>
      </xdr:nvSpPr>
      <xdr:spPr>
        <a:xfrm rot="1440000">
          <a:off x="2673725" y="9827559"/>
          <a:ext cx="193194" cy="33319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id="{09643097-CF7C-4E97-BEE1-E9F929F9ED7F}"/>
            </a:ext>
          </a:extLst>
        </xdr:cNvPr>
        <xdr:cNvCxnSpPr/>
      </xdr:nvCxnSpPr>
      <xdr:spPr>
        <a:xfrm flipH="1">
          <a:off x="2673725" y="9827559"/>
          <a:ext cx="196693" cy="29720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081" name="Picture 11597">
          <a:extLst>
            <a:ext uri="{FF2B5EF4-FFF2-40B4-BE49-F238E27FC236}">
              <a16:creationId xmlns:a16="http://schemas.microsoft.com/office/drawing/2014/main" id="{49806187-383C-492D-9559-842E61DB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9791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082" name="Picture 11597">
          <a:extLst>
            <a:ext uri="{FF2B5EF4-FFF2-40B4-BE49-F238E27FC236}">
              <a16:creationId xmlns:a16="http://schemas.microsoft.com/office/drawing/2014/main" id="{88EA6CE5-AC38-453E-AFD0-7F413F3C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1463" y="980963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083" name="Picture 11597">
          <a:extLst>
            <a:ext uri="{FF2B5EF4-FFF2-40B4-BE49-F238E27FC236}">
              <a16:creationId xmlns:a16="http://schemas.microsoft.com/office/drawing/2014/main" id="{E01966B6-4A68-4FC0-9B3D-2564C86B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542" y="98096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084" name="Picture 11597">
          <a:extLst>
            <a:ext uri="{FF2B5EF4-FFF2-40B4-BE49-F238E27FC236}">
              <a16:creationId xmlns:a16="http://schemas.microsoft.com/office/drawing/2014/main" id="{41EFF776-B4F2-4384-ACA6-21B59683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68418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1085" name="Picture 11597">
          <a:extLst>
            <a:ext uri="{FF2B5EF4-FFF2-40B4-BE49-F238E27FC236}">
              <a16:creationId xmlns:a16="http://schemas.microsoft.com/office/drawing/2014/main" id="{3ECCCDDE-0624-457F-A87A-A0622DF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93980" y="165761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1086" name="Picture 11597">
          <a:extLst>
            <a:ext uri="{FF2B5EF4-FFF2-40B4-BE49-F238E27FC236}">
              <a16:creationId xmlns:a16="http://schemas.microsoft.com/office/drawing/2014/main" id="{11455F9B-B443-45D5-A56B-69916F4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00618" y="183122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1087" name="Picture 11597">
          <a:extLst>
            <a:ext uri="{FF2B5EF4-FFF2-40B4-BE49-F238E27FC236}">
              <a16:creationId xmlns:a16="http://schemas.microsoft.com/office/drawing/2014/main" id="{EF85AE5F-88B6-4308-B62C-1DE9B9A5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15589" y="183742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1088" name="Picture 11597">
          <a:extLst>
            <a:ext uri="{FF2B5EF4-FFF2-40B4-BE49-F238E27FC236}">
              <a16:creationId xmlns:a16="http://schemas.microsoft.com/office/drawing/2014/main" id="{C8CB2947-633D-4A97-9878-8E7294E7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82187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1089" name="Picture 11597">
          <a:extLst>
            <a:ext uri="{FF2B5EF4-FFF2-40B4-BE49-F238E27FC236}">
              <a16:creationId xmlns:a16="http://schemas.microsoft.com/office/drawing/2014/main" id="{10A54F75-D11A-4493-9497-E13436FA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053" y="2029878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1092" name="Picture 11597">
          <a:extLst>
            <a:ext uri="{FF2B5EF4-FFF2-40B4-BE49-F238E27FC236}">
              <a16:creationId xmlns:a16="http://schemas.microsoft.com/office/drawing/2014/main" id="{A8A4BE13-E4EC-4C3B-ABA5-2B912A4A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22903" y="220231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1093" name="AutoShape 10733">
          <a:extLst>
            <a:ext uri="{FF2B5EF4-FFF2-40B4-BE49-F238E27FC236}">
              <a16:creationId xmlns:a16="http://schemas.microsoft.com/office/drawing/2014/main" id="{F3BAC354-00A7-4596-B8DB-C39D0A673D6B}"/>
            </a:ext>
          </a:extLst>
        </xdr:cNvPr>
        <xdr:cNvSpPr>
          <a:spLocks noChangeArrowheads="1"/>
        </xdr:cNvSpPr>
      </xdr:nvSpPr>
      <xdr:spPr bwMode="auto">
        <a:xfrm rot="5400000">
          <a:off x="6334166" y="24144939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1094" name="AutoShape 10733">
          <a:extLst>
            <a:ext uri="{FF2B5EF4-FFF2-40B4-BE49-F238E27FC236}">
              <a16:creationId xmlns:a16="http://schemas.microsoft.com/office/drawing/2014/main" id="{EEE181BF-9B47-4A44-A1FD-80FF08E3A43B}"/>
            </a:ext>
          </a:extLst>
        </xdr:cNvPr>
        <xdr:cNvSpPr>
          <a:spLocks noChangeArrowheads="1"/>
        </xdr:cNvSpPr>
      </xdr:nvSpPr>
      <xdr:spPr bwMode="auto">
        <a:xfrm rot="5400000">
          <a:off x="1291451" y="24092230"/>
          <a:ext cx="518301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1095" name="AutoShape 10733">
          <a:extLst>
            <a:ext uri="{FF2B5EF4-FFF2-40B4-BE49-F238E27FC236}">
              <a16:creationId xmlns:a16="http://schemas.microsoft.com/office/drawing/2014/main" id="{733C0663-EC40-46B3-B16E-E34B44954CD9}"/>
            </a:ext>
          </a:extLst>
        </xdr:cNvPr>
        <xdr:cNvSpPr>
          <a:spLocks noChangeArrowheads="1"/>
        </xdr:cNvSpPr>
      </xdr:nvSpPr>
      <xdr:spPr bwMode="auto">
        <a:xfrm rot="5400000">
          <a:off x="1367719" y="22284315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1096" name="Picture 11597">
          <a:extLst>
            <a:ext uri="{FF2B5EF4-FFF2-40B4-BE49-F238E27FC236}">
              <a16:creationId xmlns:a16="http://schemas.microsoft.com/office/drawing/2014/main" id="{1FE4009E-FF37-4BDD-99C5-C7A4054B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22262" y="238976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1097" name="Picture 11597">
          <a:extLst>
            <a:ext uri="{FF2B5EF4-FFF2-40B4-BE49-F238E27FC236}">
              <a16:creationId xmlns:a16="http://schemas.microsoft.com/office/drawing/2014/main" id="{7C2DB635-260E-4459-94F0-8CC602F4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27" y="258627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1098" name="Picture 11597">
          <a:extLst>
            <a:ext uri="{FF2B5EF4-FFF2-40B4-BE49-F238E27FC236}">
              <a16:creationId xmlns:a16="http://schemas.microsoft.com/office/drawing/2014/main" id="{4C392CC8-B8E8-43A3-8952-4497C96B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23" y="2587886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1099" name="AutoShape 10733">
          <a:extLst>
            <a:ext uri="{FF2B5EF4-FFF2-40B4-BE49-F238E27FC236}">
              <a16:creationId xmlns:a16="http://schemas.microsoft.com/office/drawing/2014/main" id="{6DFA2418-DAFD-4655-A9D3-E3BE5B90CEE5}"/>
            </a:ext>
          </a:extLst>
        </xdr:cNvPr>
        <xdr:cNvSpPr>
          <a:spLocks noChangeArrowheads="1"/>
        </xdr:cNvSpPr>
      </xdr:nvSpPr>
      <xdr:spPr bwMode="auto">
        <a:xfrm rot="5400000">
          <a:off x="2640259" y="26102382"/>
          <a:ext cx="52502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1100" name="Picture 11597">
          <a:extLst>
            <a:ext uri="{FF2B5EF4-FFF2-40B4-BE49-F238E27FC236}">
              <a16:creationId xmlns:a16="http://schemas.microsoft.com/office/drawing/2014/main" id="{3BC0F069-DA10-4B7A-A0D7-879FF2F4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4662" y="47028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1101" name="Picture 11597">
          <a:extLst>
            <a:ext uri="{FF2B5EF4-FFF2-40B4-BE49-F238E27FC236}">
              <a16:creationId xmlns:a16="http://schemas.microsoft.com/office/drawing/2014/main" id="{BB10F2EF-8298-401F-B1B8-131C0B5F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548" y="474367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1102" name="Picture 11597">
          <a:extLst>
            <a:ext uri="{FF2B5EF4-FFF2-40B4-BE49-F238E27FC236}">
              <a16:creationId xmlns:a16="http://schemas.microsoft.com/office/drawing/2014/main" id="{A4EEBAC6-3A9A-4FC9-B618-DD8FD0A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009" y="668408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1103" name="AutoShape 301">
          <a:extLst>
            <a:ext uri="{FF2B5EF4-FFF2-40B4-BE49-F238E27FC236}">
              <a16:creationId xmlns:a16="http://schemas.microsoft.com/office/drawing/2014/main" id="{B5451FFE-74F8-4217-A861-EFEB50FC0196}"/>
            </a:ext>
          </a:extLst>
        </xdr:cNvPr>
        <xdr:cNvSpPr>
          <a:spLocks noChangeArrowheads="1"/>
        </xdr:cNvSpPr>
      </xdr:nvSpPr>
      <xdr:spPr bwMode="auto">
        <a:xfrm rot="7084349">
          <a:off x="5036753" y="67729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1104" name="Isosceles Triangle 1103">
          <a:extLst>
            <a:ext uri="{FF2B5EF4-FFF2-40B4-BE49-F238E27FC236}">
              <a16:creationId xmlns:a16="http://schemas.microsoft.com/office/drawing/2014/main" id="{68934B85-C489-4E9B-84A0-3486A80D5A7D}"/>
            </a:ext>
          </a:extLst>
        </xdr:cNvPr>
        <xdr:cNvSpPr/>
      </xdr:nvSpPr>
      <xdr:spPr>
        <a:xfrm>
          <a:off x="2682688" y="823497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1105" name="Isosceles Triangle 1104">
          <a:extLst>
            <a:ext uri="{FF2B5EF4-FFF2-40B4-BE49-F238E27FC236}">
              <a16:creationId xmlns:a16="http://schemas.microsoft.com/office/drawing/2014/main" id="{F6122AC4-B62D-4FBD-B43C-54977351375E}"/>
            </a:ext>
          </a:extLst>
        </xdr:cNvPr>
        <xdr:cNvSpPr/>
      </xdr:nvSpPr>
      <xdr:spPr>
        <a:xfrm>
          <a:off x="3983467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1106" name="Isosceles Triangle 1105">
          <a:extLst>
            <a:ext uri="{FF2B5EF4-FFF2-40B4-BE49-F238E27FC236}">
              <a16:creationId xmlns:a16="http://schemas.microsoft.com/office/drawing/2014/main" id="{05D7FB44-ACED-4A97-8015-30DA15ED0677}"/>
            </a:ext>
          </a:extLst>
        </xdr:cNvPr>
        <xdr:cNvSpPr/>
      </xdr:nvSpPr>
      <xdr:spPr>
        <a:xfrm>
          <a:off x="5143500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1107" name="AutoShape 301">
          <a:extLst>
            <a:ext uri="{FF2B5EF4-FFF2-40B4-BE49-F238E27FC236}">
              <a16:creationId xmlns:a16="http://schemas.microsoft.com/office/drawing/2014/main" id="{20C65163-D6C1-4F48-8945-54A5877E0DFB}"/>
            </a:ext>
          </a:extLst>
        </xdr:cNvPr>
        <xdr:cNvSpPr>
          <a:spLocks noChangeArrowheads="1"/>
        </xdr:cNvSpPr>
      </xdr:nvSpPr>
      <xdr:spPr bwMode="auto">
        <a:xfrm rot="7084349">
          <a:off x="11455481" y="8323796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1108" name="AutoShape 10733">
          <a:extLst>
            <a:ext uri="{FF2B5EF4-FFF2-40B4-BE49-F238E27FC236}">
              <a16:creationId xmlns:a16="http://schemas.microsoft.com/office/drawing/2014/main" id="{02BBB4E5-EA86-4278-AFA6-91D2A722D770}"/>
            </a:ext>
          </a:extLst>
        </xdr:cNvPr>
        <xdr:cNvSpPr>
          <a:spLocks noChangeArrowheads="1"/>
        </xdr:cNvSpPr>
      </xdr:nvSpPr>
      <xdr:spPr bwMode="auto">
        <a:xfrm rot="5400000">
          <a:off x="2790177" y="10015905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1109" name="AutoShape 301">
          <a:extLst>
            <a:ext uri="{FF2B5EF4-FFF2-40B4-BE49-F238E27FC236}">
              <a16:creationId xmlns:a16="http://schemas.microsoft.com/office/drawing/2014/main" id="{B78AF1FF-60DA-4DCE-88C7-42503E446AD1}"/>
            </a:ext>
          </a:extLst>
        </xdr:cNvPr>
        <xdr:cNvSpPr>
          <a:spLocks noChangeArrowheads="1"/>
        </xdr:cNvSpPr>
      </xdr:nvSpPr>
      <xdr:spPr bwMode="auto">
        <a:xfrm rot="7084349">
          <a:off x="4100002" y="9896467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1110" name="AutoShape 301">
          <a:extLst>
            <a:ext uri="{FF2B5EF4-FFF2-40B4-BE49-F238E27FC236}">
              <a16:creationId xmlns:a16="http://schemas.microsoft.com/office/drawing/2014/main" id="{55BBAE7D-B398-4B53-89B5-402BA5ABA93E}"/>
            </a:ext>
          </a:extLst>
        </xdr:cNvPr>
        <xdr:cNvSpPr>
          <a:spLocks noChangeArrowheads="1"/>
        </xdr:cNvSpPr>
      </xdr:nvSpPr>
      <xdr:spPr bwMode="auto">
        <a:xfrm rot="7084349">
          <a:off x="7840912" y="9925342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1111" name="AutoShape 301">
          <a:extLst>
            <a:ext uri="{FF2B5EF4-FFF2-40B4-BE49-F238E27FC236}">
              <a16:creationId xmlns:a16="http://schemas.microsoft.com/office/drawing/2014/main" id="{EDF207E5-9A5A-45BF-BC98-3A45CDF8D877}"/>
            </a:ext>
          </a:extLst>
        </xdr:cNvPr>
        <xdr:cNvSpPr>
          <a:spLocks noChangeArrowheads="1"/>
        </xdr:cNvSpPr>
      </xdr:nvSpPr>
      <xdr:spPr bwMode="auto">
        <a:xfrm rot="7084349">
          <a:off x="10187874" y="9871553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1112" name="Picture 11597">
          <a:extLst>
            <a:ext uri="{FF2B5EF4-FFF2-40B4-BE49-F238E27FC236}">
              <a16:creationId xmlns:a16="http://schemas.microsoft.com/office/drawing/2014/main" id="{0CA8F27A-F170-4F75-9A47-CF201D9E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20182" y="976525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1113" name="AutoShape 301">
          <a:extLst>
            <a:ext uri="{FF2B5EF4-FFF2-40B4-BE49-F238E27FC236}">
              <a16:creationId xmlns:a16="http://schemas.microsoft.com/office/drawing/2014/main" id="{52F2F725-B3FF-4B17-B820-A62D21BD1453}"/>
            </a:ext>
          </a:extLst>
        </xdr:cNvPr>
        <xdr:cNvSpPr>
          <a:spLocks noChangeArrowheads="1"/>
        </xdr:cNvSpPr>
      </xdr:nvSpPr>
      <xdr:spPr bwMode="auto">
        <a:xfrm rot="7084349">
          <a:off x="11601771" y="9861317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1114" name="AutoShape 301">
          <a:extLst>
            <a:ext uri="{FF2B5EF4-FFF2-40B4-BE49-F238E27FC236}">
              <a16:creationId xmlns:a16="http://schemas.microsoft.com/office/drawing/2014/main" id="{9FDF06D2-0365-4302-AC66-D9CFAD7E9224}"/>
            </a:ext>
          </a:extLst>
        </xdr:cNvPr>
        <xdr:cNvSpPr>
          <a:spLocks noChangeArrowheads="1"/>
        </xdr:cNvSpPr>
      </xdr:nvSpPr>
      <xdr:spPr bwMode="auto">
        <a:xfrm rot="7084349">
          <a:off x="12592002" y="9868173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1116" name="Picture 11597">
          <a:extLst>
            <a:ext uri="{FF2B5EF4-FFF2-40B4-BE49-F238E27FC236}">
              <a16:creationId xmlns:a16="http://schemas.microsoft.com/office/drawing/2014/main" id="{9157B03A-7B2D-4BF3-845F-ED84A3A5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81300" y="1304947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1117" name="Picture 11597">
          <a:extLst>
            <a:ext uri="{FF2B5EF4-FFF2-40B4-BE49-F238E27FC236}">
              <a16:creationId xmlns:a16="http://schemas.microsoft.com/office/drawing/2014/main" id="{2711DDEA-EF00-48F8-914A-139BFA459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18686" y="1303154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1118" name="Picture 11597">
          <a:extLst>
            <a:ext uri="{FF2B5EF4-FFF2-40B4-BE49-F238E27FC236}">
              <a16:creationId xmlns:a16="http://schemas.microsoft.com/office/drawing/2014/main" id="{48E10B39-5443-4345-9A27-CEB93858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325" y="165582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1119" name="AutoShape 301">
          <a:extLst>
            <a:ext uri="{FF2B5EF4-FFF2-40B4-BE49-F238E27FC236}">
              <a16:creationId xmlns:a16="http://schemas.microsoft.com/office/drawing/2014/main" id="{D35D8528-FD75-4A36-8FEC-B63649659055}"/>
            </a:ext>
          </a:extLst>
        </xdr:cNvPr>
        <xdr:cNvSpPr>
          <a:spLocks noChangeArrowheads="1"/>
        </xdr:cNvSpPr>
      </xdr:nvSpPr>
      <xdr:spPr bwMode="auto">
        <a:xfrm rot="7084349">
          <a:off x="5282407" y="16688782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1120" name="AutoShape 301">
          <a:extLst>
            <a:ext uri="{FF2B5EF4-FFF2-40B4-BE49-F238E27FC236}">
              <a16:creationId xmlns:a16="http://schemas.microsoft.com/office/drawing/2014/main" id="{65BC8437-3F1B-4EC0-AD0E-FDB1FEC5B286}"/>
            </a:ext>
          </a:extLst>
        </xdr:cNvPr>
        <xdr:cNvSpPr>
          <a:spLocks noChangeArrowheads="1"/>
        </xdr:cNvSpPr>
      </xdr:nvSpPr>
      <xdr:spPr bwMode="auto">
        <a:xfrm rot="7084349">
          <a:off x="8794525" y="166831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1121" name="AutoShape 301">
          <a:extLst>
            <a:ext uri="{FF2B5EF4-FFF2-40B4-BE49-F238E27FC236}">
              <a16:creationId xmlns:a16="http://schemas.microsoft.com/office/drawing/2014/main" id="{46AB0654-787D-4C15-9A5E-8C3E692C0AB6}"/>
            </a:ext>
          </a:extLst>
        </xdr:cNvPr>
        <xdr:cNvSpPr>
          <a:spLocks noChangeArrowheads="1"/>
        </xdr:cNvSpPr>
      </xdr:nvSpPr>
      <xdr:spPr bwMode="auto">
        <a:xfrm rot="7084349">
          <a:off x="11384412" y="16729257"/>
          <a:ext cx="292676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1122" name="AutoShape 301">
          <a:extLst>
            <a:ext uri="{FF2B5EF4-FFF2-40B4-BE49-F238E27FC236}">
              <a16:creationId xmlns:a16="http://schemas.microsoft.com/office/drawing/2014/main" id="{2EED099A-28FD-4E7F-91D0-0ABADD597AFA}"/>
            </a:ext>
          </a:extLst>
        </xdr:cNvPr>
        <xdr:cNvSpPr>
          <a:spLocks noChangeArrowheads="1"/>
        </xdr:cNvSpPr>
      </xdr:nvSpPr>
      <xdr:spPr bwMode="auto">
        <a:xfrm rot="7084349">
          <a:off x="3810541" y="18404451"/>
          <a:ext cx="296710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1123" name="AutoShape 301">
          <a:extLst>
            <a:ext uri="{FF2B5EF4-FFF2-40B4-BE49-F238E27FC236}">
              <a16:creationId xmlns:a16="http://schemas.microsoft.com/office/drawing/2014/main" id="{63A00D28-DED0-40F9-9B09-F471AA18B896}"/>
            </a:ext>
          </a:extLst>
        </xdr:cNvPr>
        <xdr:cNvSpPr>
          <a:spLocks noChangeArrowheads="1"/>
        </xdr:cNvSpPr>
      </xdr:nvSpPr>
      <xdr:spPr bwMode="auto">
        <a:xfrm rot="7084349">
          <a:off x="8891119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1124" name="AutoShape 301">
          <a:extLst>
            <a:ext uri="{FF2B5EF4-FFF2-40B4-BE49-F238E27FC236}">
              <a16:creationId xmlns:a16="http://schemas.microsoft.com/office/drawing/2014/main" id="{0068D79F-58E7-4C9B-86B0-C46CB413E2C8}"/>
            </a:ext>
          </a:extLst>
        </xdr:cNvPr>
        <xdr:cNvSpPr>
          <a:spLocks noChangeArrowheads="1"/>
        </xdr:cNvSpPr>
      </xdr:nvSpPr>
      <xdr:spPr bwMode="auto">
        <a:xfrm rot="7084349">
          <a:off x="11381514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1125" name="AutoShape 301">
          <a:extLst>
            <a:ext uri="{FF2B5EF4-FFF2-40B4-BE49-F238E27FC236}">
              <a16:creationId xmlns:a16="http://schemas.microsoft.com/office/drawing/2014/main" id="{805DEF8C-9D4F-42A2-BD2C-0B508811B767}"/>
            </a:ext>
          </a:extLst>
        </xdr:cNvPr>
        <xdr:cNvSpPr>
          <a:spLocks noChangeArrowheads="1"/>
        </xdr:cNvSpPr>
      </xdr:nvSpPr>
      <xdr:spPr bwMode="auto">
        <a:xfrm rot="7084349">
          <a:off x="1508012" y="203788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1126" name="AutoShape 10733">
          <a:extLst>
            <a:ext uri="{FF2B5EF4-FFF2-40B4-BE49-F238E27FC236}">
              <a16:creationId xmlns:a16="http://schemas.microsoft.com/office/drawing/2014/main" id="{BBFF05FF-803A-4E59-8E54-5F1ECD1DC77C}"/>
            </a:ext>
          </a:extLst>
        </xdr:cNvPr>
        <xdr:cNvSpPr>
          <a:spLocks noChangeArrowheads="1"/>
        </xdr:cNvSpPr>
      </xdr:nvSpPr>
      <xdr:spPr bwMode="auto">
        <a:xfrm rot="5400000">
          <a:off x="7554408" y="20454023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1127" name="AutoShape 301">
          <a:extLst>
            <a:ext uri="{FF2B5EF4-FFF2-40B4-BE49-F238E27FC236}">
              <a16:creationId xmlns:a16="http://schemas.microsoft.com/office/drawing/2014/main" id="{F50E75F4-D147-4784-BED9-07CEA3C00553}"/>
            </a:ext>
          </a:extLst>
        </xdr:cNvPr>
        <xdr:cNvSpPr>
          <a:spLocks noChangeArrowheads="1"/>
        </xdr:cNvSpPr>
      </xdr:nvSpPr>
      <xdr:spPr bwMode="auto">
        <a:xfrm rot="7084349">
          <a:off x="10296716" y="20380570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1128" name="AutoShape 301">
          <a:extLst>
            <a:ext uri="{FF2B5EF4-FFF2-40B4-BE49-F238E27FC236}">
              <a16:creationId xmlns:a16="http://schemas.microsoft.com/office/drawing/2014/main" id="{6944F50E-B1AB-4F7E-9AC8-F14632904884}"/>
            </a:ext>
          </a:extLst>
        </xdr:cNvPr>
        <xdr:cNvSpPr>
          <a:spLocks noChangeArrowheads="1"/>
        </xdr:cNvSpPr>
      </xdr:nvSpPr>
      <xdr:spPr bwMode="auto">
        <a:xfrm rot="7084349">
          <a:off x="2594660" y="2212506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1131" name="AutoShape 301">
          <a:extLst>
            <a:ext uri="{FF2B5EF4-FFF2-40B4-BE49-F238E27FC236}">
              <a16:creationId xmlns:a16="http://schemas.microsoft.com/office/drawing/2014/main" id="{9058B2DC-82E6-4A7B-AF42-414B4B6AB382}"/>
            </a:ext>
          </a:extLst>
        </xdr:cNvPr>
        <xdr:cNvSpPr>
          <a:spLocks noChangeArrowheads="1"/>
        </xdr:cNvSpPr>
      </xdr:nvSpPr>
      <xdr:spPr bwMode="auto">
        <a:xfrm rot="7084349">
          <a:off x="528855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1132" name="AutoShape 301">
          <a:extLst>
            <a:ext uri="{FF2B5EF4-FFF2-40B4-BE49-F238E27FC236}">
              <a16:creationId xmlns:a16="http://schemas.microsoft.com/office/drawing/2014/main" id="{81EEC0AA-A203-4208-84DD-A1BA363AF2AD}"/>
            </a:ext>
          </a:extLst>
        </xdr:cNvPr>
        <xdr:cNvSpPr>
          <a:spLocks noChangeArrowheads="1"/>
        </xdr:cNvSpPr>
      </xdr:nvSpPr>
      <xdr:spPr bwMode="auto">
        <a:xfrm rot="7084349">
          <a:off x="6538234" y="22142997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1133" name="AutoShape 301">
          <a:extLst>
            <a:ext uri="{FF2B5EF4-FFF2-40B4-BE49-F238E27FC236}">
              <a16:creationId xmlns:a16="http://schemas.microsoft.com/office/drawing/2014/main" id="{7D8B6B7A-7260-49F0-AE79-AC7A968935A3}"/>
            </a:ext>
          </a:extLst>
        </xdr:cNvPr>
        <xdr:cNvSpPr>
          <a:spLocks noChangeArrowheads="1"/>
        </xdr:cNvSpPr>
      </xdr:nvSpPr>
      <xdr:spPr bwMode="auto">
        <a:xfrm rot="7084349">
          <a:off x="1028727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1134" name="AutoShape 301">
          <a:extLst>
            <a:ext uri="{FF2B5EF4-FFF2-40B4-BE49-F238E27FC236}">
              <a16:creationId xmlns:a16="http://schemas.microsoft.com/office/drawing/2014/main" id="{DBF658BB-DEE9-4EC7-B4F7-541BECCF1B34}"/>
            </a:ext>
          </a:extLst>
        </xdr:cNvPr>
        <xdr:cNvSpPr>
          <a:spLocks noChangeArrowheads="1"/>
        </xdr:cNvSpPr>
      </xdr:nvSpPr>
      <xdr:spPr bwMode="auto">
        <a:xfrm rot="7084349">
          <a:off x="8858300" y="2399465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1135" name="AutoShape 301">
          <a:extLst>
            <a:ext uri="{FF2B5EF4-FFF2-40B4-BE49-F238E27FC236}">
              <a16:creationId xmlns:a16="http://schemas.microsoft.com/office/drawing/2014/main" id="{D0CA24C7-F27F-4C7A-8DF6-B9D840469E83}"/>
            </a:ext>
          </a:extLst>
        </xdr:cNvPr>
        <xdr:cNvSpPr>
          <a:spLocks noChangeArrowheads="1"/>
        </xdr:cNvSpPr>
      </xdr:nvSpPr>
      <xdr:spPr bwMode="auto">
        <a:xfrm rot="7084349">
          <a:off x="12849581" y="24036763"/>
          <a:ext cx="296368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338171</xdr:colOff>
      <xdr:row>149</xdr:row>
      <xdr:rowOff>79237</xdr:rowOff>
    </xdr:from>
    <xdr:to>
      <xdr:col>10</xdr:col>
      <xdr:colOff>304800</xdr:colOff>
      <xdr:row>150</xdr:row>
      <xdr:rowOff>107578</xdr:rowOff>
    </xdr:to>
    <xdr:sp macro="" textlink="">
      <xdr:nvSpPr>
        <xdr:cNvPr id="1137" name="Moon 1136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/>
      </xdr:nvSpPr>
      <xdr:spPr>
        <a:xfrm>
          <a:off x="4748806" y="27582955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349623</xdr:colOff>
      <xdr:row>149</xdr:row>
      <xdr:rowOff>71718</xdr:rowOff>
    </xdr:from>
    <xdr:to>
      <xdr:col>8</xdr:col>
      <xdr:colOff>316253</xdr:colOff>
      <xdr:row>150</xdr:row>
      <xdr:rowOff>100059</xdr:rowOff>
    </xdr:to>
    <xdr:sp macro="" textlink="">
      <xdr:nvSpPr>
        <xdr:cNvPr id="1138" name="Moon 1136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/>
      </xdr:nvSpPr>
      <xdr:spPr>
        <a:xfrm>
          <a:off x="3487270" y="27575436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89647</xdr:colOff>
      <xdr:row>149</xdr:row>
      <xdr:rowOff>8964</xdr:rowOff>
    </xdr:from>
    <xdr:to>
      <xdr:col>9</xdr:col>
      <xdr:colOff>483470</xdr:colOff>
      <xdr:row>149</xdr:row>
      <xdr:rowOff>128173</xdr:rowOff>
    </xdr:to>
    <xdr:cxnSp macro="">
      <xdr:nvCxnSpPr>
        <xdr:cNvPr id="1139" name="Straight Arrow Connector 1138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/>
      </xdr:nvCxnSpPr>
      <xdr:spPr>
        <a:xfrm flipH="1">
          <a:off x="5136776" y="27512682"/>
          <a:ext cx="393823" cy="119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393824</xdr:colOff>
      <xdr:row>149</xdr:row>
      <xdr:rowOff>0</xdr:rowOff>
    </xdr:from>
    <xdr:to>
      <xdr:col>8</xdr:col>
      <xdr:colOff>8965</xdr:colOff>
      <xdr:row>149</xdr:row>
      <xdr:rowOff>134470</xdr:rowOff>
    </xdr:to>
    <xdr:cxnSp macro="">
      <xdr:nvCxnSpPr>
        <xdr:cNvPr id="1140" name="Straight Arrow Connector 1139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/>
      </xdr:nvCxnSpPr>
      <xdr:spPr>
        <a:xfrm>
          <a:off x="4167965" y="27503718"/>
          <a:ext cx="251635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330574</xdr:colOff>
      <xdr:row>63</xdr:row>
      <xdr:rowOff>66394</xdr:rowOff>
    </xdr:from>
    <xdr:to>
      <xdr:col>18</xdr:col>
      <xdr:colOff>297204</xdr:colOff>
      <xdr:row>64</xdr:row>
      <xdr:rowOff>12605</xdr:rowOff>
    </xdr:to>
    <xdr:sp macro="" textlink="">
      <xdr:nvSpPr>
        <xdr:cNvPr id="1142" name="Moon 1136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/>
      </xdr:nvSpPr>
      <xdr:spPr>
        <a:xfrm>
          <a:off x="9793662" y="10743919"/>
          <a:ext cx="1233455" cy="112899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340659</xdr:colOff>
      <xdr:row>63</xdr:row>
      <xdr:rowOff>71718</xdr:rowOff>
    </xdr:from>
    <xdr:to>
      <xdr:col>20</xdr:col>
      <xdr:colOff>307288</xdr:colOff>
      <xdr:row>64</xdr:row>
      <xdr:rowOff>26894</xdr:rowOff>
    </xdr:to>
    <xdr:sp macro="" textlink="">
      <xdr:nvSpPr>
        <xdr:cNvPr id="1143" name="Moon 1136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/>
      </xdr:nvSpPr>
      <xdr:spPr>
        <a:xfrm>
          <a:off x="11116235" y="10883153"/>
          <a:ext cx="1239618" cy="12550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325811</xdr:colOff>
      <xdr:row>63</xdr:row>
      <xdr:rowOff>71157</xdr:rowOff>
    </xdr:from>
    <xdr:to>
      <xdr:col>22</xdr:col>
      <xdr:colOff>292441</xdr:colOff>
      <xdr:row>64</xdr:row>
      <xdr:rowOff>10353</xdr:rowOff>
    </xdr:to>
    <xdr:sp macro="" textlink="">
      <xdr:nvSpPr>
        <xdr:cNvPr id="1144" name="Moon 1136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/>
      </xdr:nvSpPr>
      <xdr:spPr>
        <a:xfrm>
          <a:off x="12322549" y="10748682"/>
          <a:ext cx="1233455" cy="10588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322383</xdr:colOff>
      <xdr:row>63</xdr:row>
      <xdr:rowOff>58616</xdr:rowOff>
    </xdr:from>
    <xdr:to>
      <xdr:col>16</xdr:col>
      <xdr:colOff>287340</xdr:colOff>
      <xdr:row>63</xdr:row>
      <xdr:rowOff>168113</xdr:rowOff>
    </xdr:to>
    <xdr:sp macro="" textlink="">
      <xdr:nvSpPr>
        <xdr:cNvPr id="964" name="Moon 1136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/>
      </xdr:nvSpPr>
      <xdr:spPr>
        <a:xfrm>
          <a:off x="8557845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310662</xdr:colOff>
      <xdr:row>63</xdr:row>
      <xdr:rowOff>58615</xdr:rowOff>
    </xdr:from>
    <xdr:to>
      <xdr:col>14</xdr:col>
      <xdr:colOff>275618</xdr:colOff>
      <xdr:row>63</xdr:row>
      <xdr:rowOff>168112</xdr:rowOff>
    </xdr:to>
    <xdr:sp macro="" textlink="">
      <xdr:nvSpPr>
        <xdr:cNvPr id="1115" name="Moon 1136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/>
      </xdr:nvSpPr>
      <xdr:spPr>
        <a:xfrm>
          <a:off x="7280031" y="10791092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316523</xdr:colOff>
      <xdr:row>63</xdr:row>
      <xdr:rowOff>58616</xdr:rowOff>
    </xdr:from>
    <xdr:to>
      <xdr:col>12</xdr:col>
      <xdr:colOff>281480</xdr:colOff>
      <xdr:row>63</xdr:row>
      <xdr:rowOff>168113</xdr:rowOff>
    </xdr:to>
    <xdr:sp macro="" textlink="">
      <xdr:nvSpPr>
        <xdr:cNvPr id="1141" name="Moon 1136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/>
      </xdr:nvSpPr>
      <xdr:spPr>
        <a:xfrm>
          <a:off x="6019800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63</xdr:row>
      <xdr:rowOff>64477</xdr:rowOff>
    </xdr:from>
    <xdr:to>
      <xdr:col>10</xdr:col>
      <xdr:colOff>275618</xdr:colOff>
      <xdr:row>64</xdr:row>
      <xdr:rowOff>3989</xdr:rowOff>
    </xdr:to>
    <xdr:sp macro="" textlink="">
      <xdr:nvSpPr>
        <xdr:cNvPr id="1145" name="Moon 1136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/>
      </xdr:nvSpPr>
      <xdr:spPr>
        <a:xfrm>
          <a:off x="4747846" y="10796954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310661</xdr:colOff>
      <xdr:row>63</xdr:row>
      <xdr:rowOff>70339</xdr:rowOff>
    </xdr:from>
    <xdr:to>
      <xdr:col>8</xdr:col>
      <xdr:colOff>275617</xdr:colOff>
      <xdr:row>64</xdr:row>
      <xdr:rowOff>9851</xdr:rowOff>
    </xdr:to>
    <xdr:sp macro="" textlink="">
      <xdr:nvSpPr>
        <xdr:cNvPr id="1146" name="Moon 1136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/>
      </xdr:nvSpPr>
      <xdr:spPr>
        <a:xfrm>
          <a:off x="3481753" y="10802816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322384</xdr:colOff>
      <xdr:row>63</xdr:row>
      <xdr:rowOff>70338</xdr:rowOff>
    </xdr:from>
    <xdr:to>
      <xdr:col>6</xdr:col>
      <xdr:colOff>287341</xdr:colOff>
      <xdr:row>64</xdr:row>
      <xdr:rowOff>9850</xdr:rowOff>
    </xdr:to>
    <xdr:sp macro="" textlink="">
      <xdr:nvSpPr>
        <xdr:cNvPr id="1147" name="Moon 1136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/>
      </xdr:nvSpPr>
      <xdr:spPr>
        <a:xfrm>
          <a:off x="2227384" y="10802815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USER/Dropbox/YTPS%20-%20BPS/Project%20Esti.%20&amp;%20Contract/ACE/Users/DG/AppData/Local/Microsoft/Windows/Temporary%20Internet%20Files/Content.Outlook/S2E86Z62/d/cwco/CWCOMAR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DPR%20&amp;%20Daily%20updation%20sheet/DPR%20-%20(TA.418)%20__Dt-15-02-25%20-KP-RCH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MPR'2024/DECEMBER%20-%202024-Monthly%20Progress%20Report_KPL-RCHR_TA-4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6325A\LOTE%20F%20-%20Expans&#227;o%20da%20Interliga&#231;&#227;o%20Norte%20-%20Nordeste%20C4%20-%2050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\c\cm8\NS\EHV-SUBSTATIONS-B\EVA-SUBSTATION-PACKAGE-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kar\rajesh\data\LETTERS\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Progress"/>
      <sheetName val="TS (2)"/>
      <sheetName val="Visual Chart"/>
      <sheetName val="TS"/>
      <sheetName val="TSE-MANUAL-LT-11KV-33KV Details"/>
      <sheetName val="Crossing Details"/>
      <sheetName val="Engineering Details"/>
      <sheetName val="coimbatore"/>
      <sheetName val="STR print"/>
      <sheetName val="Trip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B10" t="str">
            <v>AP32</v>
          </cell>
          <cell r="C10" t="str">
            <v>1DC2+6</v>
          </cell>
          <cell r="D10">
            <v>249.63499999999999</v>
          </cell>
        </row>
        <row r="12">
          <cell r="B12" t="str">
            <v>AP33</v>
          </cell>
          <cell r="C12" t="str">
            <v>1DD45+18</v>
          </cell>
          <cell r="D12">
            <v>425</v>
          </cell>
        </row>
        <row r="14">
          <cell r="B14" t="str">
            <v>33/1</v>
          </cell>
          <cell r="C14" t="str">
            <v>1DA-3</v>
          </cell>
          <cell r="D14">
            <v>425</v>
          </cell>
        </row>
        <row r="16">
          <cell r="B16" t="str">
            <v>33/2</v>
          </cell>
          <cell r="C16" t="str">
            <v>1DA+6</v>
          </cell>
          <cell r="D16">
            <v>390</v>
          </cell>
        </row>
        <row r="18">
          <cell r="B18" t="str">
            <v>33/3</v>
          </cell>
          <cell r="C18" t="str">
            <v>1DA+9</v>
          </cell>
          <cell r="D18">
            <v>265</v>
          </cell>
        </row>
        <row r="20">
          <cell r="B20" t="str">
            <v>33/4</v>
          </cell>
          <cell r="C20" t="str">
            <v>1DA+3</v>
          </cell>
          <cell r="D20">
            <v>510</v>
          </cell>
        </row>
        <row r="22">
          <cell r="B22" t="str">
            <v>33/5</v>
          </cell>
          <cell r="C22" t="str">
            <v>1DB1+9</v>
          </cell>
          <cell r="D22">
            <v>380</v>
          </cell>
        </row>
        <row r="24">
          <cell r="B24" t="str">
            <v>33/6</v>
          </cell>
          <cell r="C24" t="str">
            <v>1DB1+9</v>
          </cell>
          <cell r="D24">
            <v>420</v>
          </cell>
        </row>
        <row r="26">
          <cell r="B26" t="str">
            <v>33/7</v>
          </cell>
          <cell r="C26" t="str">
            <v>1DA-3</v>
          </cell>
          <cell r="D26">
            <v>335</v>
          </cell>
        </row>
        <row r="28">
          <cell r="B28" t="str">
            <v>33/8</v>
          </cell>
          <cell r="C28" t="str">
            <v>1DA-3</v>
          </cell>
          <cell r="D28">
            <v>345</v>
          </cell>
        </row>
        <row r="30">
          <cell r="B30" t="str">
            <v>33/9</v>
          </cell>
          <cell r="C30" t="str">
            <v>1DA-3</v>
          </cell>
          <cell r="D30">
            <v>365</v>
          </cell>
        </row>
        <row r="32">
          <cell r="B32" t="str">
            <v>33/10</v>
          </cell>
          <cell r="C32" t="str">
            <v>1DA+0</v>
          </cell>
          <cell r="D32">
            <v>356</v>
          </cell>
        </row>
        <row r="34">
          <cell r="B34" t="str">
            <v>33/11</v>
          </cell>
          <cell r="C34" t="str">
            <v>1DA-3</v>
          </cell>
          <cell r="D34">
            <v>332</v>
          </cell>
        </row>
        <row r="36">
          <cell r="B36" t="str">
            <v>33/12</v>
          </cell>
          <cell r="C36" t="str">
            <v>1DA+0</v>
          </cell>
          <cell r="D36">
            <v>384.42399999999998</v>
          </cell>
        </row>
        <row r="38">
          <cell r="B38" t="str">
            <v>AP34</v>
          </cell>
          <cell r="C38" t="str">
            <v>1DB1+0</v>
          </cell>
          <cell r="D38">
            <v>385</v>
          </cell>
        </row>
        <row r="40">
          <cell r="B40" t="str">
            <v>34/1</v>
          </cell>
          <cell r="C40" t="str">
            <v>1DA+0</v>
          </cell>
          <cell r="D40">
            <v>423</v>
          </cell>
        </row>
        <row r="42">
          <cell r="B42" t="str">
            <v>34/2</v>
          </cell>
          <cell r="C42" t="str">
            <v>1DA+0</v>
          </cell>
          <cell r="D42">
            <v>382</v>
          </cell>
        </row>
        <row r="44">
          <cell r="B44" t="str">
            <v>34/3</v>
          </cell>
          <cell r="C44" t="str">
            <v>1DA+0</v>
          </cell>
          <cell r="D44">
            <v>405</v>
          </cell>
        </row>
        <row r="46">
          <cell r="B46" t="str">
            <v>34/4</v>
          </cell>
          <cell r="C46" t="str">
            <v>1DA+3</v>
          </cell>
          <cell r="D46">
            <v>388.45800000000003</v>
          </cell>
        </row>
        <row r="48">
          <cell r="B48" t="str">
            <v>AP35</v>
          </cell>
          <cell r="C48" t="str">
            <v>1DB1+0</v>
          </cell>
          <cell r="D48">
            <v>405</v>
          </cell>
        </row>
        <row r="50">
          <cell r="B50" t="str">
            <v>35/1</v>
          </cell>
          <cell r="C50" t="str">
            <v>1DA+3</v>
          </cell>
          <cell r="D50">
            <v>360</v>
          </cell>
        </row>
        <row r="52">
          <cell r="B52" t="str">
            <v>35/2</v>
          </cell>
          <cell r="C52" t="str">
            <v>1DA+3</v>
          </cell>
          <cell r="D52">
            <v>390</v>
          </cell>
        </row>
        <row r="54">
          <cell r="B54" t="str">
            <v>35/3</v>
          </cell>
          <cell r="C54" t="str">
            <v>1DA-3</v>
          </cell>
          <cell r="D54">
            <v>325</v>
          </cell>
        </row>
        <row r="56">
          <cell r="B56" t="str">
            <v>35/4</v>
          </cell>
          <cell r="C56" t="str">
            <v>1DA+0</v>
          </cell>
          <cell r="D56">
            <v>430</v>
          </cell>
        </row>
        <row r="58">
          <cell r="B58" t="str">
            <v>35/5</v>
          </cell>
          <cell r="C58" t="str">
            <v>1DA+0</v>
          </cell>
          <cell r="D58">
            <v>298</v>
          </cell>
        </row>
        <row r="60">
          <cell r="B60" t="str">
            <v>35/6</v>
          </cell>
          <cell r="C60" t="str">
            <v>1DA+0</v>
          </cell>
          <cell r="D60">
            <v>422</v>
          </cell>
        </row>
        <row r="62">
          <cell r="B62" t="str">
            <v>35/7</v>
          </cell>
          <cell r="C62" t="str">
            <v>1DA+9</v>
          </cell>
          <cell r="D62">
            <v>345</v>
          </cell>
        </row>
        <row r="64">
          <cell r="B64" t="str">
            <v>35/8</v>
          </cell>
          <cell r="C64" t="str">
            <v>1DA+3</v>
          </cell>
          <cell r="D64">
            <v>370</v>
          </cell>
        </row>
        <row r="66">
          <cell r="B66" t="str">
            <v>35/9</v>
          </cell>
          <cell r="C66" t="str">
            <v>1DA+9</v>
          </cell>
          <cell r="D66">
            <v>320</v>
          </cell>
        </row>
        <row r="68">
          <cell r="B68" t="str">
            <v>35/10</v>
          </cell>
          <cell r="C68" t="str">
            <v>1DA+9</v>
          </cell>
          <cell r="D68">
            <v>390</v>
          </cell>
        </row>
        <row r="70">
          <cell r="B70" t="str">
            <v>35/11</v>
          </cell>
          <cell r="C70" t="str">
            <v>1DA+3</v>
          </cell>
          <cell r="D70">
            <v>425.02</v>
          </cell>
        </row>
        <row r="72">
          <cell r="B72" t="str">
            <v>AP36</v>
          </cell>
          <cell r="C72" t="str">
            <v>1DB1+3</v>
          </cell>
          <cell r="D72">
            <v>480</v>
          </cell>
        </row>
        <row r="74">
          <cell r="B74" t="str">
            <v>36/1</v>
          </cell>
          <cell r="C74" t="str">
            <v>1DB1+9</v>
          </cell>
          <cell r="D74">
            <v>297.315</v>
          </cell>
        </row>
        <row r="76">
          <cell r="B76" t="str">
            <v>AP37</v>
          </cell>
          <cell r="C76" t="str">
            <v>1DB2+3</v>
          </cell>
          <cell r="D76">
            <v>417</v>
          </cell>
        </row>
        <row r="78">
          <cell r="B78" t="str">
            <v>37/1</v>
          </cell>
          <cell r="C78" t="str">
            <v>1DA+3</v>
          </cell>
          <cell r="D78">
            <v>409</v>
          </cell>
        </row>
        <row r="80">
          <cell r="B80" t="str">
            <v>37/2</v>
          </cell>
          <cell r="C80" t="str">
            <v>1DA+0</v>
          </cell>
          <cell r="D80">
            <v>432.78199999999998</v>
          </cell>
        </row>
        <row r="82">
          <cell r="B82" t="str">
            <v>AP38</v>
          </cell>
          <cell r="C82" t="str">
            <v>1DD60+6</v>
          </cell>
          <cell r="D82">
            <v>469</v>
          </cell>
        </row>
        <row r="84">
          <cell r="B84" t="str">
            <v>38/1</v>
          </cell>
          <cell r="C84" t="str">
            <v>1DA+9</v>
          </cell>
          <cell r="D84">
            <v>387</v>
          </cell>
        </row>
        <row r="86">
          <cell r="B86" t="str">
            <v>38/2</v>
          </cell>
          <cell r="C86" t="str">
            <v>1DA+0</v>
          </cell>
          <cell r="D86">
            <v>428.87599999999998</v>
          </cell>
        </row>
        <row r="88">
          <cell r="B88" t="str">
            <v>AP39</v>
          </cell>
          <cell r="C88" t="str">
            <v>1DD45+6</v>
          </cell>
          <cell r="D88">
            <v>248.03800000000001</v>
          </cell>
        </row>
        <row r="90">
          <cell r="B90" t="str">
            <v>AP40</v>
          </cell>
          <cell r="C90" t="str">
            <v>1DB2+9</v>
          </cell>
          <cell r="D90">
            <v>430</v>
          </cell>
        </row>
        <row r="92">
          <cell r="B92" t="str">
            <v>40/1</v>
          </cell>
          <cell r="C92" t="str">
            <v>1DA+0</v>
          </cell>
          <cell r="D92">
            <v>400</v>
          </cell>
        </row>
        <row r="94">
          <cell r="B94" t="str">
            <v>40/2</v>
          </cell>
          <cell r="C94" t="str">
            <v>1DA+0</v>
          </cell>
          <cell r="D94">
            <v>410</v>
          </cell>
        </row>
        <row r="96">
          <cell r="B96" t="str">
            <v>40/3</v>
          </cell>
          <cell r="C96" t="str">
            <v>1DA+3</v>
          </cell>
          <cell r="D96">
            <v>435</v>
          </cell>
        </row>
        <row r="98">
          <cell r="B98" t="str">
            <v>40/4</v>
          </cell>
          <cell r="C98" t="str">
            <v>1DA+0</v>
          </cell>
          <cell r="D98">
            <v>360</v>
          </cell>
        </row>
        <row r="100">
          <cell r="B100" t="str">
            <v>40/5</v>
          </cell>
          <cell r="C100" t="str">
            <v>1DA-3</v>
          </cell>
          <cell r="D100">
            <v>391.45100000000002</v>
          </cell>
        </row>
        <row r="102">
          <cell r="B102" t="str">
            <v>AP41</v>
          </cell>
          <cell r="C102" t="str">
            <v>1DB1+0</v>
          </cell>
          <cell r="D102">
            <v>380</v>
          </cell>
        </row>
        <row r="104">
          <cell r="B104" t="str">
            <v>41/1</v>
          </cell>
          <cell r="C104" t="str">
            <v>1DA+6</v>
          </cell>
          <cell r="D104">
            <v>475</v>
          </cell>
        </row>
        <row r="106">
          <cell r="B106" t="str">
            <v>41/2</v>
          </cell>
          <cell r="C106" t="str">
            <v>1DA+3</v>
          </cell>
          <cell r="D106">
            <v>380</v>
          </cell>
        </row>
        <row r="108">
          <cell r="B108" t="str">
            <v>41/3</v>
          </cell>
          <cell r="C108" t="str">
            <v>1DA+0</v>
          </cell>
          <cell r="D108">
            <v>390</v>
          </cell>
        </row>
        <row r="110">
          <cell r="B110" t="str">
            <v>41/4</v>
          </cell>
          <cell r="C110" t="str">
            <v>1DA+3</v>
          </cell>
          <cell r="D110">
            <v>465</v>
          </cell>
        </row>
        <row r="112">
          <cell r="B112" t="str">
            <v>41/5</v>
          </cell>
          <cell r="C112" t="str">
            <v>1DA+3</v>
          </cell>
          <cell r="D112">
            <v>383.20800000000003</v>
          </cell>
        </row>
        <row r="114">
          <cell r="B114" t="str">
            <v>AP42</v>
          </cell>
          <cell r="C114" t="str">
            <v>1DB2+3</v>
          </cell>
          <cell r="D114">
            <v>380</v>
          </cell>
        </row>
        <row r="116">
          <cell r="B116" t="str">
            <v>42/1</v>
          </cell>
          <cell r="C116" t="str">
            <v>1DA+0</v>
          </cell>
          <cell r="D116">
            <v>348</v>
          </cell>
        </row>
        <row r="118">
          <cell r="B118" t="str">
            <v>42/2</v>
          </cell>
          <cell r="C118" t="str">
            <v>1DA+0</v>
          </cell>
          <cell r="D118">
            <v>377.78399999999999</v>
          </cell>
        </row>
        <row r="120">
          <cell r="B120" t="str">
            <v>AP43</v>
          </cell>
          <cell r="C120" t="str">
            <v>1DB1+0</v>
          </cell>
          <cell r="D120">
            <v>410</v>
          </cell>
        </row>
        <row r="122">
          <cell r="B122" t="str">
            <v>43/1</v>
          </cell>
          <cell r="C122" t="str">
            <v>1DA+0</v>
          </cell>
          <cell r="D122">
            <v>380</v>
          </cell>
        </row>
        <row r="124">
          <cell r="B124" t="str">
            <v>43/2</v>
          </cell>
          <cell r="C124" t="str">
            <v>1DA+0</v>
          </cell>
          <cell r="D124">
            <v>325</v>
          </cell>
        </row>
        <row r="126">
          <cell r="B126" t="str">
            <v>43/3</v>
          </cell>
          <cell r="C126" t="str">
            <v>1DA-3</v>
          </cell>
          <cell r="D126">
            <v>329.8</v>
          </cell>
        </row>
        <row r="128">
          <cell r="B128" t="str">
            <v>AP44</v>
          </cell>
          <cell r="C128" t="str">
            <v>1DC1-3</v>
          </cell>
          <cell r="D128">
            <v>385</v>
          </cell>
        </row>
        <row r="130">
          <cell r="B130" t="str">
            <v>44/1</v>
          </cell>
          <cell r="C130" t="str">
            <v>1DA+0</v>
          </cell>
          <cell r="D130">
            <v>312.55799999999999</v>
          </cell>
        </row>
        <row r="132">
          <cell r="B132" t="str">
            <v>AP45</v>
          </cell>
          <cell r="C132" t="str">
            <v>1DC1+3</v>
          </cell>
          <cell r="D132">
            <v>242</v>
          </cell>
        </row>
        <row r="134">
          <cell r="B134" t="str">
            <v>45/1</v>
          </cell>
          <cell r="C134" t="str">
            <v>1DB1+6</v>
          </cell>
          <cell r="D134">
            <v>464</v>
          </cell>
        </row>
        <row r="136">
          <cell r="B136" t="str">
            <v>45/2</v>
          </cell>
          <cell r="C136" t="str">
            <v>1DA+0</v>
          </cell>
          <cell r="D136">
            <v>391</v>
          </cell>
        </row>
        <row r="138">
          <cell r="B138" t="str">
            <v>45/3</v>
          </cell>
          <cell r="C138" t="str">
            <v>1DA+6</v>
          </cell>
          <cell r="D138">
            <v>417.51799999999997</v>
          </cell>
        </row>
        <row r="140">
          <cell r="B140" t="str">
            <v>AP46</v>
          </cell>
          <cell r="C140" t="str">
            <v>1DB1+0</v>
          </cell>
          <cell r="D140">
            <v>315</v>
          </cell>
        </row>
        <row r="142">
          <cell r="B142" t="str">
            <v>46/1</v>
          </cell>
          <cell r="C142" t="str">
            <v>1DA-3</v>
          </cell>
          <cell r="D142">
            <v>375</v>
          </cell>
        </row>
        <row r="144">
          <cell r="B144" t="str">
            <v>46/2</v>
          </cell>
          <cell r="C144" t="str">
            <v>1DA+0</v>
          </cell>
          <cell r="D144">
            <v>416</v>
          </cell>
        </row>
        <row r="146">
          <cell r="B146" t="str">
            <v>46/3</v>
          </cell>
          <cell r="C146" t="str">
            <v>1DA+0</v>
          </cell>
          <cell r="D146">
            <v>422</v>
          </cell>
        </row>
        <row r="148">
          <cell r="B148" t="str">
            <v>46/4</v>
          </cell>
          <cell r="C148" t="str">
            <v>1DA+0</v>
          </cell>
          <cell r="D148">
            <v>388</v>
          </cell>
        </row>
        <row r="150">
          <cell r="B150" t="str">
            <v>46/5</v>
          </cell>
          <cell r="C150" t="str">
            <v>1DA+6</v>
          </cell>
          <cell r="D150">
            <v>409</v>
          </cell>
        </row>
        <row r="152">
          <cell r="B152" t="str">
            <v>46/6</v>
          </cell>
          <cell r="C152" t="str">
            <v>1DA+0</v>
          </cell>
          <cell r="D152">
            <v>420</v>
          </cell>
        </row>
        <row r="154">
          <cell r="B154" t="str">
            <v>46/7</v>
          </cell>
          <cell r="C154" t="str">
            <v>1DB1+0</v>
          </cell>
          <cell r="D154">
            <v>399</v>
          </cell>
        </row>
        <row r="156">
          <cell r="B156" t="str">
            <v>46/8</v>
          </cell>
          <cell r="C156" t="str">
            <v>1DA+3</v>
          </cell>
          <cell r="D156">
            <v>381</v>
          </cell>
        </row>
        <row r="158">
          <cell r="B158" t="str">
            <v>46/9</v>
          </cell>
          <cell r="C158" t="str">
            <v>1DA+0</v>
          </cell>
          <cell r="D158">
            <v>382</v>
          </cell>
        </row>
        <row r="160">
          <cell r="B160" t="str">
            <v>46/10</v>
          </cell>
          <cell r="C160" t="str">
            <v>1DA+0</v>
          </cell>
          <cell r="D160">
            <v>391</v>
          </cell>
        </row>
        <row r="162">
          <cell r="B162" t="str">
            <v>46/11</v>
          </cell>
          <cell r="C162" t="str">
            <v>1DA-1.5</v>
          </cell>
          <cell r="D162">
            <v>433</v>
          </cell>
        </row>
        <row r="164">
          <cell r="B164" t="str">
            <v>46/12</v>
          </cell>
          <cell r="C164" t="str">
            <v>1DA+0</v>
          </cell>
          <cell r="D164">
            <v>415</v>
          </cell>
        </row>
        <row r="166">
          <cell r="B166" t="str">
            <v>46/13</v>
          </cell>
          <cell r="C166" t="str">
            <v>1DA+0</v>
          </cell>
          <cell r="D166">
            <v>430</v>
          </cell>
        </row>
        <row r="168">
          <cell r="B168" t="str">
            <v>46/14</v>
          </cell>
          <cell r="C168" t="str">
            <v>1DA+0</v>
          </cell>
          <cell r="D168">
            <v>314</v>
          </cell>
        </row>
        <row r="170">
          <cell r="B170" t="str">
            <v>46/15</v>
          </cell>
          <cell r="C170" t="str">
            <v>1DA+9</v>
          </cell>
          <cell r="D170">
            <v>402.24900000000002</v>
          </cell>
        </row>
        <row r="172">
          <cell r="B172" t="str">
            <v>AP47</v>
          </cell>
          <cell r="C172" t="str">
            <v>1DC1+0</v>
          </cell>
          <cell r="D172">
            <v>394</v>
          </cell>
        </row>
        <row r="174">
          <cell r="B174" t="str">
            <v>47/1</v>
          </cell>
          <cell r="C174" t="str">
            <v>1DA+3</v>
          </cell>
          <cell r="D174">
            <v>419.44499999999999</v>
          </cell>
        </row>
        <row r="176">
          <cell r="B176" t="str">
            <v>AP48</v>
          </cell>
          <cell r="C176" t="str">
            <v>1DB2+0</v>
          </cell>
          <cell r="D176">
            <v>402</v>
          </cell>
        </row>
        <row r="178">
          <cell r="B178" t="str">
            <v>48/1</v>
          </cell>
          <cell r="C178" t="str">
            <v>1DA+6</v>
          </cell>
          <cell r="D178">
            <v>426</v>
          </cell>
        </row>
        <row r="180">
          <cell r="B180" t="str">
            <v>48/2</v>
          </cell>
          <cell r="C180" t="str">
            <v>1DA+3</v>
          </cell>
          <cell r="D180">
            <v>429.05900000000003</v>
          </cell>
        </row>
        <row r="182">
          <cell r="B182" t="str">
            <v>AP48A</v>
          </cell>
          <cell r="C182" t="str">
            <v>1DC1+0</v>
          </cell>
          <cell r="D182">
            <v>336</v>
          </cell>
        </row>
        <row r="184">
          <cell r="B184" t="str">
            <v>48A/1</v>
          </cell>
          <cell r="C184" t="str">
            <v>1DA+9</v>
          </cell>
          <cell r="D184">
            <v>441</v>
          </cell>
        </row>
        <row r="186">
          <cell r="B186" t="str">
            <v>48A/2</v>
          </cell>
          <cell r="C186" t="str">
            <v>1DA-1.5</v>
          </cell>
          <cell r="D186">
            <v>324.04899999999998</v>
          </cell>
        </row>
        <row r="188">
          <cell r="B188" t="str">
            <v>AP49</v>
          </cell>
          <cell r="C188" t="str">
            <v>1DC1+3</v>
          </cell>
          <cell r="D188">
            <v>417.21899999999999</v>
          </cell>
        </row>
        <row r="190">
          <cell r="B190" t="str">
            <v>AP50</v>
          </cell>
          <cell r="C190" t="str">
            <v>1DC1+0</v>
          </cell>
          <cell r="D190">
            <v>249.602</v>
          </cell>
        </row>
        <row r="192">
          <cell r="B192" t="str">
            <v>AP51</v>
          </cell>
          <cell r="C192" t="str">
            <v>1DB1-3</v>
          </cell>
          <cell r="D192">
            <v>333.60199999999998</v>
          </cell>
        </row>
        <row r="194">
          <cell r="B194" t="str">
            <v>AP52</v>
          </cell>
          <cell r="C194" t="str">
            <v>1DC2+0</v>
          </cell>
          <cell r="D194">
            <v>313</v>
          </cell>
        </row>
        <row r="196">
          <cell r="B196" t="str">
            <v>52/1</v>
          </cell>
          <cell r="C196" t="str">
            <v>1DA-3</v>
          </cell>
          <cell r="D196">
            <v>337</v>
          </cell>
        </row>
        <row r="198">
          <cell r="B198" t="str">
            <v>52/2</v>
          </cell>
          <cell r="C198" t="str">
            <v>1DA-3</v>
          </cell>
          <cell r="D198">
            <v>384.09800000000001</v>
          </cell>
        </row>
        <row r="200">
          <cell r="B200" t="str">
            <v>AP53</v>
          </cell>
          <cell r="C200" t="str">
            <v>1DC2+6</v>
          </cell>
          <cell r="D200">
            <v>258.61599999999999</v>
          </cell>
        </row>
        <row r="202">
          <cell r="B202" t="str">
            <v>AP54</v>
          </cell>
          <cell r="C202" t="str">
            <v>1DC1+6</v>
          </cell>
          <cell r="D202">
            <v>390</v>
          </cell>
        </row>
        <row r="204">
          <cell r="B204" t="str">
            <v>54/1</v>
          </cell>
          <cell r="C204" t="str">
            <v>1DA-3</v>
          </cell>
          <cell r="D204">
            <v>290</v>
          </cell>
        </row>
        <row r="206">
          <cell r="B206" t="str">
            <v>54/2</v>
          </cell>
          <cell r="C206" t="str">
            <v>1DA-3</v>
          </cell>
          <cell r="D206">
            <v>345</v>
          </cell>
        </row>
        <row r="208">
          <cell r="B208" t="str">
            <v>54/3</v>
          </cell>
          <cell r="C208" t="str">
            <v>1DA+3</v>
          </cell>
          <cell r="D208">
            <v>423</v>
          </cell>
        </row>
        <row r="210">
          <cell r="B210" t="str">
            <v>54/4</v>
          </cell>
          <cell r="C210" t="str">
            <v>1DA+0</v>
          </cell>
          <cell r="D210">
            <v>388.69299999999998</v>
          </cell>
        </row>
        <row r="212">
          <cell r="B212" t="str">
            <v>AP55</v>
          </cell>
          <cell r="C212" t="str">
            <v>1DB2+0</v>
          </cell>
          <cell r="D212">
            <v>405</v>
          </cell>
        </row>
        <row r="214">
          <cell r="B214" t="str">
            <v>55/1</v>
          </cell>
          <cell r="C214" t="str">
            <v>1DA+3</v>
          </cell>
          <cell r="D214">
            <v>385</v>
          </cell>
        </row>
        <row r="216">
          <cell r="B216" t="str">
            <v>55/2</v>
          </cell>
          <cell r="C216" t="str">
            <v>1DA+0</v>
          </cell>
          <cell r="D216">
            <v>366</v>
          </cell>
        </row>
        <row r="218">
          <cell r="B218" t="str">
            <v>55/3</v>
          </cell>
          <cell r="C218" t="str">
            <v>1DA+3</v>
          </cell>
          <cell r="D218">
            <v>444</v>
          </cell>
        </row>
        <row r="220">
          <cell r="B220" t="str">
            <v>55/4</v>
          </cell>
          <cell r="C220" t="str">
            <v>1DA+3</v>
          </cell>
          <cell r="D220">
            <v>355</v>
          </cell>
        </row>
        <row r="222">
          <cell r="B222" t="str">
            <v>55/5</v>
          </cell>
          <cell r="C222" t="str">
            <v>1DA+0</v>
          </cell>
          <cell r="D222">
            <v>375</v>
          </cell>
        </row>
        <row r="224">
          <cell r="B224" t="str">
            <v>55/6</v>
          </cell>
          <cell r="C224" t="str">
            <v>1DA-3</v>
          </cell>
          <cell r="D224">
            <v>374.49</v>
          </cell>
        </row>
        <row r="226">
          <cell r="B226" t="str">
            <v>AP56</v>
          </cell>
          <cell r="C226" t="str">
            <v>1DB1+0</v>
          </cell>
          <cell r="D226">
            <v>434</v>
          </cell>
        </row>
        <row r="228">
          <cell r="B228" t="str">
            <v>56/1</v>
          </cell>
          <cell r="C228" t="str">
            <v>1DA+6</v>
          </cell>
          <cell r="D228">
            <v>406</v>
          </cell>
        </row>
        <row r="230">
          <cell r="B230" t="str">
            <v>56/2</v>
          </cell>
          <cell r="C230" t="str">
            <v>1DA-3</v>
          </cell>
          <cell r="D230">
            <v>390</v>
          </cell>
        </row>
        <row r="232">
          <cell r="B232" t="str">
            <v>56/3</v>
          </cell>
          <cell r="C232" t="str">
            <v>1DB1+6</v>
          </cell>
          <cell r="D232">
            <v>276.49200000000002</v>
          </cell>
        </row>
        <row r="234">
          <cell r="B234" t="str">
            <v>AP57</v>
          </cell>
          <cell r="C234" t="str">
            <v>1DC1+6</v>
          </cell>
          <cell r="D234">
            <v>397</v>
          </cell>
        </row>
        <row r="236">
          <cell r="B236" t="str">
            <v>57/1</v>
          </cell>
          <cell r="C236" t="str">
            <v>1DA-1.5</v>
          </cell>
          <cell r="D236">
            <v>380</v>
          </cell>
        </row>
        <row r="238">
          <cell r="B238" t="str">
            <v>57/2</v>
          </cell>
          <cell r="C238" t="str">
            <v>1DA+0</v>
          </cell>
          <cell r="D238">
            <v>342</v>
          </cell>
        </row>
        <row r="240">
          <cell r="B240" t="str">
            <v>57/3</v>
          </cell>
          <cell r="C240" t="str">
            <v>1DA-3</v>
          </cell>
          <cell r="D240">
            <v>416.81</v>
          </cell>
        </row>
        <row r="242">
          <cell r="B242" t="str">
            <v>AP58</v>
          </cell>
          <cell r="C242" t="str">
            <v>1DD60+6</v>
          </cell>
          <cell r="D242">
            <v>203.90199999999999</v>
          </cell>
        </row>
        <row r="244">
          <cell r="B244" t="str">
            <v>AP59</v>
          </cell>
          <cell r="C244" t="str">
            <v>1DD60+6</v>
          </cell>
          <cell r="D244">
            <v>382</v>
          </cell>
        </row>
        <row r="246">
          <cell r="B246" t="str">
            <v>59/1</v>
          </cell>
          <cell r="C246" t="str">
            <v>1DA-3</v>
          </cell>
          <cell r="D246">
            <v>320.79599999999999</v>
          </cell>
        </row>
        <row r="248">
          <cell r="B248" t="str">
            <v>AP60</v>
          </cell>
          <cell r="C248" t="str">
            <v>1DC2+0</v>
          </cell>
          <cell r="D248">
            <v>414</v>
          </cell>
        </row>
        <row r="250">
          <cell r="B250" t="str">
            <v>60/1</v>
          </cell>
          <cell r="C250" t="str">
            <v>1DA+6</v>
          </cell>
          <cell r="D250">
            <v>425</v>
          </cell>
        </row>
        <row r="252">
          <cell r="B252" t="str">
            <v>60/2</v>
          </cell>
          <cell r="C252" t="str">
            <v>1DA+0</v>
          </cell>
          <cell r="D252">
            <v>373</v>
          </cell>
        </row>
        <row r="254">
          <cell r="B254" t="str">
            <v>60/3</v>
          </cell>
          <cell r="C254" t="str">
            <v>1DA+0</v>
          </cell>
          <cell r="D254">
            <v>357</v>
          </cell>
        </row>
        <row r="256">
          <cell r="B256" t="str">
            <v>60/4</v>
          </cell>
          <cell r="C256" t="str">
            <v>1DA+0</v>
          </cell>
          <cell r="D256">
            <v>372.20100000000002</v>
          </cell>
        </row>
        <row r="258">
          <cell r="B258" t="str">
            <v>AP61</v>
          </cell>
          <cell r="C258" t="str">
            <v>1DC2+0</v>
          </cell>
          <cell r="D258">
            <v>358.08600000000001</v>
          </cell>
        </row>
        <row r="260">
          <cell r="B260" t="str">
            <v>AP62</v>
          </cell>
          <cell r="C260" t="str">
            <v>1DD60+0</v>
          </cell>
          <cell r="D260">
            <v>278.70400000000001</v>
          </cell>
        </row>
        <row r="262">
          <cell r="B262" t="str">
            <v>AP63</v>
          </cell>
          <cell r="C262" t="str">
            <v>1DD60+0</v>
          </cell>
          <cell r="D262">
            <v>135.00800000000001</v>
          </cell>
        </row>
        <row r="263">
          <cell r="D263">
            <v>47836.987999999998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mittal"/>
      <sheetName val="Contents"/>
      <sheetName val="1. Synopsis"/>
      <sheetName val="2. Exe Summary"/>
      <sheetName val="I. Engineering "/>
      <sheetName val="II.a.Detailed Survey"/>
      <sheetName val="II.b. Check Survey"/>
      <sheetName val="III. ROW"/>
      <sheetName val="IV. Supply"/>
      <sheetName val="V. Const."/>
      <sheetName val="Va. X-ings"/>
      <sheetName val="VI. Comm. &amp; Contr."/>
      <sheetName val="VII.a. Photos"/>
    </sheetNames>
    <sheetDataSet>
      <sheetData sheetId="0">
        <row r="11">
          <cell r="B11" t="str">
            <v>765kV D/c  Koppal II (PS)-Raichur (Part-1) transmission line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  <sheetName val="PACK (B)"/>
      <sheetName val="DSLP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  <sheetName val="PACK (D)"/>
      <sheetName val=" PACK (C)"/>
      <sheetName val=" PACK (A)"/>
      <sheetName val="S_1"/>
      <sheetName val="List"/>
      <sheetName val="A1-Continuous"/>
      <sheetName val="drg"/>
      <sheetName val="Over All (3)"/>
      <sheetName val="PACK_(B)2"/>
      <sheetName val="PACK_(D)2"/>
      <sheetName val="_PACK_(C)2"/>
      <sheetName val="_PACK_(A)2"/>
      <sheetName val="PACK_(B)1"/>
      <sheetName val="PACK_(D)1"/>
      <sheetName val="_PACK_(C)1"/>
      <sheetName val="_PACK_(A)1"/>
      <sheetName val="PACK_(B)"/>
      <sheetName val="PACK_(D)"/>
      <sheetName val="_PACK_(C)"/>
      <sheetName val="_PACK_(A)"/>
      <sheetName val="SPT vs PHI"/>
      <sheetName val="Report"/>
      <sheetName val="Sheet1"/>
      <sheetName val="PACK_(B)4"/>
      <sheetName val="PACK_(D)4"/>
      <sheetName val="_PACK_(C)4"/>
      <sheetName val="_PACK_(A)4"/>
      <sheetName val="PACK_(B)3"/>
      <sheetName val="PACK_(D)3"/>
      <sheetName val="_PACK_(C)3"/>
      <sheetName val="_PACK_(A)3"/>
      <sheetName val="BQMPALOC"/>
      <sheetName val="CASHFLOWS"/>
      <sheetName val="PACK_B_"/>
      <sheetName val="BREAKUP OF OIL"/>
      <sheetName val="PACK_(B)5"/>
      <sheetName val="PACK_(D)5"/>
      <sheetName val="_PACK_(C)5"/>
      <sheetName val="_PACK_(A)5"/>
      <sheetName val="Over_All_(3)"/>
      <sheetName val="SPT_vs_PHI"/>
      <sheetName val="BREAKUP_OF_OIL"/>
      <sheetName val="02"/>
      <sheetName val="03"/>
      <sheetName val="04"/>
      <sheetName val="05"/>
      <sheetName val="1"/>
      <sheetName val="5"/>
      <sheetName val="6"/>
      <sheetName val="PACK_(B)6"/>
      <sheetName val="PACK_(D)6"/>
      <sheetName val="_PACK_(C)6"/>
      <sheetName val="_PACK_(A)6"/>
      <sheetName val="code"/>
      <sheetName val="Basis"/>
      <sheetName val="Sheet3"/>
      <sheetName val="Sheet2"/>
      <sheetName val="Synopsis "/>
      <sheetName val="TABLES"/>
      <sheetName val="PACK _B_"/>
      <sheetName val="EVA-SUBSTATION-PACKAGE-B"/>
      <sheetName val="CLAY"/>
      <sheetName val="Tractor"/>
      <sheetName val="LP"/>
      <sheetName val="CASH-FLOW"/>
      <sheetName val="Elect."/>
      <sheetName val="PACK_(B)20"/>
      <sheetName val="PACK_(D)20"/>
      <sheetName val="_PACK_(C)20"/>
      <sheetName val="_PACK_(A)20"/>
      <sheetName val="Over_All_(3)14"/>
      <sheetName val="SPT_vs_PHI14"/>
      <sheetName val="BREAKUP_OF_OIL14"/>
      <sheetName val="Synopsis_13"/>
      <sheetName val="PACK__B_13"/>
      <sheetName val="Elect_7"/>
      <sheetName val="PACK_(B)7"/>
      <sheetName val="PACK_(D)7"/>
      <sheetName val="_PACK_(C)7"/>
      <sheetName val="_PACK_(A)7"/>
      <sheetName val="Over_All_(3)1"/>
      <sheetName val="SPT_vs_PHI1"/>
      <sheetName val="BREAKUP_OF_OIL1"/>
      <sheetName val="Synopsis_"/>
      <sheetName val="PACK__B_"/>
      <sheetName val="PACK_(B)8"/>
      <sheetName val="PACK_(D)8"/>
      <sheetName val="_PACK_(C)8"/>
      <sheetName val="_PACK_(A)8"/>
      <sheetName val="Over_All_(3)2"/>
      <sheetName val="SPT_vs_PHI2"/>
      <sheetName val="BREAKUP_OF_OIL2"/>
      <sheetName val="Synopsis_1"/>
      <sheetName val="PACK__B_1"/>
      <sheetName val="PACK_(B)9"/>
      <sheetName val="PACK_(D)9"/>
      <sheetName val="_PACK_(C)9"/>
      <sheetName val="_PACK_(A)9"/>
      <sheetName val="Over_All_(3)3"/>
      <sheetName val="SPT_vs_PHI3"/>
      <sheetName val="BREAKUP_OF_OIL3"/>
      <sheetName val="Synopsis_2"/>
      <sheetName val="PACK__B_2"/>
      <sheetName val="PACK_(B)10"/>
      <sheetName val="PACK_(D)10"/>
      <sheetName val="_PACK_(C)10"/>
      <sheetName val="_PACK_(A)10"/>
      <sheetName val="Over_All_(3)4"/>
      <sheetName val="SPT_vs_PHI4"/>
      <sheetName val="BREAKUP_OF_OIL4"/>
      <sheetName val="Synopsis_3"/>
      <sheetName val="PACK__B_3"/>
      <sheetName val="PACK_(B)11"/>
      <sheetName val="PACK_(D)11"/>
      <sheetName val="_PACK_(C)11"/>
      <sheetName val="_PACK_(A)11"/>
      <sheetName val="Over_All_(3)5"/>
      <sheetName val="SPT_vs_PHI5"/>
      <sheetName val="BREAKUP_OF_OIL5"/>
      <sheetName val="Synopsis_4"/>
      <sheetName val="PACK__B_4"/>
      <sheetName val="PACK_(B)16"/>
      <sheetName val="PACK_(D)16"/>
      <sheetName val="_PACK_(C)16"/>
      <sheetName val="_PACK_(A)16"/>
      <sheetName val="Over_All_(3)10"/>
      <sheetName val="SPT_vs_PHI10"/>
      <sheetName val="BREAKUP_OF_OIL10"/>
      <sheetName val="Synopsis_9"/>
      <sheetName val="PACK__B_9"/>
      <sheetName val="PACK_(B)12"/>
      <sheetName val="PACK_(D)12"/>
      <sheetName val="_PACK_(C)12"/>
      <sheetName val="_PACK_(A)12"/>
      <sheetName val="Over_All_(3)6"/>
      <sheetName val="SPT_vs_PHI6"/>
      <sheetName val="BREAKUP_OF_OIL6"/>
      <sheetName val="Synopsis_5"/>
      <sheetName val="PACK__B_5"/>
      <sheetName val="Elect_3"/>
      <sheetName val="PACK_(B)14"/>
      <sheetName val="PACK_(D)14"/>
      <sheetName val="_PACK_(C)14"/>
      <sheetName val="_PACK_(A)14"/>
      <sheetName val="Over_All_(3)8"/>
      <sheetName val="SPT_vs_PHI8"/>
      <sheetName val="BREAKUP_OF_OIL8"/>
      <sheetName val="Synopsis_7"/>
      <sheetName val="PACK__B_7"/>
      <sheetName val="Elect_1"/>
      <sheetName val="PACK_(B)13"/>
      <sheetName val="PACK_(D)13"/>
      <sheetName val="_PACK_(C)13"/>
      <sheetName val="_PACK_(A)13"/>
      <sheetName val="Over_All_(3)7"/>
      <sheetName val="SPT_vs_PHI7"/>
      <sheetName val="BREAKUP_OF_OIL7"/>
      <sheetName val="Synopsis_6"/>
      <sheetName val="PACK__B_6"/>
      <sheetName val="Elect_"/>
      <sheetName val="PACK_(B)15"/>
      <sheetName val="PACK_(D)15"/>
      <sheetName val="_PACK_(C)15"/>
      <sheetName val="_PACK_(A)15"/>
      <sheetName val="Over_All_(3)9"/>
      <sheetName val="SPT_vs_PHI9"/>
      <sheetName val="BREAKUP_OF_OIL9"/>
      <sheetName val="Synopsis_8"/>
      <sheetName val="PACK__B_8"/>
      <sheetName val="Elect_2"/>
      <sheetName val="PACK_(B)17"/>
      <sheetName val="PACK_(D)17"/>
      <sheetName val="_PACK_(C)17"/>
      <sheetName val="_PACK_(A)17"/>
      <sheetName val="Over_All_(3)11"/>
      <sheetName val="SPT_vs_PHI11"/>
      <sheetName val="BREAKUP_OF_OIL11"/>
      <sheetName val="Synopsis_10"/>
      <sheetName val="PACK__B_10"/>
      <sheetName val="Elect_4"/>
      <sheetName val="PACK_(B)18"/>
      <sheetName val="PACK_(D)18"/>
      <sheetName val="_PACK_(C)18"/>
      <sheetName val="_PACK_(A)18"/>
      <sheetName val="Over_All_(3)12"/>
      <sheetName val="SPT_vs_PHI12"/>
      <sheetName val="BREAKUP_OF_OIL12"/>
      <sheetName val="Synopsis_11"/>
      <sheetName val="PACK__B_11"/>
      <sheetName val="Elect_5"/>
      <sheetName val="PACK_(B)19"/>
      <sheetName val="PACK_(D)19"/>
      <sheetName val="_PACK_(C)19"/>
      <sheetName val="_PACK_(A)19"/>
      <sheetName val="Over_All_(3)13"/>
      <sheetName val="SPT_vs_PHI13"/>
      <sheetName val="BREAKUP_OF_OIL13"/>
      <sheetName val="Synopsis_12"/>
      <sheetName val="PACK__B_12"/>
      <sheetName val="Elect_6"/>
      <sheetName val="PACK_(B)21"/>
      <sheetName val="PACK_(D)21"/>
      <sheetName val="_PACK_(C)21"/>
      <sheetName val="_PACK_(A)21"/>
      <sheetName val="Over_All_(3)15"/>
      <sheetName val="SPT_vs_PHI15"/>
      <sheetName val="BREAKUP_OF_OIL15"/>
      <sheetName val="Synopsis_14"/>
      <sheetName val="PACK__B_14"/>
      <sheetName val="Elect_8"/>
      <sheetName val="PACK_(B)22"/>
      <sheetName val="PACK_(D)22"/>
      <sheetName val="_PACK_(C)22"/>
      <sheetName val="_PACK_(A)22"/>
      <sheetName val="Over_All_(3)16"/>
      <sheetName val="SPT_vs_PHI16"/>
      <sheetName val="BREAKUP_OF_OIL16"/>
      <sheetName val="Synopsis_15"/>
      <sheetName val="PACK__B_15"/>
      <sheetName val="Elect_9"/>
      <sheetName val="Load Details(B1)"/>
      <sheetName val="bs BP 04 SA"/>
      <sheetName val="Basic Rate"/>
      <sheetName val="INFLUENCES ON GM"/>
      <sheetName val="acevsSp (ABC)"/>
      <sheetName val="SUM-OBTL"/>
      <sheetName val="Coalmine"/>
      <sheetName val="Anex-1 Con Load"/>
      <sheetName val="Sch-1(Option-I)"/>
      <sheetName val="SECONDARY DESIGN"/>
      <sheetName val="ANALYSIS"/>
      <sheetName val="Form_E6"/>
      <sheetName val="E8"/>
      <sheetName val="E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  <sheetName val="FitOutConfCentre"/>
      <sheetName val="RateAnalysis"/>
      <sheetName val="dBase"/>
      <sheetName val="PRECAST lightconc-II"/>
      <sheetName val="COLUMN"/>
      <sheetName val="DSLP"/>
      <sheetName val="analysis"/>
      <sheetName val="Qty Wise Prgrs of Box Str"/>
      <sheetName val="Publicbuilding"/>
      <sheetName val="4 Annex 1 Basic rate"/>
      <sheetName val="Crane List General"/>
      <sheetName val="strain"/>
      <sheetName val="grid"/>
      <sheetName val="Equipment Information"/>
      <sheetName val="Equipment Block"/>
      <sheetName val="Surcharge"/>
      <sheetName val="s"/>
      <sheetName val="BASIC"/>
      <sheetName val="Bechtel Norms"/>
      <sheetName val="CS PIPING"/>
      <sheetName val="TECH DATA"/>
      <sheetName val="Calendar"/>
      <sheetName val="BC &amp; MNB "/>
      <sheetName val="Indices"/>
      <sheetName val="Quantities"/>
      <sheetName val="GR.slab-rein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abSelected="1" workbookViewId="0">
      <selection activeCell="A3" sqref="A3"/>
    </sheetView>
  </sheetViews>
  <sheetFormatPr defaultRowHeight="14.4"/>
  <sheetData>
    <row r="1" spans="1:11">
      <c r="A1" s="753" t="s">
        <v>408</v>
      </c>
      <c r="B1" s="753" t="s">
        <v>413</v>
      </c>
      <c r="C1" s="753" t="s">
        <v>417</v>
      </c>
      <c r="D1" s="753" t="s">
        <v>480</v>
      </c>
      <c r="E1" s="753" t="s">
        <v>766</v>
      </c>
      <c r="F1" s="753" t="s">
        <v>422</v>
      </c>
      <c r="G1" s="753" t="s">
        <v>415</v>
      </c>
      <c r="H1" s="753" t="s">
        <v>420</v>
      </c>
      <c r="I1" s="753" t="s">
        <v>424</v>
      </c>
      <c r="J1" s="753" t="s">
        <v>767</v>
      </c>
      <c r="K1" s="753" t="s">
        <v>768</v>
      </c>
    </row>
    <row r="2" spans="1:11">
      <c r="A2" s="753" t="s">
        <v>788</v>
      </c>
      <c r="B2" s="753" t="s">
        <v>769</v>
      </c>
      <c r="C2" s="753" t="s">
        <v>770</v>
      </c>
      <c r="D2" s="754">
        <v>45008</v>
      </c>
      <c r="E2" s="754">
        <v>45648</v>
      </c>
      <c r="F2" s="753" t="s">
        <v>771</v>
      </c>
      <c r="G2" s="753" t="s">
        <v>772</v>
      </c>
      <c r="H2" s="753" t="s">
        <v>773</v>
      </c>
      <c r="I2" s="753" t="s">
        <v>774</v>
      </c>
      <c r="J2" s="753" t="s">
        <v>775</v>
      </c>
      <c r="K2" s="753" t="s">
        <v>776</v>
      </c>
    </row>
    <row r="3" spans="1:11">
      <c r="A3" s="753"/>
      <c r="B3" s="753"/>
      <c r="C3" s="753"/>
      <c r="D3" s="753"/>
      <c r="E3" s="753"/>
      <c r="F3" s="753"/>
      <c r="G3" s="753"/>
      <c r="H3" s="753"/>
      <c r="I3" s="753"/>
      <c r="J3" s="753" t="s">
        <v>777</v>
      </c>
      <c r="K3" s="753" t="s">
        <v>778</v>
      </c>
    </row>
    <row r="4" spans="1:11">
      <c r="A4" s="753"/>
      <c r="B4" s="753"/>
      <c r="C4" s="753"/>
      <c r="D4" s="753"/>
      <c r="E4" s="754"/>
      <c r="F4" s="753"/>
      <c r="G4" s="753"/>
      <c r="H4" s="753"/>
      <c r="I4" s="753"/>
      <c r="J4" s="753"/>
      <c r="K4" s="753" t="s">
        <v>779</v>
      </c>
    </row>
    <row r="5" spans="1:11">
      <c r="A5" s="753"/>
      <c r="B5" s="753"/>
      <c r="C5" s="753"/>
      <c r="D5" s="753"/>
      <c r="E5" s="753"/>
      <c r="F5" s="753"/>
      <c r="G5" s="753"/>
      <c r="H5" s="753"/>
      <c r="I5" s="753"/>
      <c r="J5" s="753"/>
      <c r="K5" s="753" t="s">
        <v>780</v>
      </c>
    </row>
    <row r="6" spans="1:11">
      <c r="A6" s="753"/>
      <c r="B6" s="753"/>
      <c r="C6" s="753"/>
      <c r="D6" s="753"/>
      <c r="E6" s="753"/>
      <c r="F6" s="753"/>
      <c r="G6" s="753"/>
      <c r="H6" s="753"/>
      <c r="I6" s="753"/>
      <c r="J6" s="753"/>
      <c r="K6" s="753" t="s">
        <v>781</v>
      </c>
    </row>
    <row r="7" spans="1:11">
      <c r="A7" s="753"/>
      <c r="B7" s="754"/>
      <c r="C7" s="753"/>
      <c r="D7" s="753"/>
      <c r="E7" s="753"/>
      <c r="F7" s="753"/>
      <c r="G7" s="753"/>
      <c r="H7" s="753"/>
      <c r="I7" s="753"/>
      <c r="J7" s="753"/>
      <c r="K7" s="753" t="s">
        <v>782</v>
      </c>
    </row>
    <row r="8" spans="1:11">
      <c r="A8" s="753"/>
      <c r="B8" s="753"/>
      <c r="C8" s="753"/>
      <c r="D8" s="753"/>
      <c r="E8" s="753"/>
      <c r="F8" s="753"/>
      <c r="G8" s="753"/>
      <c r="H8" s="753"/>
      <c r="I8" s="753"/>
      <c r="J8" s="753"/>
      <c r="K8" s="753" t="s">
        <v>783</v>
      </c>
    </row>
    <row r="9" spans="1:11">
      <c r="A9" s="753"/>
      <c r="B9" s="753"/>
      <c r="C9" s="753"/>
      <c r="D9" s="753"/>
      <c r="E9" s="753"/>
      <c r="F9" s="753"/>
      <c r="G9" s="753"/>
      <c r="H9" s="753"/>
      <c r="I9" s="753"/>
      <c r="J9" s="753"/>
      <c r="K9" s="753" t="s">
        <v>784</v>
      </c>
    </row>
    <row r="10" spans="1:11">
      <c r="A10" s="753"/>
      <c r="B10" s="753"/>
      <c r="C10" s="753"/>
      <c r="D10" s="753"/>
      <c r="E10" s="753"/>
      <c r="F10" s="753"/>
      <c r="G10" s="753"/>
      <c r="H10" s="753"/>
      <c r="I10" s="753"/>
      <c r="J10" s="753"/>
      <c r="K10" s="753" t="s">
        <v>785</v>
      </c>
    </row>
    <row r="11" spans="1:11">
      <c r="A11" s="753"/>
      <c r="B11" s="753"/>
      <c r="C11" s="753"/>
      <c r="D11" s="753"/>
      <c r="E11" s="753"/>
      <c r="F11" s="753"/>
      <c r="G11" s="753"/>
      <c r="H11" s="753"/>
      <c r="I11" s="753"/>
      <c r="J11" s="753"/>
      <c r="K11" s="753" t="s">
        <v>786</v>
      </c>
    </row>
    <row r="12" spans="1:11">
      <c r="A12" s="753"/>
      <c r="B12" s="753"/>
      <c r="C12" s="753"/>
      <c r="D12" s="753"/>
      <c r="E12" s="753"/>
      <c r="F12" s="753"/>
      <c r="G12" s="753"/>
      <c r="H12" s="753"/>
      <c r="I12" s="753"/>
      <c r="J12" s="753"/>
      <c r="K12" s="753" t="s">
        <v>787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7" bestFit="1" customWidth="1"/>
  </cols>
  <sheetData>
    <row r="6" spans="1:27">
      <c r="A6" s="743" t="s">
        <v>235</v>
      </c>
      <c r="B6" s="743"/>
      <c r="C6" s="743"/>
      <c r="D6" s="743"/>
      <c r="E6" s="743"/>
      <c r="F6" s="743"/>
    </row>
    <row r="7" spans="1:27" ht="15" thickBot="1"/>
    <row r="8" spans="1:27" ht="15" customHeight="1">
      <c r="A8" s="744" t="s">
        <v>12</v>
      </c>
      <c r="B8" s="746" t="s">
        <v>13</v>
      </c>
      <c r="C8" s="748" t="s">
        <v>14</v>
      </c>
      <c r="D8" s="750" t="s">
        <v>15</v>
      </c>
    </row>
    <row r="9" spans="1:27" ht="15" thickBot="1">
      <c r="A9" s="745"/>
      <c r="B9" s="747"/>
      <c r="C9" s="749"/>
      <c r="D9" s="751"/>
    </row>
    <row r="10" spans="1:27" ht="19.2" customHeight="1" thickBot="1">
      <c r="A10" s="5">
        <v>1</v>
      </c>
      <c r="B10" s="58" t="s">
        <v>23</v>
      </c>
      <c r="C10" s="202" t="s">
        <v>474</v>
      </c>
      <c r="D10" s="420">
        <v>249.63499999999999</v>
      </c>
      <c r="E10" s="70" t="s">
        <v>225</v>
      </c>
      <c r="F10" s="740"/>
      <c r="G10" s="740"/>
      <c r="H10" s="740"/>
      <c r="I10" s="740"/>
      <c r="J10" s="740"/>
      <c r="K10" s="741"/>
      <c r="L10" s="741"/>
      <c r="M10" s="741"/>
      <c r="N10" s="741"/>
      <c r="O10" s="741"/>
      <c r="P10" s="741"/>
      <c r="Q10" s="741"/>
      <c r="R10" s="741"/>
      <c r="S10" s="742"/>
    </row>
    <row r="11" spans="1:27" ht="19.2" customHeight="1">
      <c r="A11" s="1"/>
      <c r="B11" s="59"/>
      <c r="C11" s="202"/>
      <c r="D11" s="420"/>
      <c r="F11" s="76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2" t="s">
        <v>521</v>
      </c>
      <c r="D12" s="420">
        <v>425</v>
      </c>
      <c r="E12" s="368" t="s">
        <v>594</v>
      </c>
      <c r="F12" s="122">
        <f>COUNTIF($C$10:$C$253,"1DA-0")</f>
        <v>0</v>
      </c>
      <c r="G12" s="122">
        <v>10</v>
      </c>
      <c r="H12" s="122">
        <v>7</v>
      </c>
      <c r="I12" s="122">
        <v>3</v>
      </c>
      <c r="J12" s="122">
        <v>1</v>
      </c>
      <c r="K12" s="122">
        <v>26</v>
      </c>
      <c r="L12" s="122">
        <v>2</v>
      </c>
      <c r="M12" s="122">
        <v>21</v>
      </c>
      <c r="N12" s="122">
        <v>2</v>
      </c>
      <c r="O12" s="122">
        <v>8</v>
      </c>
      <c r="P12" s="122">
        <v>6</v>
      </c>
      <c r="Q12" s="122">
        <f>COUNTIF($C$10:$C$253,"1DA+18")</f>
        <v>0</v>
      </c>
      <c r="R12" s="43"/>
      <c r="S12" s="80">
        <f t="shared" ref="S12:S18" si="0">SUM(F12:R12)</f>
        <v>86</v>
      </c>
      <c r="T12" s="291"/>
    </row>
    <row r="13" spans="1:27" ht="16.2" thickBot="1">
      <c r="A13" s="1"/>
      <c r="B13" s="59"/>
      <c r="C13" s="202"/>
      <c r="D13" s="420"/>
      <c r="E13" s="368" t="s">
        <v>595</v>
      </c>
      <c r="F13" s="122">
        <f>COUNTIF($C$10:$C$253,"1DB1-0")</f>
        <v>0</v>
      </c>
      <c r="G13" s="122">
        <f>COUNTIF($C$10:$C$253,"1DB1-1.5")</f>
        <v>0</v>
      </c>
      <c r="H13" s="122">
        <v>0</v>
      </c>
      <c r="I13" s="122">
        <f>COUNTIF($C$10:$C$253,"1DB1-4.5")</f>
        <v>0</v>
      </c>
      <c r="J13" s="122">
        <f>COUNTIF($C$10:$C$253,"1DB1-6")</f>
        <v>0</v>
      </c>
      <c r="K13" s="122">
        <v>6</v>
      </c>
      <c r="L13" s="122">
        <f>COUNTIF($C$10:$C$253,"1DB1+1.5")</f>
        <v>0</v>
      </c>
      <c r="M13" s="122">
        <v>2</v>
      </c>
      <c r="N13" s="122">
        <f>COUNTIF($C$10:$C$253,"1DB1+4.5")</f>
        <v>0</v>
      </c>
      <c r="O13" s="122">
        <v>1</v>
      </c>
      <c r="P13" s="122">
        <v>5</v>
      </c>
      <c r="Q13" s="122">
        <f>COUNTIF($C$10:$C$253,"1DB1+18")</f>
        <v>0</v>
      </c>
      <c r="R13" s="43"/>
      <c r="S13" s="80">
        <f t="shared" si="0"/>
        <v>14</v>
      </c>
      <c r="T13" s="291"/>
      <c r="U13" s="6">
        <v>113</v>
      </c>
      <c r="V13" s="60" t="s">
        <v>54</v>
      </c>
      <c r="W13" s="284" t="s">
        <v>474</v>
      </c>
      <c r="Y13" s="202" t="s">
        <v>531</v>
      </c>
      <c r="Z13" s="202" t="s">
        <v>471</v>
      </c>
      <c r="AA13" s="353">
        <v>73.125</v>
      </c>
    </row>
    <row r="14" spans="1:27" ht="15.6">
      <c r="A14" s="1">
        <v>3</v>
      </c>
      <c r="B14" s="59" t="s">
        <v>118</v>
      </c>
      <c r="C14" s="189" t="s">
        <v>460</v>
      </c>
      <c r="D14" s="420">
        <v>425</v>
      </c>
      <c r="E14" s="368" t="s">
        <v>596</v>
      </c>
      <c r="F14" s="122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v>1</v>
      </c>
      <c r="L14" s="122">
        <f>COUNTIF($C$10:$C$253,"1DB2+1.5")</f>
        <v>0</v>
      </c>
      <c r="M14" s="122">
        <v>2</v>
      </c>
      <c r="N14" s="122">
        <f>COUNTIF($C$10:$C$253,"1DB2+4.5")</f>
        <v>0</v>
      </c>
      <c r="O14" s="122">
        <v>2</v>
      </c>
      <c r="P14" s="122">
        <v>2</v>
      </c>
      <c r="Q14" s="122">
        <f>COUNTIF($C$10:$C$253,"1DB2+18")</f>
        <v>0</v>
      </c>
      <c r="R14" s="43"/>
      <c r="S14" s="80">
        <f t="shared" si="0"/>
        <v>7</v>
      </c>
      <c r="T14" s="291"/>
      <c r="U14" s="6"/>
      <c r="V14" s="59"/>
      <c r="W14" s="59"/>
      <c r="Y14" s="202"/>
      <c r="Z14" s="202"/>
      <c r="AA14" s="353"/>
    </row>
    <row r="15" spans="1:27" ht="15.6">
      <c r="A15" s="1"/>
      <c r="B15" s="59"/>
      <c r="C15" s="202"/>
      <c r="D15" s="420"/>
      <c r="E15" s="368" t="s">
        <v>597</v>
      </c>
      <c r="F15" s="122">
        <f>COUNTIF($C$10:$C$253,"1DC1-0")</f>
        <v>0</v>
      </c>
      <c r="G15" s="122">
        <f>COUNTIF($C$10:$C$253,"1DC1-1.5")</f>
        <v>0</v>
      </c>
      <c r="H15" s="122">
        <v>0</v>
      </c>
      <c r="I15" s="122">
        <f>COUNTIF($C$10:$C$253,"1DC1-4.5")</f>
        <v>0</v>
      </c>
      <c r="J15" s="122">
        <f>COUNTIF($C$10:$C$253,"1DC1-6")</f>
        <v>0</v>
      </c>
      <c r="K15" s="122">
        <v>3</v>
      </c>
      <c r="L15" s="122">
        <f>COUNTIF($C$10:$C$253,"1DC1+1.5")</f>
        <v>0</v>
      </c>
      <c r="M15" s="122">
        <v>1</v>
      </c>
      <c r="N15" s="122">
        <f>COUNTIF($C$10:$C$253,"1DC1+4.5")</f>
        <v>0</v>
      </c>
      <c r="O15" s="122">
        <v>1</v>
      </c>
      <c r="P15" s="122">
        <v>1</v>
      </c>
      <c r="Q15" s="122">
        <f>COUNTIF($C$10:$C$253,"1DC1+18")</f>
        <v>0</v>
      </c>
      <c r="R15" s="43"/>
      <c r="S15" s="80">
        <f t="shared" si="0"/>
        <v>6</v>
      </c>
      <c r="T15" s="291"/>
      <c r="U15" s="6">
        <f>U13+1</f>
        <v>114</v>
      </c>
      <c r="V15" s="59" t="s">
        <v>187</v>
      </c>
      <c r="W15" s="59" t="s">
        <v>458</v>
      </c>
      <c r="Y15" s="202" t="s">
        <v>187</v>
      </c>
      <c r="Z15" s="202" t="s">
        <v>458</v>
      </c>
      <c r="AA15" s="353">
        <v>71.430000000000007</v>
      </c>
    </row>
    <row r="16" spans="1:27" ht="15.6">
      <c r="A16" s="1">
        <v>4</v>
      </c>
      <c r="B16" s="59" t="s">
        <v>119</v>
      </c>
      <c r="C16" s="189" t="s">
        <v>468</v>
      </c>
      <c r="D16" s="420">
        <v>390</v>
      </c>
      <c r="E16" s="368" t="s">
        <v>598</v>
      </c>
      <c r="F16" s="122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v>2</v>
      </c>
      <c r="L16" s="122">
        <f>COUNTIF($C$10:$C$253,"1DC2+1.5")</f>
        <v>0</v>
      </c>
      <c r="M16" s="122">
        <v>2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/>
      <c r="U16" s="6"/>
      <c r="V16" s="59"/>
      <c r="W16" s="59"/>
      <c r="Y16" s="202"/>
      <c r="Z16" s="202"/>
      <c r="AA16" s="353"/>
    </row>
    <row r="17" spans="1:27" ht="15.6">
      <c r="A17" s="1"/>
      <c r="B17" s="59"/>
      <c r="C17" s="202"/>
      <c r="D17" s="420"/>
      <c r="E17" s="368" t="s">
        <v>599</v>
      </c>
      <c r="F17" s="122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v>1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v>1</v>
      </c>
      <c r="R17" s="43"/>
      <c r="S17" s="80">
        <f t="shared" si="0"/>
        <v>2</v>
      </c>
      <c r="T17" s="291"/>
      <c r="U17" s="6">
        <f>U15+1</f>
        <v>115</v>
      </c>
      <c r="V17" s="59" t="s">
        <v>188</v>
      </c>
      <c r="W17" s="59" t="s">
        <v>468</v>
      </c>
      <c r="Y17" s="202" t="s">
        <v>188</v>
      </c>
      <c r="Z17" s="202" t="s">
        <v>458</v>
      </c>
      <c r="AA17" s="353">
        <v>71.430000000000007</v>
      </c>
    </row>
    <row r="18" spans="1:27" ht="16.2" thickBot="1">
      <c r="A18" s="1">
        <v>5</v>
      </c>
      <c r="B18" s="59" t="s">
        <v>120</v>
      </c>
      <c r="C18" s="189" t="s">
        <v>461</v>
      </c>
      <c r="D18" s="420">
        <v>265</v>
      </c>
      <c r="E18" s="368" t="s">
        <v>600</v>
      </c>
      <c r="F18" s="123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v>3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v>0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3</v>
      </c>
      <c r="T18" s="291"/>
      <c r="U18" s="6"/>
      <c r="V18" s="59"/>
      <c r="W18" s="59"/>
      <c r="Y18" s="202"/>
      <c r="Z18" s="202"/>
      <c r="AA18" s="353"/>
    </row>
    <row r="19" spans="1:27" ht="16.2" thickBot="1">
      <c r="A19" s="1"/>
      <c r="B19" s="59"/>
      <c r="C19" s="202"/>
      <c r="D19" s="420"/>
      <c r="F19" s="124">
        <f>SUM(F12:F18)</f>
        <v>0</v>
      </c>
      <c r="G19" s="124">
        <f t="shared" ref="G19:S19" si="1">SUM(G12:G18)</f>
        <v>10</v>
      </c>
      <c r="H19" s="124">
        <f t="shared" si="1"/>
        <v>7</v>
      </c>
      <c r="I19" s="124">
        <f t="shared" si="1"/>
        <v>3</v>
      </c>
      <c r="J19" s="124">
        <f t="shared" si="1"/>
        <v>1</v>
      </c>
      <c r="K19" s="124">
        <f t="shared" si="1"/>
        <v>42</v>
      </c>
      <c r="L19" s="124">
        <f t="shared" si="1"/>
        <v>2</v>
      </c>
      <c r="M19" s="124">
        <f t="shared" si="1"/>
        <v>28</v>
      </c>
      <c r="N19" s="124">
        <f t="shared" si="1"/>
        <v>2</v>
      </c>
      <c r="O19" s="124">
        <f t="shared" si="1"/>
        <v>14</v>
      </c>
      <c r="P19" s="124">
        <f t="shared" si="1"/>
        <v>14</v>
      </c>
      <c r="Q19" s="124">
        <f t="shared" si="1"/>
        <v>1</v>
      </c>
      <c r="R19" s="78"/>
      <c r="S19" s="79">
        <f t="shared" si="1"/>
        <v>124</v>
      </c>
      <c r="U19" s="6">
        <f>U17+1</f>
        <v>116</v>
      </c>
      <c r="V19" s="59" t="s">
        <v>189</v>
      </c>
      <c r="W19" s="59" t="s">
        <v>458</v>
      </c>
      <c r="Y19" s="202" t="s">
        <v>189</v>
      </c>
      <c r="Z19" s="202" t="s">
        <v>460</v>
      </c>
      <c r="AA19" s="353">
        <v>68.430000000000007</v>
      </c>
    </row>
    <row r="20" spans="1:27" ht="15">
      <c r="A20" s="1">
        <v>6</v>
      </c>
      <c r="B20" s="59" t="s">
        <v>121</v>
      </c>
      <c r="C20" s="189" t="s">
        <v>459</v>
      </c>
      <c r="D20" s="420">
        <v>510</v>
      </c>
      <c r="U20" s="6"/>
      <c r="V20" s="59"/>
      <c r="W20" s="59"/>
      <c r="Y20" s="202"/>
      <c r="Z20" s="202"/>
      <c r="AA20" s="353"/>
    </row>
    <row r="21" spans="1:27" ht="15">
      <c r="A21" s="1"/>
      <c r="B21" s="59"/>
      <c r="C21" s="202"/>
      <c r="D21" s="420"/>
      <c r="U21" s="6">
        <f>U19+1</f>
        <v>117</v>
      </c>
      <c r="V21" s="59" t="s">
        <v>190</v>
      </c>
      <c r="W21" s="59" t="s">
        <v>459</v>
      </c>
      <c r="Y21" s="202" t="s">
        <v>565</v>
      </c>
      <c r="Z21" s="202" t="s">
        <v>566</v>
      </c>
      <c r="AA21" s="353">
        <v>76.525000000000006</v>
      </c>
    </row>
    <row r="22" spans="1:27" ht="15">
      <c r="A22" s="1">
        <v>7</v>
      </c>
      <c r="B22" s="59" t="s">
        <v>122</v>
      </c>
      <c r="C22" s="202" t="s">
        <v>463</v>
      </c>
      <c r="D22" s="420">
        <v>380</v>
      </c>
      <c r="U22" s="6"/>
      <c r="V22" s="59"/>
      <c r="W22" s="59"/>
      <c r="Y22" s="202"/>
      <c r="Z22" s="202"/>
      <c r="AA22" s="353"/>
    </row>
    <row r="23" spans="1:27" ht="15">
      <c r="A23" s="1"/>
      <c r="B23" s="59"/>
      <c r="C23" s="202"/>
      <c r="D23" s="420"/>
      <c r="U23" s="6">
        <f>U21+1</f>
        <v>118</v>
      </c>
      <c r="V23" s="60" t="s">
        <v>191</v>
      </c>
      <c r="W23" s="60" t="s">
        <v>522</v>
      </c>
      <c r="Y23" s="202" t="s">
        <v>567</v>
      </c>
      <c r="Z23" s="202" t="s">
        <v>566</v>
      </c>
      <c r="AA23" s="353">
        <v>76.525000000000006</v>
      </c>
    </row>
    <row r="24" spans="1:27" ht="15">
      <c r="A24" s="1">
        <v>8</v>
      </c>
      <c r="B24" s="59" t="s">
        <v>123</v>
      </c>
      <c r="C24" s="202" t="s">
        <v>463</v>
      </c>
      <c r="D24" s="420">
        <v>420</v>
      </c>
      <c r="U24" s="6"/>
      <c r="V24" s="59"/>
      <c r="W24" s="59"/>
      <c r="Y24" s="202"/>
      <c r="Z24" s="202"/>
      <c r="AA24" s="353"/>
    </row>
    <row r="25" spans="1:27" ht="15.6" thickBot="1">
      <c r="A25" s="1"/>
      <c r="B25" s="59"/>
      <c r="C25" s="202"/>
      <c r="D25" s="420"/>
      <c r="U25" s="6">
        <f>U23+1</f>
        <v>119</v>
      </c>
      <c r="V25" s="59" t="s">
        <v>192</v>
      </c>
      <c r="W25" s="59" t="s">
        <v>520</v>
      </c>
      <c r="Y25" s="202" t="s">
        <v>568</v>
      </c>
      <c r="Z25" s="202" t="s">
        <v>460</v>
      </c>
      <c r="AA25" s="353">
        <v>68.430000000000007</v>
      </c>
    </row>
    <row r="26" spans="1:27" ht="16.2" thickBot="1">
      <c r="A26" s="1">
        <v>9</v>
      </c>
      <c r="B26" s="59" t="s">
        <v>124</v>
      </c>
      <c r="C26" s="189" t="s">
        <v>460</v>
      </c>
      <c r="D26" s="420">
        <v>335</v>
      </c>
      <c r="F26" s="740"/>
      <c r="G26" s="740"/>
      <c r="H26" s="740"/>
      <c r="I26" s="740"/>
      <c r="J26" s="740"/>
      <c r="K26" s="741"/>
      <c r="L26" s="741"/>
      <c r="M26" s="741"/>
      <c r="N26" s="741"/>
      <c r="O26" s="741"/>
      <c r="P26" s="741"/>
      <c r="Q26" s="741"/>
      <c r="R26" s="741"/>
      <c r="S26" s="742"/>
      <c r="U26" s="6"/>
      <c r="V26" s="59"/>
      <c r="W26" s="59"/>
      <c r="Y26" s="202"/>
      <c r="Z26" s="202"/>
      <c r="AA26" s="353"/>
    </row>
    <row r="27" spans="1:27" ht="15.6">
      <c r="A27" s="1"/>
      <c r="B27" s="59"/>
      <c r="C27" s="202"/>
      <c r="D27" s="420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469</v>
      </c>
      <c r="Y27" s="202" t="s">
        <v>569</v>
      </c>
      <c r="Z27" s="202" t="s">
        <v>465</v>
      </c>
      <c r="AA27" s="353">
        <v>70.125</v>
      </c>
    </row>
    <row r="28" spans="1:27" ht="15.6">
      <c r="A28" s="1">
        <v>10</v>
      </c>
      <c r="B28" s="59" t="s">
        <v>125</v>
      </c>
      <c r="C28" s="189" t="s">
        <v>460</v>
      </c>
      <c r="D28" s="420">
        <v>345</v>
      </c>
      <c r="E28" s="368" t="s">
        <v>594</v>
      </c>
      <c r="F28" s="122">
        <v>0</v>
      </c>
      <c r="G28" s="122">
        <v>2</v>
      </c>
      <c r="H28" s="122">
        <v>18</v>
      </c>
      <c r="I28" s="122">
        <v>0</v>
      </c>
      <c r="J28" s="122">
        <v>0</v>
      </c>
      <c r="K28" s="122">
        <v>37</v>
      </c>
      <c r="L28" s="122">
        <v>0</v>
      </c>
      <c r="M28" s="122">
        <v>19</v>
      </c>
      <c r="N28" s="122">
        <v>0</v>
      </c>
      <c r="O28" s="122">
        <v>7</v>
      </c>
      <c r="P28" s="122">
        <v>6</v>
      </c>
      <c r="Q28" s="122">
        <v>0</v>
      </c>
      <c r="R28" s="43"/>
      <c r="S28" s="80">
        <f t="shared" ref="S28:S34" si="2">SUM(F28:R28)</f>
        <v>89</v>
      </c>
      <c r="U28" s="6"/>
      <c r="V28" s="59"/>
      <c r="W28" s="59"/>
      <c r="Y28" s="202"/>
      <c r="Z28" s="202"/>
      <c r="AA28" s="353"/>
    </row>
    <row r="29" spans="1:27" ht="15.6">
      <c r="A29" s="1"/>
      <c r="B29" s="59"/>
      <c r="C29" s="202"/>
      <c r="D29" s="420"/>
      <c r="E29" s="368" t="s">
        <v>595</v>
      </c>
      <c r="F29" s="122">
        <v>0</v>
      </c>
      <c r="G29" s="122">
        <v>0</v>
      </c>
      <c r="H29" s="122">
        <v>1</v>
      </c>
      <c r="I29" s="122">
        <v>0</v>
      </c>
      <c r="J29" s="122">
        <v>0</v>
      </c>
      <c r="K29" s="122">
        <v>7</v>
      </c>
      <c r="L29" s="122">
        <v>0</v>
      </c>
      <c r="M29" s="122">
        <v>1</v>
      </c>
      <c r="N29" s="122">
        <v>0</v>
      </c>
      <c r="O29" s="122">
        <v>2</v>
      </c>
      <c r="P29" s="122">
        <v>4</v>
      </c>
      <c r="Q29" s="122">
        <v>0</v>
      </c>
      <c r="R29" s="43"/>
      <c r="S29" s="80">
        <f t="shared" si="2"/>
        <v>15</v>
      </c>
      <c r="U29" s="6">
        <f>U27+1</f>
        <v>121</v>
      </c>
      <c r="V29" s="60" t="s">
        <v>194</v>
      </c>
      <c r="W29" s="60" t="s">
        <v>523</v>
      </c>
      <c r="Y29" s="202" t="s">
        <v>570</v>
      </c>
      <c r="Z29" s="202" t="s">
        <v>468</v>
      </c>
      <c r="AA29" s="353">
        <v>77.430000000000007</v>
      </c>
    </row>
    <row r="30" spans="1:27" ht="15.6">
      <c r="A30" s="1">
        <v>11</v>
      </c>
      <c r="B30" s="59" t="s">
        <v>126</v>
      </c>
      <c r="C30" s="189" t="s">
        <v>460</v>
      </c>
      <c r="D30" s="420">
        <v>365</v>
      </c>
      <c r="E30" s="368" t="s">
        <v>596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1</v>
      </c>
      <c r="L30" s="122">
        <v>0</v>
      </c>
      <c r="M30" s="122">
        <v>2</v>
      </c>
      <c r="N30" s="122">
        <v>0</v>
      </c>
      <c r="O30" s="122">
        <v>0</v>
      </c>
      <c r="P30" s="122">
        <v>1</v>
      </c>
      <c r="Q30" s="122">
        <v>0</v>
      </c>
      <c r="R30" s="43"/>
      <c r="S30" s="80">
        <f t="shared" si="2"/>
        <v>4</v>
      </c>
      <c r="U30" s="6"/>
      <c r="V30" s="59"/>
      <c r="W30" s="59"/>
      <c r="Y30" s="202"/>
      <c r="Z30" s="202"/>
      <c r="AA30" s="353"/>
    </row>
    <row r="31" spans="1:27" ht="15.6">
      <c r="A31" s="1"/>
      <c r="B31" s="59"/>
      <c r="C31" s="202"/>
      <c r="D31" s="420"/>
      <c r="E31" s="368" t="s">
        <v>597</v>
      </c>
      <c r="F31" s="122">
        <v>0</v>
      </c>
      <c r="G31" s="122">
        <v>0</v>
      </c>
      <c r="H31" s="122">
        <v>1</v>
      </c>
      <c r="I31" s="122">
        <v>0</v>
      </c>
      <c r="J31" s="122">
        <v>0</v>
      </c>
      <c r="K31" s="122">
        <v>2</v>
      </c>
      <c r="L31" s="122">
        <v>0</v>
      </c>
      <c r="M31" s="122">
        <v>3</v>
      </c>
      <c r="N31" s="122">
        <v>0</v>
      </c>
      <c r="O31" s="122">
        <v>1</v>
      </c>
      <c r="P31" s="122">
        <v>0</v>
      </c>
      <c r="Q31" s="122">
        <v>0</v>
      </c>
      <c r="R31" s="43"/>
      <c r="S31" s="80">
        <f t="shared" si="2"/>
        <v>7</v>
      </c>
      <c r="U31" s="6">
        <f>U29+1</f>
        <v>122</v>
      </c>
      <c r="V31" s="60" t="s">
        <v>89</v>
      </c>
      <c r="W31" s="60" t="s">
        <v>89</v>
      </c>
      <c r="Y31" s="202" t="s">
        <v>571</v>
      </c>
      <c r="Z31" s="202" t="s">
        <v>458</v>
      </c>
      <c r="AA31" s="353">
        <v>71.430000000000007</v>
      </c>
    </row>
    <row r="32" spans="1:27" ht="15.6">
      <c r="A32" s="1">
        <v>12</v>
      </c>
      <c r="B32" s="59" t="s">
        <v>127</v>
      </c>
      <c r="C32" s="189" t="s">
        <v>458</v>
      </c>
      <c r="D32" s="420">
        <v>356</v>
      </c>
      <c r="E32" s="368" t="s">
        <v>598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3</v>
      </c>
      <c r="L32" s="122">
        <v>0</v>
      </c>
      <c r="M32" s="122">
        <v>1</v>
      </c>
      <c r="N32" s="122">
        <v>0</v>
      </c>
      <c r="O32" s="122">
        <v>2</v>
      </c>
      <c r="P32" s="122">
        <v>0</v>
      </c>
      <c r="Q32" s="122">
        <v>0</v>
      </c>
      <c r="R32" s="43"/>
      <c r="S32" s="80">
        <f t="shared" si="2"/>
        <v>6</v>
      </c>
      <c r="U32" s="6"/>
      <c r="V32" s="33"/>
      <c r="W32" s="33"/>
      <c r="Y32" s="202"/>
      <c r="Z32" s="202"/>
      <c r="AA32" s="353"/>
    </row>
    <row r="33" spans="1:27" ht="15.6">
      <c r="A33" s="1"/>
      <c r="B33" s="59"/>
      <c r="C33" s="202"/>
      <c r="D33" s="420"/>
      <c r="E33" s="368" t="s">
        <v>599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1</v>
      </c>
      <c r="P33" s="122">
        <v>0</v>
      </c>
      <c r="Q33" s="122">
        <v>1</v>
      </c>
      <c r="R33" s="43"/>
      <c r="S33" s="80">
        <f t="shared" si="2"/>
        <v>2</v>
      </c>
      <c r="U33" s="2"/>
      <c r="V33" s="2"/>
      <c r="Y33" s="202" t="s">
        <v>572</v>
      </c>
      <c r="Z33" s="202" t="s">
        <v>458</v>
      </c>
      <c r="AA33" s="353">
        <v>71.430000000000007</v>
      </c>
    </row>
    <row r="34" spans="1:27" ht="16.2" thickBot="1">
      <c r="A34" s="1">
        <v>13</v>
      </c>
      <c r="B34" s="59" t="s">
        <v>128</v>
      </c>
      <c r="C34" s="189" t="s">
        <v>460</v>
      </c>
      <c r="D34" s="420">
        <v>332</v>
      </c>
      <c r="E34" s="368" t="s">
        <v>600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2</v>
      </c>
      <c r="L34" s="123">
        <v>0</v>
      </c>
      <c r="M34" s="123">
        <v>0</v>
      </c>
      <c r="N34" s="123">
        <v>0</v>
      </c>
      <c r="O34" s="123">
        <v>2</v>
      </c>
      <c r="P34" s="123">
        <v>0</v>
      </c>
      <c r="Q34" s="123">
        <v>0</v>
      </c>
      <c r="R34" s="44"/>
      <c r="S34" s="81">
        <f t="shared" si="2"/>
        <v>4</v>
      </c>
      <c r="U34" s="2"/>
      <c r="V34" s="2"/>
      <c r="Y34" s="202"/>
      <c r="Z34" s="202"/>
      <c r="AA34" s="353"/>
    </row>
    <row r="35" spans="1:27" ht="16.2" thickBot="1">
      <c r="A35" s="1"/>
      <c r="B35" s="59"/>
      <c r="C35" s="202"/>
      <c r="D35" s="420"/>
      <c r="F35" s="124">
        <f>SUM(F28:F34)</f>
        <v>0</v>
      </c>
      <c r="G35" s="124">
        <f t="shared" ref="G35:Q35" si="3">SUM(G28:G34)</f>
        <v>2</v>
      </c>
      <c r="H35" s="124">
        <f t="shared" si="3"/>
        <v>20</v>
      </c>
      <c r="I35" s="124">
        <f t="shared" si="3"/>
        <v>0</v>
      </c>
      <c r="J35" s="124">
        <f t="shared" si="3"/>
        <v>0</v>
      </c>
      <c r="K35" s="124">
        <f t="shared" si="3"/>
        <v>52</v>
      </c>
      <c r="L35" s="124">
        <f t="shared" si="3"/>
        <v>0</v>
      </c>
      <c r="M35" s="124">
        <f t="shared" si="3"/>
        <v>26</v>
      </c>
      <c r="N35" s="124">
        <f t="shared" si="3"/>
        <v>0</v>
      </c>
      <c r="O35" s="124">
        <f t="shared" si="3"/>
        <v>15</v>
      </c>
      <c r="P35" s="124">
        <f t="shared" si="3"/>
        <v>11</v>
      </c>
      <c r="Q35" s="124">
        <f t="shared" si="3"/>
        <v>1</v>
      </c>
      <c r="R35" s="78"/>
      <c r="S35" s="79">
        <f t="shared" ref="S35" si="4">SUM(S28:S34)</f>
        <v>127</v>
      </c>
      <c r="U35" s="2"/>
      <c r="V35" s="2"/>
      <c r="Y35" s="202" t="s">
        <v>573</v>
      </c>
      <c r="Z35" s="202" t="s">
        <v>520</v>
      </c>
      <c r="AA35" s="353">
        <v>69.930000000000007</v>
      </c>
    </row>
    <row r="36" spans="1:27" ht="15">
      <c r="A36" s="1">
        <v>14</v>
      </c>
      <c r="B36" s="59" t="s">
        <v>129</v>
      </c>
      <c r="C36" s="189" t="s">
        <v>458</v>
      </c>
      <c r="D36" s="420">
        <v>384.42399999999998</v>
      </c>
      <c r="U36" s="2"/>
      <c r="V36" s="2"/>
      <c r="Y36" s="202"/>
      <c r="Z36" s="202"/>
      <c r="AA36" s="353"/>
    </row>
    <row r="37" spans="1:27" ht="15">
      <c r="A37" s="1"/>
      <c r="B37" s="59"/>
      <c r="C37" s="59"/>
      <c r="D37" s="420"/>
      <c r="U37" s="2"/>
      <c r="V37" s="2"/>
      <c r="Y37" s="202" t="s">
        <v>574</v>
      </c>
      <c r="Z37" s="202" t="s">
        <v>575</v>
      </c>
      <c r="AA37" s="353">
        <v>76.525000000000006</v>
      </c>
    </row>
    <row r="38" spans="1:27" ht="15">
      <c r="A38" s="1">
        <v>15</v>
      </c>
      <c r="B38" s="60" t="s">
        <v>25</v>
      </c>
      <c r="C38" s="189" t="s">
        <v>457</v>
      </c>
      <c r="D38" s="419">
        <v>385</v>
      </c>
      <c r="U38" s="2"/>
      <c r="V38" s="2"/>
    </row>
    <row r="39" spans="1:27" ht="18">
      <c r="A39" s="1"/>
      <c r="B39" s="59"/>
      <c r="C39" s="189"/>
      <c r="D39" s="419"/>
      <c r="U39" s="2"/>
      <c r="V39" s="2"/>
      <c r="Y39" s="354" t="s">
        <v>576</v>
      </c>
      <c r="Z39" s="355" t="s">
        <v>577</v>
      </c>
    </row>
    <row r="40" spans="1:27" ht="18">
      <c r="A40" s="1">
        <v>16</v>
      </c>
      <c r="B40" s="59" t="s">
        <v>16</v>
      </c>
      <c r="C40" s="189" t="s">
        <v>458</v>
      </c>
      <c r="D40" s="419">
        <v>423</v>
      </c>
      <c r="U40" s="2"/>
      <c r="V40" s="2"/>
      <c r="Y40" s="356"/>
      <c r="Z40" s="357"/>
    </row>
    <row r="41" spans="1:27" ht="18">
      <c r="A41" s="1"/>
      <c r="B41" s="59"/>
      <c r="C41" s="189"/>
      <c r="D41" s="419"/>
      <c r="U41" s="2"/>
      <c r="V41" s="2"/>
      <c r="Y41" s="354" t="s">
        <v>578</v>
      </c>
      <c r="Z41" s="355" t="s">
        <v>577</v>
      </c>
    </row>
    <row r="42" spans="1:27" ht="15">
      <c r="A42" s="1">
        <v>17</v>
      </c>
      <c r="B42" s="59" t="s">
        <v>17</v>
      </c>
      <c r="C42" s="189" t="s">
        <v>458</v>
      </c>
      <c r="D42" s="419">
        <v>382</v>
      </c>
    </row>
    <row r="43" spans="1:27" ht="15">
      <c r="A43" s="1"/>
      <c r="B43" s="59"/>
      <c r="C43" s="189"/>
      <c r="D43" s="419"/>
    </row>
    <row r="44" spans="1:27" ht="15">
      <c r="A44" s="1">
        <v>18</v>
      </c>
      <c r="B44" s="59" t="s">
        <v>18</v>
      </c>
      <c r="C44" s="189" t="s">
        <v>458</v>
      </c>
      <c r="D44" s="419">
        <v>405</v>
      </c>
    </row>
    <row r="45" spans="1:27" ht="15">
      <c r="A45" s="1"/>
      <c r="B45" s="59"/>
      <c r="C45" s="189"/>
      <c r="D45" s="419"/>
    </row>
    <row r="46" spans="1:27" ht="15">
      <c r="A46" s="1">
        <v>19</v>
      </c>
      <c r="B46" s="59" t="s">
        <v>130</v>
      </c>
      <c r="C46" s="189" t="s">
        <v>459</v>
      </c>
      <c r="D46" s="419">
        <v>388.45800000000003</v>
      </c>
    </row>
    <row r="47" spans="1:27" ht="15">
      <c r="A47" s="1"/>
      <c r="B47" s="59"/>
      <c r="C47" s="189"/>
      <c r="D47" s="419"/>
    </row>
    <row r="48" spans="1:27" ht="15">
      <c r="A48" s="1">
        <v>20</v>
      </c>
      <c r="B48" s="60" t="s">
        <v>26</v>
      </c>
      <c r="C48" s="189" t="s">
        <v>457</v>
      </c>
      <c r="D48" s="419">
        <v>405</v>
      </c>
    </row>
    <row r="49" spans="1:4" ht="15">
      <c r="A49" s="1"/>
      <c r="B49" s="59"/>
      <c r="C49" s="189"/>
      <c r="D49" s="419"/>
    </row>
    <row r="50" spans="1:4" ht="15">
      <c r="A50" s="1">
        <v>21</v>
      </c>
      <c r="B50" s="59" t="s">
        <v>131</v>
      </c>
      <c r="C50" s="189" t="s">
        <v>459</v>
      </c>
      <c r="D50" s="419">
        <v>360</v>
      </c>
    </row>
    <row r="51" spans="1:4" ht="15">
      <c r="A51" s="1"/>
      <c r="B51" s="59"/>
      <c r="C51" s="189"/>
      <c r="D51" s="419"/>
    </row>
    <row r="52" spans="1:4" ht="15">
      <c r="A52" s="1">
        <v>22</v>
      </c>
      <c r="B52" s="59" t="s">
        <v>132</v>
      </c>
      <c r="C52" s="189" t="s">
        <v>459</v>
      </c>
      <c r="D52" s="419">
        <v>390</v>
      </c>
    </row>
    <row r="53" spans="1:4" ht="15">
      <c r="A53" s="1"/>
      <c r="B53" s="59"/>
      <c r="C53" s="189"/>
      <c r="D53" s="419"/>
    </row>
    <row r="54" spans="1:4" ht="15">
      <c r="A54" s="1">
        <v>23</v>
      </c>
      <c r="B54" s="59" t="s">
        <v>133</v>
      </c>
      <c r="C54" s="189" t="s">
        <v>460</v>
      </c>
      <c r="D54" s="419">
        <v>325</v>
      </c>
    </row>
    <row r="55" spans="1:4" ht="15">
      <c r="A55" s="1"/>
      <c r="B55" s="59"/>
      <c r="C55" s="189"/>
      <c r="D55" s="419"/>
    </row>
    <row r="56" spans="1:4" ht="15">
      <c r="A56" s="1">
        <v>24</v>
      </c>
      <c r="B56" s="59" t="s">
        <v>134</v>
      </c>
      <c r="C56" s="189" t="s">
        <v>458</v>
      </c>
      <c r="D56" s="419">
        <v>430</v>
      </c>
    </row>
    <row r="57" spans="1:4" ht="15">
      <c r="A57" s="1"/>
      <c r="B57" s="59"/>
      <c r="C57" s="189"/>
      <c r="D57" s="419"/>
    </row>
    <row r="58" spans="1:4" ht="15">
      <c r="A58" s="1">
        <v>25</v>
      </c>
      <c r="B58" s="59" t="s">
        <v>135</v>
      </c>
      <c r="C58" s="189" t="s">
        <v>458</v>
      </c>
      <c r="D58" s="419">
        <v>298</v>
      </c>
    </row>
    <row r="59" spans="1:4" ht="15">
      <c r="A59" s="1"/>
      <c r="B59" s="59"/>
      <c r="C59" s="189"/>
      <c r="D59" s="419"/>
    </row>
    <row r="60" spans="1:4" ht="15">
      <c r="A60" s="1">
        <v>26</v>
      </c>
      <c r="B60" s="59" t="s">
        <v>136</v>
      </c>
      <c r="C60" s="189" t="s">
        <v>458</v>
      </c>
      <c r="D60" s="419">
        <v>422</v>
      </c>
    </row>
    <row r="61" spans="1:4" ht="15">
      <c r="A61" s="1"/>
      <c r="B61" s="59"/>
      <c r="C61" s="189"/>
      <c r="D61" s="419"/>
    </row>
    <row r="62" spans="1:4" ht="15">
      <c r="A62" s="1">
        <v>27</v>
      </c>
      <c r="B62" s="59" t="s">
        <v>137</v>
      </c>
      <c r="C62" s="189" t="s">
        <v>461</v>
      </c>
      <c r="D62" s="419">
        <v>345</v>
      </c>
    </row>
    <row r="63" spans="1:4" ht="15">
      <c r="A63" s="1"/>
      <c r="B63" s="59"/>
      <c r="C63" s="189"/>
      <c r="D63" s="419"/>
    </row>
    <row r="64" spans="1:4" ht="15">
      <c r="A64" s="1">
        <v>28</v>
      </c>
      <c r="B64" s="59" t="s">
        <v>138</v>
      </c>
      <c r="C64" s="189" t="s">
        <v>459</v>
      </c>
      <c r="D64" s="419">
        <v>370</v>
      </c>
    </row>
    <row r="65" spans="1:4" ht="15">
      <c r="A65" s="1"/>
      <c r="B65" s="59"/>
      <c r="C65" s="189"/>
      <c r="D65" s="419"/>
    </row>
    <row r="66" spans="1:4" ht="15">
      <c r="A66" s="1">
        <v>29</v>
      </c>
      <c r="B66" s="59" t="s">
        <v>139</v>
      </c>
      <c r="C66" s="189" t="s">
        <v>461</v>
      </c>
      <c r="D66" s="419">
        <v>320</v>
      </c>
    </row>
    <row r="67" spans="1:4" ht="15">
      <c r="A67" s="1"/>
      <c r="B67" s="59"/>
      <c r="C67" s="189"/>
      <c r="D67" s="419"/>
    </row>
    <row r="68" spans="1:4" ht="15">
      <c r="A68" s="1">
        <v>30</v>
      </c>
      <c r="B68" s="59" t="s">
        <v>140</v>
      </c>
      <c r="C68" s="189" t="s">
        <v>461</v>
      </c>
      <c r="D68" s="419">
        <v>390</v>
      </c>
    </row>
    <row r="69" spans="1:4" ht="15">
      <c r="A69" s="1"/>
      <c r="B69" s="59"/>
      <c r="C69" s="189"/>
      <c r="D69" s="419"/>
    </row>
    <row r="70" spans="1:4" ht="15">
      <c r="A70" s="1">
        <v>31</v>
      </c>
      <c r="B70" s="59" t="s">
        <v>141</v>
      </c>
      <c r="C70" s="189" t="s">
        <v>459</v>
      </c>
      <c r="D70" s="419">
        <v>425.02</v>
      </c>
    </row>
    <row r="71" spans="1:4" ht="15">
      <c r="A71" s="1"/>
      <c r="B71" s="59"/>
      <c r="C71" s="189"/>
      <c r="D71" s="419"/>
    </row>
    <row r="72" spans="1:4" ht="15">
      <c r="A72" s="1">
        <v>32</v>
      </c>
      <c r="B72" s="60" t="s">
        <v>27</v>
      </c>
      <c r="C72" s="189" t="s">
        <v>462</v>
      </c>
      <c r="D72" s="419">
        <v>480</v>
      </c>
    </row>
    <row r="73" spans="1:4" ht="15">
      <c r="A73" s="1"/>
      <c r="B73" s="59"/>
      <c r="C73" s="189"/>
      <c r="D73" s="419"/>
    </row>
    <row r="74" spans="1:4" ht="15">
      <c r="A74" s="1">
        <v>33</v>
      </c>
      <c r="B74" s="59" t="s">
        <v>19</v>
      </c>
      <c r="C74" s="189" t="s">
        <v>463</v>
      </c>
      <c r="D74" s="419">
        <v>297.315</v>
      </c>
    </row>
    <row r="75" spans="1:4" ht="15">
      <c r="A75" s="1"/>
      <c r="B75" s="59"/>
      <c r="C75" s="189"/>
      <c r="D75" s="419"/>
    </row>
    <row r="76" spans="1:4" ht="15">
      <c r="A76" s="1">
        <v>34</v>
      </c>
      <c r="B76" s="60" t="s">
        <v>28</v>
      </c>
      <c r="C76" s="189" t="s">
        <v>469</v>
      </c>
      <c r="D76" s="419">
        <v>417</v>
      </c>
    </row>
    <row r="77" spans="1:4" ht="15">
      <c r="A77" s="1"/>
      <c r="B77" s="59"/>
      <c r="C77" s="189"/>
      <c r="D77" s="419"/>
    </row>
    <row r="78" spans="1:4" ht="15">
      <c r="A78" s="1">
        <v>35</v>
      </c>
      <c r="B78" s="59" t="s">
        <v>20</v>
      </c>
      <c r="C78" s="189" t="s">
        <v>459</v>
      </c>
      <c r="D78" s="419">
        <v>409</v>
      </c>
    </row>
    <row r="79" spans="1:4" ht="15">
      <c r="A79" s="1"/>
      <c r="B79" s="59"/>
      <c r="C79" s="189"/>
      <c r="D79" s="419"/>
    </row>
    <row r="80" spans="1:4" ht="15">
      <c r="A80" s="1">
        <v>36</v>
      </c>
      <c r="B80" s="59" t="s">
        <v>21</v>
      </c>
      <c r="C80" s="189" t="s">
        <v>458</v>
      </c>
      <c r="D80" s="419">
        <v>432.78199999999998</v>
      </c>
    </row>
    <row r="81" spans="1:4" ht="15">
      <c r="A81" s="1"/>
      <c r="B81" s="59"/>
      <c r="C81" s="189"/>
      <c r="D81" s="419"/>
    </row>
    <row r="82" spans="1:4" ht="15">
      <c r="A82" s="417">
        <v>37</v>
      </c>
      <c r="B82" s="59" t="s">
        <v>22</v>
      </c>
      <c r="C82" s="189" t="s">
        <v>566</v>
      </c>
      <c r="D82" s="419">
        <v>469</v>
      </c>
    </row>
    <row r="83" spans="1:4" ht="15">
      <c r="A83" s="417"/>
      <c r="B83" s="59"/>
      <c r="C83" s="189"/>
      <c r="D83" s="419"/>
    </row>
    <row r="84" spans="1:4" ht="15">
      <c r="A84" s="417">
        <v>38</v>
      </c>
      <c r="B84" s="60" t="s">
        <v>143</v>
      </c>
      <c r="C84" s="189" t="s">
        <v>461</v>
      </c>
      <c r="D84" s="419">
        <v>387</v>
      </c>
    </row>
    <row r="85" spans="1:4" ht="15">
      <c r="A85" s="417"/>
      <c r="B85" s="59"/>
      <c r="C85" s="189"/>
      <c r="D85" s="419"/>
    </row>
    <row r="86" spans="1:4" ht="15">
      <c r="A86" s="417">
        <v>39</v>
      </c>
      <c r="B86" s="59" t="s">
        <v>627</v>
      </c>
      <c r="C86" s="189" t="s">
        <v>458</v>
      </c>
      <c r="D86" s="419">
        <v>428.87599999999998</v>
      </c>
    </row>
    <row r="87" spans="1:4" ht="15">
      <c r="A87" s="1"/>
      <c r="B87" s="59"/>
      <c r="C87" s="189"/>
      <c r="D87" s="419"/>
    </row>
    <row r="88" spans="1:4" ht="15">
      <c r="A88" s="1">
        <v>40</v>
      </c>
      <c r="B88" s="60" t="s">
        <v>29</v>
      </c>
      <c r="C88" s="189" t="s">
        <v>521</v>
      </c>
      <c r="D88" s="419">
        <v>248.03800000000001</v>
      </c>
    </row>
    <row r="89" spans="1:4" ht="15">
      <c r="A89" s="1"/>
      <c r="B89" s="59"/>
      <c r="C89" s="189"/>
      <c r="D89" s="419"/>
    </row>
    <row r="90" spans="1:4" ht="15">
      <c r="A90" s="1">
        <v>41</v>
      </c>
      <c r="B90" s="60" t="s">
        <v>30</v>
      </c>
      <c r="C90" s="189" t="s">
        <v>467</v>
      </c>
      <c r="D90" s="419">
        <v>430</v>
      </c>
    </row>
    <row r="91" spans="1:4" ht="15">
      <c r="A91" s="1"/>
      <c r="B91" s="59"/>
      <c r="C91" s="189"/>
      <c r="D91" s="419"/>
    </row>
    <row r="92" spans="1:4" ht="15">
      <c r="A92" s="1">
        <v>42</v>
      </c>
      <c r="B92" s="59" t="s">
        <v>2</v>
      </c>
      <c r="C92" s="189" t="s">
        <v>458</v>
      </c>
      <c r="D92" s="419">
        <v>400</v>
      </c>
    </row>
    <row r="93" spans="1:4" ht="15">
      <c r="A93" s="1"/>
      <c r="B93" s="59"/>
      <c r="C93" s="189"/>
      <c r="D93" s="419"/>
    </row>
    <row r="94" spans="1:4" ht="15">
      <c r="A94" s="1">
        <v>43</v>
      </c>
      <c r="B94" s="59" t="s">
        <v>49</v>
      </c>
      <c r="C94" s="189" t="s">
        <v>458</v>
      </c>
      <c r="D94" s="419">
        <v>410</v>
      </c>
    </row>
    <row r="95" spans="1:4" ht="15">
      <c r="A95" s="1"/>
      <c r="B95" s="59"/>
      <c r="C95" s="189"/>
      <c r="D95" s="419"/>
    </row>
    <row r="96" spans="1:4" ht="15">
      <c r="A96" s="1">
        <v>44</v>
      </c>
      <c r="B96" s="59" t="s">
        <v>50</v>
      </c>
      <c r="C96" s="189" t="s">
        <v>459</v>
      </c>
      <c r="D96" s="419">
        <v>435</v>
      </c>
    </row>
    <row r="97" spans="1:4" ht="15">
      <c r="A97" s="1"/>
      <c r="B97" s="59"/>
      <c r="C97" s="189"/>
      <c r="D97" s="419"/>
    </row>
    <row r="98" spans="1:4" ht="15">
      <c r="A98" s="1">
        <v>45</v>
      </c>
      <c r="B98" s="59" t="s">
        <v>144</v>
      </c>
      <c r="C98" s="189" t="s">
        <v>458</v>
      </c>
      <c r="D98" s="419">
        <v>360</v>
      </c>
    </row>
    <row r="99" spans="1:4" ht="15">
      <c r="A99" s="1"/>
      <c r="B99" s="59"/>
      <c r="C99" s="189"/>
      <c r="D99" s="419"/>
    </row>
    <row r="100" spans="1:4" ht="15">
      <c r="A100" s="1">
        <v>46</v>
      </c>
      <c r="B100" s="59" t="s">
        <v>145</v>
      </c>
      <c r="C100" s="189" t="s">
        <v>460</v>
      </c>
      <c r="D100" s="419">
        <v>391.45100000000002</v>
      </c>
    </row>
    <row r="101" spans="1:4" ht="15">
      <c r="A101" s="1"/>
      <c r="B101" s="59"/>
      <c r="C101" s="189"/>
      <c r="D101" s="419"/>
    </row>
    <row r="102" spans="1:4" ht="15">
      <c r="A102" s="1">
        <v>47</v>
      </c>
      <c r="B102" s="60" t="s">
        <v>31</v>
      </c>
      <c r="C102" s="189" t="s">
        <v>457</v>
      </c>
      <c r="D102" s="419">
        <v>380</v>
      </c>
    </row>
    <row r="103" spans="1:4" ht="15">
      <c r="A103" s="1"/>
      <c r="B103" s="59"/>
      <c r="C103" s="189"/>
      <c r="D103" s="419"/>
    </row>
    <row r="104" spans="1:4" ht="15">
      <c r="A104" s="1">
        <v>48</v>
      </c>
      <c r="B104" s="59" t="s">
        <v>146</v>
      </c>
      <c r="C104" s="189" t="s">
        <v>468</v>
      </c>
      <c r="D104" s="419">
        <v>475</v>
      </c>
    </row>
    <row r="105" spans="1:4" ht="15">
      <c r="A105" s="1"/>
      <c r="B105" s="59"/>
      <c r="C105" s="189"/>
      <c r="D105" s="419"/>
    </row>
    <row r="106" spans="1:4" ht="15">
      <c r="A106" s="1">
        <v>49</v>
      </c>
      <c r="B106" s="59" t="s">
        <v>147</v>
      </c>
      <c r="C106" s="189" t="s">
        <v>459</v>
      </c>
      <c r="D106" s="419">
        <v>380</v>
      </c>
    </row>
    <row r="107" spans="1:4" ht="15">
      <c r="A107" s="1"/>
      <c r="B107" s="59"/>
      <c r="C107" s="189"/>
      <c r="D107" s="419"/>
    </row>
    <row r="108" spans="1:4" ht="15">
      <c r="A108" s="1">
        <v>50</v>
      </c>
      <c r="B108" s="59" t="s">
        <v>148</v>
      </c>
      <c r="C108" s="189" t="s">
        <v>458</v>
      </c>
      <c r="D108" s="419">
        <v>390</v>
      </c>
    </row>
    <row r="109" spans="1:4" ht="15">
      <c r="A109" s="1"/>
      <c r="B109" s="59"/>
      <c r="C109" s="189"/>
      <c r="D109" s="419"/>
    </row>
    <row r="110" spans="1:4" ht="15">
      <c r="A110" s="1">
        <v>51</v>
      </c>
      <c r="B110" s="59" t="s">
        <v>149</v>
      </c>
      <c r="C110" s="189" t="s">
        <v>459</v>
      </c>
      <c r="D110" s="419">
        <v>465</v>
      </c>
    </row>
    <row r="111" spans="1:4" ht="15">
      <c r="A111" s="1"/>
      <c r="B111" s="59"/>
      <c r="C111" s="189"/>
      <c r="D111" s="419"/>
    </row>
    <row r="112" spans="1:4" ht="15">
      <c r="A112" s="1">
        <v>52</v>
      </c>
      <c r="B112" s="59" t="s">
        <v>150</v>
      </c>
      <c r="C112" s="189" t="s">
        <v>459</v>
      </c>
      <c r="D112" s="419">
        <v>383.20800000000003</v>
      </c>
    </row>
    <row r="113" spans="1:4" ht="15">
      <c r="A113" s="1"/>
      <c r="B113" s="59"/>
      <c r="C113" s="189"/>
      <c r="D113" s="419"/>
    </row>
    <row r="114" spans="1:4" ht="15">
      <c r="A114" s="1">
        <v>53</v>
      </c>
      <c r="B114" s="60" t="s">
        <v>32</v>
      </c>
      <c r="C114" s="189" t="s">
        <v>469</v>
      </c>
      <c r="D114" s="419">
        <v>380</v>
      </c>
    </row>
    <row r="115" spans="1:4" ht="15">
      <c r="A115" s="1"/>
      <c r="B115" s="59"/>
      <c r="C115" s="189"/>
      <c r="D115" s="419"/>
    </row>
    <row r="116" spans="1:4" ht="15">
      <c r="A116" s="1">
        <v>54</v>
      </c>
      <c r="B116" s="59" t="s">
        <v>51</v>
      </c>
      <c r="C116" s="189" t="s">
        <v>458</v>
      </c>
      <c r="D116" s="419">
        <v>348</v>
      </c>
    </row>
    <row r="117" spans="1:4" ht="15">
      <c r="A117" s="1"/>
      <c r="B117" s="59"/>
      <c r="C117" s="189"/>
      <c r="D117" s="419"/>
    </row>
    <row r="118" spans="1:4" ht="15">
      <c r="A118" s="1">
        <v>55</v>
      </c>
      <c r="B118" s="59" t="s">
        <v>52</v>
      </c>
      <c r="C118" s="189" t="s">
        <v>458</v>
      </c>
      <c r="D118" s="419">
        <v>377.78399999999999</v>
      </c>
    </row>
    <row r="119" spans="1:4" ht="15">
      <c r="A119" s="1"/>
      <c r="B119" s="59"/>
      <c r="C119" s="189"/>
      <c r="D119" s="419"/>
    </row>
    <row r="120" spans="1:4" ht="15">
      <c r="A120" s="1">
        <v>56</v>
      </c>
      <c r="B120" s="60" t="s">
        <v>33</v>
      </c>
      <c r="C120" s="189" t="s">
        <v>457</v>
      </c>
      <c r="D120" s="419">
        <v>410</v>
      </c>
    </row>
    <row r="121" spans="1:4" ht="15">
      <c r="A121" s="1"/>
      <c r="B121" s="59"/>
      <c r="C121" s="189"/>
      <c r="D121" s="419"/>
    </row>
    <row r="122" spans="1:4" ht="15">
      <c r="A122" s="1">
        <v>57</v>
      </c>
      <c r="B122" s="59" t="s">
        <v>151</v>
      </c>
      <c r="C122" s="189" t="s">
        <v>458</v>
      </c>
      <c r="D122" s="419">
        <v>380</v>
      </c>
    </row>
    <row r="123" spans="1:4" ht="15">
      <c r="A123" s="1"/>
      <c r="B123" s="59"/>
      <c r="C123" s="189"/>
      <c r="D123" s="419"/>
    </row>
    <row r="124" spans="1:4" ht="15">
      <c r="A124" s="1">
        <v>58</v>
      </c>
      <c r="B124" s="59" t="s">
        <v>152</v>
      </c>
      <c r="C124" s="189" t="s">
        <v>458</v>
      </c>
      <c r="D124" s="419">
        <v>325</v>
      </c>
    </row>
    <row r="125" spans="1:4" ht="15">
      <c r="A125" s="1"/>
      <c r="B125" s="59"/>
      <c r="C125" s="189"/>
      <c r="D125" s="419"/>
    </row>
    <row r="126" spans="1:4" ht="15">
      <c r="A126" s="1">
        <v>59</v>
      </c>
      <c r="B126" s="59" t="s">
        <v>153</v>
      </c>
      <c r="C126" s="189" t="s">
        <v>460</v>
      </c>
      <c r="D126" s="419">
        <v>329.8</v>
      </c>
    </row>
    <row r="127" spans="1:4" ht="15">
      <c r="A127" s="1"/>
      <c r="B127" s="59"/>
      <c r="C127" s="189"/>
      <c r="D127" s="419"/>
    </row>
    <row r="128" spans="1:4" ht="15">
      <c r="A128" s="1">
        <v>60</v>
      </c>
      <c r="B128" s="60" t="s">
        <v>34</v>
      </c>
      <c r="C128" s="189" t="s">
        <v>470</v>
      </c>
      <c r="D128" s="419">
        <v>385</v>
      </c>
    </row>
    <row r="129" spans="1:4" ht="15">
      <c r="A129" s="1"/>
      <c r="B129" s="59"/>
      <c r="C129" s="189"/>
      <c r="D129" s="419"/>
    </row>
    <row r="130" spans="1:4" ht="15">
      <c r="A130" s="1">
        <v>61</v>
      </c>
      <c r="B130" s="59" t="s">
        <v>154</v>
      </c>
      <c r="C130" s="189" t="s">
        <v>458</v>
      </c>
      <c r="D130" s="419">
        <v>312.55799999999999</v>
      </c>
    </row>
    <row r="131" spans="1:4" ht="15">
      <c r="A131" s="1"/>
      <c r="B131" s="59"/>
      <c r="C131" s="189"/>
      <c r="D131" s="419"/>
    </row>
    <row r="132" spans="1:4" ht="15">
      <c r="A132" s="1">
        <v>62</v>
      </c>
      <c r="B132" s="60" t="s">
        <v>35</v>
      </c>
      <c r="C132" s="189" t="s">
        <v>471</v>
      </c>
      <c r="D132" s="419">
        <v>242</v>
      </c>
    </row>
    <row r="133" spans="1:4" ht="15">
      <c r="A133" s="1"/>
      <c r="B133" s="59"/>
      <c r="C133" s="189"/>
      <c r="D133" s="419"/>
    </row>
    <row r="134" spans="1:4" ht="15">
      <c r="A134" s="1">
        <v>63</v>
      </c>
      <c r="B134" s="59" t="s">
        <v>4</v>
      </c>
      <c r="C134" s="189" t="s">
        <v>466</v>
      </c>
      <c r="D134" s="419">
        <v>464</v>
      </c>
    </row>
    <row r="135" spans="1:4" ht="15">
      <c r="A135" s="1"/>
      <c r="B135" s="59"/>
      <c r="C135" s="189"/>
      <c r="D135" s="419"/>
    </row>
    <row r="136" spans="1:4" ht="15">
      <c r="A136" s="1">
        <v>64</v>
      </c>
      <c r="B136" s="59" t="s">
        <v>5</v>
      </c>
      <c r="C136" s="190" t="s">
        <v>458</v>
      </c>
      <c r="D136" s="419">
        <v>391</v>
      </c>
    </row>
    <row r="137" spans="1:4" ht="15">
      <c r="A137" s="1"/>
      <c r="B137" s="59"/>
      <c r="C137" s="189"/>
      <c r="D137" s="419"/>
    </row>
    <row r="138" spans="1:4" ht="15">
      <c r="A138" s="1">
        <v>65</v>
      </c>
      <c r="B138" s="59" t="s">
        <v>155</v>
      </c>
      <c r="C138" s="189" t="s">
        <v>468</v>
      </c>
      <c r="D138" s="419">
        <v>417.51799999999997</v>
      </c>
    </row>
    <row r="139" spans="1:4" ht="15">
      <c r="A139" s="1"/>
      <c r="B139" s="59"/>
      <c r="C139" s="189"/>
      <c r="D139" s="420"/>
    </row>
    <row r="140" spans="1:4" ht="15">
      <c r="A140" s="1">
        <v>66</v>
      </c>
      <c r="B140" s="60" t="s">
        <v>36</v>
      </c>
      <c r="C140" s="191" t="s">
        <v>457</v>
      </c>
      <c r="D140" s="421">
        <v>315</v>
      </c>
    </row>
    <row r="141" spans="1:4">
      <c r="A141" s="1"/>
      <c r="B141" s="59"/>
      <c r="C141" s="59"/>
      <c r="D141" s="421"/>
    </row>
    <row r="142" spans="1:4" ht="15">
      <c r="A142" s="1">
        <v>67</v>
      </c>
      <c r="B142" s="59" t="s">
        <v>6</v>
      </c>
      <c r="C142" s="189" t="s">
        <v>460</v>
      </c>
      <c r="D142" s="421">
        <v>375</v>
      </c>
    </row>
    <row r="143" spans="1:4" ht="15">
      <c r="A143" s="1"/>
      <c r="B143" s="59"/>
      <c r="C143" s="189"/>
      <c r="D143" s="421"/>
    </row>
    <row r="144" spans="1:4" ht="15">
      <c r="A144" s="1">
        <v>68</v>
      </c>
      <c r="B144" s="59" t="s">
        <v>37</v>
      </c>
      <c r="C144" s="189" t="s">
        <v>458</v>
      </c>
      <c r="D144" s="421">
        <v>416</v>
      </c>
    </row>
    <row r="145" spans="1:4" ht="15">
      <c r="A145" s="1"/>
      <c r="B145" s="59"/>
      <c r="C145" s="189"/>
      <c r="D145" s="421"/>
    </row>
    <row r="146" spans="1:4" ht="15">
      <c r="A146" s="1">
        <v>69</v>
      </c>
      <c r="B146" s="59" t="s">
        <v>156</v>
      </c>
      <c r="C146" s="189" t="s">
        <v>458</v>
      </c>
      <c r="D146" s="421">
        <v>422</v>
      </c>
    </row>
    <row r="147" spans="1:4" ht="15">
      <c r="A147" s="1"/>
      <c r="B147" s="59"/>
      <c r="C147" s="189"/>
      <c r="D147" s="421"/>
    </row>
    <row r="148" spans="1:4" ht="15">
      <c r="A148" s="1">
        <v>70</v>
      </c>
      <c r="B148" s="59" t="s">
        <v>157</v>
      </c>
      <c r="C148" s="189" t="s">
        <v>458</v>
      </c>
      <c r="D148" s="421">
        <v>388</v>
      </c>
    </row>
    <row r="149" spans="1:4" ht="15">
      <c r="A149" s="1"/>
      <c r="B149" s="59"/>
      <c r="C149" s="189"/>
      <c r="D149" s="421"/>
    </row>
    <row r="150" spans="1:4" ht="15">
      <c r="A150" s="1">
        <v>71</v>
      </c>
      <c r="B150" s="59" t="s">
        <v>158</v>
      </c>
      <c r="C150" s="189" t="s">
        <v>468</v>
      </c>
      <c r="D150" s="421">
        <v>409</v>
      </c>
    </row>
    <row r="151" spans="1:4" ht="15">
      <c r="A151" s="1"/>
      <c r="B151" s="59"/>
      <c r="C151" s="189"/>
      <c r="D151" s="421"/>
    </row>
    <row r="152" spans="1:4" ht="15">
      <c r="A152" s="1">
        <v>72</v>
      </c>
      <c r="B152" s="59" t="s">
        <v>159</v>
      </c>
      <c r="C152" s="189" t="s">
        <v>458</v>
      </c>
      <c r="D152" s="421">
        <v>420</v>
      </c>
    </row>
    <row r="153" spans="1:4" ht="15">
      <c r="A153" s="1"/>
      <c r="B153" s="59"/>
      <c r="C153" s="189"/>
      <c r="D153" s="421"/>
    </row>
    <row r="154" spans="1:4" ht="15">
      <c r="A154" s="1">
        <v>73</v>
      </c>
      <c r="B154" s="59" t="s">
        <v>160</v>
      </c>
      <c r="C154" s="189" t="s">
        <v>457</v>
      </c>
      <c r="D154" s="421">
        <v>399</v>
      </c>
    </row>
    <row r="155" spans="1:4" ht="15">
      <c r="A155" s="1"/>
      <c r="B155" s="59"/>
      <c r="C155" s="189"/>
      <c r="D155" s="421"/>
    </row>
    <row r="156" spans="1:4" ht="15">
      <c r="A156" s="1">
        <v>74</v>
      </c>
      <c r="B156" s="59" t="s">
        <v>161</v>
      </c>
      <c r="C156" s="189" t="s">
        <v>459</v>
      </c>
      <c r="D156" s="421">
        <v>381</v>
      </c>
    </row>
    <row r="157" spans="1:4" ht="15">
      <c r="A157" s="1"/>
      <c r="B157" s="59"/>
      <c r="C157" s="189"/>
      <c r="D157" s="421"/>
    </row>
    <row r="158" spans="1:4" ht="15">
      <c r="A158" s="1">
        <v>75</v>
      </c>
      <c r="B158" s="59" t="s">
        <v>162</v>
      </c>
      <c r="C158" s="189" t="s">
        <v>458</v>
      </c>
      <c r="D158" s="421">
        <v>382</v>
      </c>
    </row>
    <row r="159" spans="1:4" ht="15">
      <c r="A159" s="1"/>
      <c r="B159" s="59"/>
      <c r="C159" s="189"/>
      <c r="D159" s="421"/>
    </row>
    <row r="160" spans="1:4" ht="15">
      <c r="A160" s="1">
        <v>76</v>
      </c>
      <c r="B160" s="59" t="s">
        <v>163</v>
      </c>
      <c r="C160" s="189" t="s">
        <v>458</v>
      </c>
      <c r="D160" s="421">
        <v>391</v>
      </c>
    </row>
    <row r="161" spans="1:4" ht="15">
      <c r="A161" s="1"/>
      <c r="B161" s="59"/>
      <c r="C161" s="189"/>
      <c r="D161" s="421"/>
    </row>
    <row r="162" spans="1:4" ht="15">
      <c r="A162" s="1">
        <v>77</v>
      </c>
      <c r="B162" s="59" t="s">
        <v>164</v>
      </c>
      <c r="C162" s="189" t="s">
        <v>520</v>
      </c>
      <c r="D162" s="421">
        <v>433</v>
      </c>
    </row>
    <row r="163" spans="1:4" ht="15">
      <c r="A163" s="1"/>
      <c r="B163" s="59"/>
      <c r="C163" s="189"/>
      <c r="D163" s="421"/>
    </row>
    <row r="164" spans="1:4" ht="15">
      <c r="A164" s="1">
        <v>78</v>
      </c>
      <c r="B164" s="59" t="s">
        <v>165</v>
      </c>
      <c r="C164" s="189" t="s">
        <v>458</v>
      </c>
      <c r="D164" s="421">
        <v>415</v>
      </c>
    </row>
    <row r="165" spans="1:4" ht="15">
      <c r="A165" s="1"/>
      <c r="B165" s="59"/>
      <c r="C165" s="189"/>
      <c r="D165" s="421"/>
    </row>
    <row r="166" spans="1:4" ht="15">
      <c r="A166" s="1">
        <v>79</v>
      </c>
      <c r="B166" s="59" t="s">
        <v>166</v>
      </c>
      <c r="C166" s="189" t="s">
        <v>458</v>
      </c>
      <c r="D166" s="421">
        <v>430</v>
      </c>
    </row>
    <row r="167" spans="1:4" ht="15">
      <c r="A167" s="1"/>
      <c r="B167" s="59"/>
      <c r="C167" s="189"/>
      <c r="D167" s="421"/>
    </row>
    <row r="168" spans="1:4" ht="15">
      <c r="A168" s="1">
        <v>80</v>
      </c>
      <c r="B168" s="59" t="s">
        <v>167</v>
      </c>
      <c r="C168" s="189" t="s">
        <v>458</v>
      </c>
      <c r="D168" s="421">
        <v>314</v>
      </c>
    </row>
    <row r="169" spans="1:4" ht="15">
      <c r="A169" s="1"/>
      <c r="B169" s="59"/>
      <c r="C169" s="189"/>
      <c r="D169" s="421"/>
    </row>
    <row r="170" spans="1:4" ht="15">
      <c r="A170" s="1">
        <v>81</v>
      </c>
      <c r="B170" s="59" t="s">
        <v>168</v>
      </c>
      <c r="C170" s="189" t="s">
        <v>461</v>
      </c>
      <c r="D170" s="421">
        <v>402.24900000000002</v>
      </c>
    </row>
    <row r="171" spans="1:4" ht="15">
      <c r="A171" s="1"/>
      <c r="B171" s="59"/>
      <c r="C171" s="189"/>
      <c r="D171" s="422"/>
    </row>
    <row r="172" spans="1:4" ht="15">
      <c r="A172" s="1">
        <v>82</v>
      </c>
      <c r="B172" s="60" t="s">
        <v>38</v>
      </c>
      <c r="C172" s="189" t="s">
        <v>472</v>
      </c>
      <c r="D172" s="422">
        <v>394</v>
      </c>
    </row>
    <row r="173" spans="1:4">
      <c r="A173" s="6"/>
      <c r="B173" s="59"/>
      <c r="C173" s="59"/>
      <c r="D173" s="422"/>
    </row>
    <row r="174" spans="1:4">
      <c r="A174" s="6">
        <f>A172+1</f>
        <v>83</v>
      </c>
      <c r="B174" s="59" t="s">
        <v>169</v>
      </c>
      <c r="C174" s="59" t="s">
        <v>459</v>
      </c>
      <c r="D174" s="422">
        <v>419.44499999999999</v>
      </c>
    </row>
    <row r="175" spans="1:4">
      <c r="A175" s="6"/>
      <c r="B175" s="59"/>
      <c r="C175" s="59"/>
      <c r="D175" s="422"/>
    </row>
    <row r="176" spans="1:4">
      <c r="A176" s="6">
        <f>A174+1</f>
        <v>84</v>
      </c>
      <c r="B176" s="60" t="s">
        <v>39</v>
      </c>
      <c r="C176" s="60" t="s">
        <v>476</v>
      </c>
      <c r="D176" s="422">
        <v>402</v>
      </c>
    </row>
    <row r="177" spans="1:18" ht="15">
      <c r="A177" s="6"/>
      <c r="B177" s="59"/>
      <c r="C177" s="59"/>
      <c r="D177" s="4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468</v>
      </c>
      <c r="D178" s="422">
        <v>426</v>
      </c>
      <c r="M178" s="3"/>
      <c r="N178" s="3"/>
      <c r="O178" s="3"/>
      <c r="P178" s="3"/>
      <c r="Q178" s="4"/>
      <c r="R178" s="4"/>
    </row>
    <row r="179" spans="1:18" ht="15">
      <c r="A179" s="418"/>
      <c r="B179" s="59"/>
      <c r="C179" s="59"/>
      <c r="D179" s="422"/>
      <c r="M179" s="3"/>
      <c r="N179" s="3"/>
      <c r="O179" s="3"/>
      <c r="P179" s="3"/>
      <c r="Q179" s="4"/>
      <c r="R179" s="4"/>
    </row>
    <row r="180" spans="1:18" ht="15">
      <c r="A180" s="418">
        <f>A178+1</f>
        <v>86</v>
      </c>
      <c r="B180" s="59" t="s">
        <v>40</v>
      </c>
      <c r="C180" s="59" t="s">
        <v>459</v>
      </c>
      <c r="D180" s="422">
        <v>429.05900000000003</v>
      </c>
      <c r="M180" s="3"/>
      <c r="N180" s="3"/>
      <c r="O180" s="3"/>
      <c r="P180" s="3"/>
      <c r="Q180" s="4"/>
      <c r="R180" s="4"/>
    </row>
    <row r="181" spans="1:18" ht="15">
      <c r="A181" s="418"/>
      <c r="B181" s="59"/>
      <c r="C181" s="59"/>
      <c r="D181" s="422"/>
      <c r="M181" s="3"/>
      <c r="N181" s="3"/>
      <c r="O181" s="3"/>
      <c r="P181" s="3"/>
      <c r="Q181" s="4"/>
      <c r="R181" s="4"/>
    </row>
    <row r="182" spans="1:18" ht="15">
      <c r="A182" s="418">
        <f>A180+1</f>
        <v>87</v>
      </c>
      <c r="B182" s="59" t="s">
        <v>632</v>
      </c>
      <c r="C182" s="59" t="s">
        <v>472</v>
      </c>
      <c r="D182" s="422">
        <v>336</v>
      </c>
      <c r="M182" s="3"/>
      <c r="N182" s="3"/>
      <c r="O182" s="3"/>
      <c r="P182" s="3"/>
      <c r="Q182" s="4"/>
      <c r="R182" s="4"/>
    </row>
    <row r="183" spans="1:18" ht="15">
      <c r="A183" s="418"/>
      <c r="B183" s="59"/>
      <c r="C183" s="59"/>
      <c r="D183" s="422"/>
      <c r="M183" s="3"/>
      <c r="N183" s="3"/>
      <c r="O183" s="3"/>
      <c r="P183" s="3"/>
      <c r="Q183" s="4"/>
      <c r="R183" s="4"/>
    </row>
    <row r="184" spans="1:18" ht="15">
      <c r="A184" s="418">
        <f>A182+1</f>
        <v>88</v>
      </c>
      <c r="B184" s="59" t="s">
        <v>628</v>
      </c>
      <c r="C184" s="59" t="s">
        <v>461</v>
      </c>
      <c r="D184" s="422">
        <v>441</v>
      </c>
      <c r="M184" s="3"/>
      <c r="N184" s="3"/>
      <c r="O184" s="3"/>
      <c r="P184" s="3"/>
      <c r="Q184" s="4"/>
      <c r="R184" s="4"/>
    </row>
    <row r="185" spans="1:18" ht="15">
      <c r="A185" s="418"/>
      <c r="B185" s="59"/>
      <c r="C185" s="59"/>
      <c r="D185" s="422"/>
      <c r="M185" s="3"/>
      <c r="N185" s="3"/>
      <c r="O185" s="3"/>
      <c r="P185" s="3"/>
      <c r="Q185" s="4"/>
      <c r="R185" s="4"/>
    </row>
    <row r="186" spans="1:18" ht="15">
      <c r="A186" s="418">
        <f>A184+1</f>
        <v>89</v>
      </c>
      <c r="B186" s="59" t="s">
        <v>629</v>
      </c>
      <c r="C186" s="59" t="s">
        <v>520</v>
      </c>
      <c r="D186" s="4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4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471</v>
      </c>
      <c r="D188" s="4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4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472</v>
      </c>
      <c r="D190" s="4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4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473</v>
      </c>
      <c r="D192" s="4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4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465</v>
      </c>
      <c r="D194" s="4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4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460</v>
      </c>
      <c r="D196" s="4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4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460</v>
      </c>
      <c r="D198" s="4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4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474</v>
      </c>
      <c r="D200" s="4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4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475</v>
      </c>
      <c r="D202" s="4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4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460</v>
      </c>
      <c r="D204" s="4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4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460</v>
      </c>
      <c r="D206" s="4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4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459</v>
      </c>
      <c r="D208" s="4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4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458</v>
      </c>
      <c r="D210" s="4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4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476</v>
      </c>
      <c r="D212" s="4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4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459</v>
      </c>
      <c r="D214" s="4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4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458</v>
      </c>
      <c r="D216" s="4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4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459</v>
      </c>
      <c r="D218" s="4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4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459</v>
      </c>
      <c r="D220" s="4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4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458</v>
      </c>
      <c r="D222" s="4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4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460</v>
      </c>
      <c r="D224" s="4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422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4" t="s">
        <v>457</v>
      </c>
      <c r="D226" s="4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4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468</v>
      </c>
      <c r="D228" s="4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4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460</v>
      </c>
      <c r="D230" s="4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4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466</v>
      </c>
      <c r="D232" s="4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4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475</v>
      </c>
      <c r="D234" s="4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4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520</v>
      </c>
      <c r="D236" s="4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4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458</v>
      </c>
      <c r="D238" s="4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4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460</v>
      </c>
      <c r="D240" s="4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4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566</v>
      </c>
      <c r="D242" s="4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4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566</v>
      </c>
      <c r="D244" s="4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4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568</v>
      </c>
      <c r="C246" s="202" t="s">
        <v>460</v>
      </c>
      <c r="D246" s="4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4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465</v>
      </c>
      <c r="D248" s="4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4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570</v>
      </c>
      <c r="C250" s="202" t="s">
        <v>468</v>
      </c>
      <c r="D250" s="4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424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571</v>
      </c>
      <c r="C252" s="202" t="s">
        <v>458</v>
      </c>
      <c r="D252" s="424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424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572</v>
      </c>
      <c r="C254" s="202" t="s">
        <v>458</v>
      </c>
      <c r="D254" s="424">
        <v>357</v>
      </c>
    </row>
    <row r="255" spans="1:18" ht="15">
      <c r="A255" s="361"/>
      <c r="B255" s="202"/>
      <c r="C255" s="202"/>
      <c r="D255" s="424"/>
    </row>
    <row r="256" spans="1:18" ht="15">
      <c r="A256" s="361">
        <f>A254+1</f>
        <v>124</v>
      </c>
      <c r="B256" s="360" t="s">
        <v>573</v>
      </c>
      <c r="C256" s="202" t="s">
        <v>458</v>
      </c>
      <c r="D256" s="424">
        <v>372.20100000000002</v>
      </c>
    </row>
    <row r="257" spans="1:4" ht="15">
      <c r="A257" s="361"/>
      <c r="B257" s="202"/>
      <c r="C257" s="202"/>
      <c r="D257" s="424"/>
    </row>
    <row r="258" spans="1:4" ht="15">
      <c r="A258" s="361">
        <f>A256+1</f>
        <v>125</v>
      </c>
      <c r="B258" s="60" t="s">
        <v>579</v>
      </c>
      <c r="C258" s="202" t="s">
        <v>465</v>
      </c>
      <c r="D258" s="424">
        <v>358.08600000000001</v>
      </c>
    </row>
    <row r="259" spans="1:4">
      <c r="A259" s="361"/>
      <c r="B259" s="362"/>
      <c r="C259" s="362"/>
      <c r="D259" s="425"/>
    </row>
    <row r="260" spans="1:4" ht="18">
      <c r="A260" s="361">
        <f>A258+1</f>
        <v>126</v>
      </c>
      <c r="B260" s="60" t="s">
        <v>580</v>
      </c>
      <c r="C260" s="363" t="s">
        <v>523</v>
      </c>
      <c r="D260" s="424">
        <v>278.70400000000001</v>
      </c>
    </row>
    <row r="261" spans="1:4" ht="18">
      <c r="A261" s="361"/>
      <c r="B261" s="364"/>
      <c r="C261" s="365"/>
      <c r="D261" s="425"/>
    </row>
    <row r="262" spans="1:4" ht="18">
      <c r="A262" s="361">
        <f>A260+1</f>
        <v>127</v>
      </c>
      <c r="B262" s="60" t="s">
        <v>581</v>
      </c>
      <c r="C262" s="363" t="s">
        <v>523</v>
      </c>
      <c r="D262" s="424">
        <v>135.00800000000001</v>
      </c>
    </row>
    <row r="263" spans="1:4">
      <c r="D263" s="197">
        <f>SUM(D10:D262)</f>
        <v>47836.987999999998</v>
      </c>
    </row>
    <row r="264" spans="1:4">
      <c r="B264" s="2" t="s">
        <v>630</v>
      </c>
      <c r="C264" t="s">
        <v>89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7" bestFit="1" customWidth="1"/>
  </cols>
  <sheetData>
    <row r="6" spans="1:27">
      <c r="A6" s="743" t="s">
        <v>235</v>
      </c>
      <c r="B6" s="743"/>
      <c r="C6" s="743"/>
      <c r="D6" s="743"/>
      <c r="E6" s="743"/>
      <c r="F6" s="743"/>
    </row>
    <row r="7" spans="1:27" ht="15" thickBot="1"/>
    <row r="8" spans="1:27" ht="15" customHeight="1">
      <c r="A8" s="744" t="s">
        <v>12</v>
      </c>
      <c r="B8" s="746" t="s">
        <v>13</v>
      </c>
      <c r="C8" s="748" t="s">
        <v>14</v>
      </c>
      <c r="D8" s="750" t="s">
        <v>15</v>
      </c>
    </row>
    <row r="9" spans="1:27" ht="15" thickBot="1">
      <c r="A9" s="745"/>
      <c r="B9" s="747"/>
      <c r="C9" s="749"/>
      <c r="D9" s="751"/>
    </row>
    <row r="10" spans="1:27" ht="19.2" customHeight="1" thickBot="1">
      <c r="A10" s="5">
        <v>1</v>
      </c>
      <c r="B10" s="58" t="s">
        <v>23</v>
      </c>
      <c r="C10" s="202" t="s">
        <v>474</v>
      </c>
      <c r="D10" s="281">
        <v>249.63499999999999</v>
      </c>
      <c r="E10" s="70" t="s">
        <v>225</v>
      </c>
      <c r="F10" s="752"/>
      <c r="G10" s="740"/>
      <c r="H10" s="740"/>
      <c r="I10" s="740"/>
      <c r="J10" s="740"/>
      <c r="K10" s="741"/>
      <c r="L10" s="741"/>
      <c r="M10" s="741"/>
      <c r="N10" s="741"/>
      <c r="O10" s="741"/>
      <c r="P10" s="741"/>
      <c r="Q10" s="741"/>
      <c r="R10" s="741"/>
      <c r="S10" s="742"/>
    </row>
    <row r="11" spans="1:27" ht="19.2" customHeight="1">
      <c r="A11" s="1"/>
      <c r="B11" s="59"/>
      <c r="C11" s="202"/>
      <c r="D11" s="281"/>
      <c r="F11" s="369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2" t="s">
        <v>521</v>
      </c>
      <c r="D12" s="281">
        <v>425</v>
      </c>
      <c r="E12" s="368" t="s">
        <v>594</v>
      </c>
      <c r="F12" s="370">
        <f>COUNTIF($C$10:$C$253,"1DA-0")</f>
        <v>0</v>
      </c>
      <c r="G12" s="122">
        <f>COUNTIF($C$10:$C$253,"1DA-1.5")</f>
        <v>3</v>
      </c>
      <c r="H12" s="122">
        <f>COUNTIF($C$10:$C$253,"1DA-3")</f>
        <v>18</v>
      </c>
      <c r="I12" s="122">
        <f>COUNTIF($C$10:$C$253,"1DA-4.5")</f>
        <v>0</v>
      </c>
      <c r="J12" s="122">
        <f>COUNTIF($C$10:$C$253,"1DA-6")</f>
        <v>0</v>
      </c>
      <c r="K12" s="122">
        <f>COUNTIF($C$10:$C$253,"1DA+0")</f>
        <v>34</v>
      </c>
      <c r="L12" s="122">
        <f>COUNTIF($C$10:$C$253,"1DA+1.5")</f>
        <v>0</v>
      </c>
      <c r="M12" s="122">
        <f>COUNTIF($C$10:$C$253,"1DA+3")</f>
        <v>19</v>
      </c>
      <c r="N12" s="122">
        <f>COUNTIF($C$10:$C$253,"1DA+4.5")</f>
        <v>0</v>
      </c>
      <c r="O12" s="122">
        <f>COUNTIF($C$10:$C$253,"1DA+6")</f>
        <v>7</v>
      </c>
      <c r="P12" s="122">
        <f>COUNTIF($C$10:$C$253,"1DA+9")</f>
        <v>6</v>
      </c>
      <c r="Q12" s="122">
        <f>COUNTIF($C$10:$C$253,"1DA+18")</f>
        <v>0</v>
      </c>
      <c r="R12" s="43"/>
      <c r="S12" s="80">
        <f t="shared" ref="S12:S18" si="0">SUM(F12:R12)</f>
        <v>87</v>
      </c>
      <c r="T12" s="291">
        <f>S28-S12</f>
        <v>2</v>
      </c>
    </row>
    <row r="13" spans="1:27" ht="16.2" thickBot="1">
      <c r="A13" s="1"/>
      <c r="B13" s="59"/>
      <c r="C13" s="202"/>
      <c r="D13" s="281"/>
      <c r="E13" s="368" t="s">
        <v>595</v>
      </c>
      <c r="F13" s="370">
        <f>COUNTIF($C$10:$C$253,"1DB1-0")</f>
        <v>0</v>
      </c>
      <c r="G13" s="122">
        <f>COUNTIF($C$10:$C$253,"1DB1-1.5")</f>
        <v>0</v>
      </c>
      <c r="H13" s="122">
        <f>COUNTIF($C$10:$C$253,"1DB1-3")</f>
        <v>1</v>
      </c>
      <c r="I13" s="122">
        <f>COUNTIF($C$10:$C$253,"1DB1-4.5")</f>
        <v>0</v>
      </c>
      <c r="J13" s="122">
        <f>COUNTIF($C$10:$C$253,"1DB1-6")</f>
        <v>0</v>
      </c>
      <c r="K13" s="122">
        <f>COUNTIF($C$10:$C$253,"1DB1+0")</f>
        <v>7</v>
      </c>
      <c r="L13" s="122">
        <f>COUNTIF($C$10:$C$253,"1DB1+1.5")</f>
        <v>0</v>
      </c>
      <c r="M13" s="122">
        <f>COUNTIF($C$10:$C$253,"1DB1+3")</f>
        <v>1</v>
      </c>
      <c r="N13" s="122">
        <f>COUNTIF($C$10:$C$253,"1DB1+4.5")</f>
        <v>0</v>
      </c>
      <c r="O13" s="122">
        <f>COUNTIF($C$10:$C$253,"1DB1+6")</f>
        <v>1</v>
      </c>
      <c r="P13" s="122">
        <f>COUNTIF($C$10:$C$253,"1DB1+9")</f>
        <v>4</v>
      </c>
      <c r="Q13" s="122">
        <f>COUNTIF($C$10:$C$253,"1DB1+18")</f>
        <v>0</v>
      </c>
      <c r="R13" s="43"/>
      <c r="S13" s="80">
        <f t="shared" si="0"/>
        <v>14</v>
      </c>
      <c r="T13" s="291">
        <f t="shared" ref="T13:T18" si="1">S29-S13</f>
        <v>0</v>
      </c>
      <c r="U13" s="6">
        <v>113</v>
      </c>
      <c r="V13" s="60" t="s">
        <v>54</v>
      </c>
      <c r="W13" s="284" t="s">
        <v>474</v>
      </c>
      <c r="Y13" s="202" t="s">
        <v>531</v>
      </c>
      <c r="Z13" s="202" t="s">
        <v>471</v>
      </c>
      <c r="AA13" s="353">
        <v>73.125</v>
      </c>
    </row>
    <row r="14" spans="1:27" ht="15.6">
      <c r="A14" s="1">
        <v>3</v>
      </c>
      <c r="B14" s="59" t="s">
        <v>118</v>
      </c>
      <c r="C14" s="189" t="s">
        <v>460</v>
      </c>
      <c r="D14" s="281">
        <v>425</v>
      </c>
      <c r="E14" s="368" t="s">
        <v>596</v>
      </c>
      <c r="F14" s="370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f>COUNTIF($C$10:$C$253,"1DB2+0")</f>
        <v>1</v>
      </c>
      <c r="L14" s="122">
        <f>COUNTIF($C$10:$C$253,"1DB2+1.5")</f>
        <v>0</v>
      </c>
      <c r="M14" s="122">
        <f>COUNTIF($C$10:$C$253,"1DB2+3")</f>
        <v>2</v>
      </c>
      <c r="N14" s="122">
        <f>COUNTIF($C$10:$C$253,"1DB2+4.5")</f>
        <v>0</v>
      </c>
      <c r="O14" s="122">
        <f>COUNTIF($C$10:$C$253,"1DB2+6")</f>
        <v>0</v>
      </c>
      <c r="P14" s="122">
        <f>COUNTIF($C$10:$C$253,"1DB2+9")</f>
        <v>1</v>
      </c>
      <c r="Q14" s="122">
        <f>COUNTIF($C$10:$C$253,"1DB2+18")</f>
        <v>0</v>
      </c>
      <c r="R14" s="43"/>
      <c r="S14" s="80">
        <f t="shared" si="0"/>
        <v>4</v>
      </c>
      <c r="T14" s="291">
        <f t="shared" si="1"/>
        <v>0</v>
      </c>
      <c r="U14" s="6"/>
      <c r="V14" s="59"/>
      <c r="W14" s="59"/>
      <c r="Y14" s="202"/>
      <c r="Z14" s="202"/>
      <c r="AA14" s="353"/>
    </row>
    <row r="15" spans="1:27" ht="15.6">
      <c r="A15" s="1"/>
      <c r="B15" s="59"/>
      <c r="C15" s="202"/>
      <c r="D15" s="281"/>
      <c r="E15" s="368" t="s">
        <v>597</v>
      </c>
      <c r="F15" s="370">
        <f>COUNTIF($C$10:$C$253,"1DC1-0")</f>
        <v>0</v>
      </c>
      <c r="G15" s="122">
        <f>COUNTIF($C$10:$C$253,"1DC1-1.5")</f>
        <v>0</v>
      </c>
      <c r="H15" s="122">
        <f>COUNTIF($C$10:$C$253,"1DC1-3")</f>
        <v>1</v>
      </c>
      <c r="I15" s="122">
        <f>COUNTIF($C$10:$C$253,"1DC1-4.5")</f>
        <v>0</v>
      </c>
      <c r="J15" s="122">
        <f>COUNTIF($C$10:$C$253,"1DC1-6")</f>
        <v>0</v>
      </c>
      <c r="K15" s="122">
        <f>COUNTIF($C$10:$C$253,"1DC1+0")</f>
        <v>2</v>
      </c>
      <c r="L15" s="122">
        <f>COUNTIF($C$10:$C$253,"1DC1+1.5")</f>
        <v>0</v>
      </c>
      <c r="M15" s="122">
        <f>COUNTIF($C$10:$C$253,"1DC1+3")</f>
        <v>2</v>
      </c>
      <c r="N15" s="122">
        <f>COUNTIF($C$10:$C$253,"1DC1+4.5")</f>
        <v>0</v>
      </c>
      <c r="O15" s="122">
        <f>COUNTIF($C$10:$C$253,"1DC1+6")</f>
        <v>2</v>
      </c>
      <c r="P15" s="122">
        <f>COUNTIF($C$10:$C$253,"1DC1+9")</f>
        <v>0</v>
      </c>
      <c r="Q15" s="122">
        <f>COUNTIF($C$10:$C$253,"1DC1+18")</f>
        <v>0</v>
      </c>
      <c r="R15" s="43"/>
      <c r="S15" s="80">
        <f t="shared" si="0"/>
        <v>7</v>
      </c>
      <c r="T15" s="291">
        <f t="shared" si="1"/>
        <v>0</v>
      </c>
      <c r="U15" s="6">
        <f>U13+1</f>
        <v>114</v>
      </c>
      <c r="V15" s="59" t="s">
        <v>187</v>
      </c>
      <c r="W15" s="59" t="s">
        <v>458</v>
      </c>
      <c r="Y15" s="202" t="s">
        <v>187</v>
      </c>
      <c r="Z15" s="202" t="s">
        <v>458</v>
      </c>
      <c r="AA15" s="353">
        <v>71.430000000000007</v>
      </c>
    </row>
    <row r="16" spans="1:27" ht="15.6">
      <c r="A16" s="1">
        <v>4</v>
      </c>
      <c r="B16" s="59" t="s">
        <v>119</v>
      </c>
      <c r="C16" s="189" t="s">
        <v>468</v>
      </c>
      <c r="D16" s="281">
        <v>390</v>
      </c>
      <c r="E16" s="368" t="s">
        <v>598</v>
      </c>
      <c r="F16" s="370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f>COUNTIF($C$10:$C$253,"1DC2+0")</f>
        <v>3</v>
      </c>
      <c r="L16" s="122">
        <f>COUNTIF($C$10:$C$253,"1DC2+1.5")</f>
        <v>0</v>
      </c>
      <c r="M16" s="122">
        <f>COUNTIF($C$10:$C$253,"1DC2+3")</f>
        <v>1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>
        <f t="shared" si="1"/>
        <v>1</v>
      </c>
      <c r="U16" s="6"/>
      <c r="V16" s="59"/>
      <c r="W16" s="59"/>
      <c r="Y16" s="202"/>
      <c r="Z16" s="202"/>
      <c r="AA16" s="353"/>
    </row>
    <row r="17" spans="1:27" ht="15.6">
      <c r="A17" s="1"/>
      <c r="B17" s="59"/>
      <c r="C17" s="202"/>
      <c r="D17" s="281"/>
      <c r="E17" s="368" t="s">
        <v>599</v>
      </c>
      <c r="F17" s="370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f>COUNTIF($C$10:$C$253,"1DD45+0")</f>
        <v>0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f>COUNTIF($C$10:$C$253,"1DD45+18")</f>
        <v>2</v>
      </c>
      <c r="R17" s="43"/>
      <c r="S17" s="80">
        <f t="shared" si="0"/>
        <v>2</v>
      </c>
      <c r="T17" s="291">
        <f t="shared" si="1"/>
        <v>0</v>
      </c>
      <c r="U17" s="6">
        <f>U15+1</f>
        <v>115</v>
      </c>
      <c r="V17" s="59" t="s">
        <v>188</v>
      </c>
      <c r="W17" s="59" t="s">
        <v>468</v>
      </c>
      <c r="Y17" s="202" t="s">
        <v>188</v>
      </c>
      <c r="Z17" s="202" t="s">
        <v>458</v>
      </c>
      <c r="AA17" s="353">
        <v>71.430000000000007</v>
      </c>
    </row>
    <row r="18" spans="1:27" ht="16.2" thickBot="1">
      <c r="A18" s="1">
        <v>5</v>
      </c>
      <c r="B18" s="59" t="s">
        <v>120</v>
      </c>
      <c r="C18" s="189" t="s">
        <v>461</v>
      </c>
      <c r="D18" s="281">
        <v>265</v>
      </c>
      <c r="E18" s="368" t="s">
        <v>600</v>
      </c>
      <c r="F18" s="371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f>COUNTIF($C$10:$C$253,"1DD60+0")</f>
        <v>0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f>COUNTIF($C$10:$C$253,"1DD60+6")</f>
        <v>2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2</v>
      </c>
      <c r="T18" s="291">
        <f t="shared" si="1"/>
        <v>2</v>
      </c>
      <c r="U18" s="6"/>
      <c r="V18" s="59"/>
      <c r="W18" s="59"/>
      <c r="Y18" s="202"/>
      <c r="Z18" s="202"/>
      <c r="AA18" s="353"/>
    </row>
    <row r="19" spans="1:27" ht="16.2" thickBot="1">
      <c r="A19" s="1"/>
      <c r="B19" s="59"/>
      <c r="C19" s="202"/>
      <c r="D19" s="281"/>
      <c r="E19" s="368"/>
      <c r="F19" s="372">
        <f>SUM(F12:F18)</f>
        <v>0</v>
      </c>
      <c r="G19" s="124">
        <f t="shared" ref="G19:S19" si="2">SUM(G12:G18)</f>
        <v>3</v>
      </c>
      <c r="H19" s="124">
        <f t="shared" si="2"/>
        <v>20</v>
      </c>
      <c r="I19" s="124">
        <f t="shared" si="2"/>
        <v>0</v>
      </c>
      <c r="J19" s="124">
        <f t="shared" si="2"/>
        <v>0</v>
      </c>
      <c r="K19" s="124">
        <f t="shared" si="2"/>
        <v>47</v>
      </c>
      <c r="L19" s="124">
        <f t="shared" si="2"/>
        <v>0</v>
      </c>
      <c r="M19" s="124">
        <f t="shared" si="2"/>
        <v>25</v>
      </c>
      <c r="N19" s="124">
        <f t="shared" si="2"/>
        <v>0</v>
      </c>
      <c r="O19" s="124">
        <f t="shared" si="2"/>
        <v>14</v>
      </c>
      <c r="P19" s="124">
        <f t="shared" si="2"/>
        <v>11</v>
      </c>
      <c r="Q19" s="124">
        <f t="shared" si="2"/>
        <v>2</v>
      </c>
      <c r="R19" s="78"/>
      <c r="S19" s="79">
        <f t="shared" si="2"/>
        <v>122</v>
      </c>
      <c r="U19" s="6">
        <f>U17+1</f>
        <v>116</v>
      </c>
      <c r="V19" s="59" t="s">
        <v>189</v>
      </c>
      <c r="W19" s="59" t="s">
        <v>458</v>
      </c>
      <c r="Y19" s="202" t="s">
        <v>189</v>
      </c>
      <c r="Z19" s="202" t="s">
        <v>460</v>
      </c>
      <c r="AA19" s="353">
        <v>68.430000000000007</v>
      </c>
    </row>
    <row r="20" spans="1:27" ht="15.6">
      <c r="A20" s="1">
        <v>6</v>
      </c>
      <c r="B20" s="59" t="s">
        <v>121</v>
      </c>
      <c r="C20" s="189" t="s">
        <v>459</v>
      </c>
      <c r="D20" s="281">
        <v>510</v>
      </c>
      <c r="E20" s="368"/>
      <c r="U20" s="6"/>
      <c r="V20" s="59"/>
      <c r="W20" s="59"/>
      <c r="Y20" s="202"/>
      <c r="Z20" s="202"/>
      <c r="AA20" s="353"/>
    </row>
    <row r="21" spans="1:27" ht="15.6">
      <c r="A21" s="1"/>
      <c r="B21" s="59"/>
      <c r="C21" s="202"/>
      <c r="D21" s="281"/>
      <c r="E21" s="368"/>
      <c r="U21" s="6">
        <f>U19+1</f>
        <v>117</v>
      </c>
      <c r="V21" s="59" t="s">
        <v>190</v>
      </c>
      <c r="W21" s="59" t="s">
        <v>459</v>
      </c>
      <c r="Y21" s="202" t="s">
        <v>565</v>
      </c>
      <c r="Z21" s="202" t="s">
        <v>566</v>
      </c>
      <c r="AA21" s="353">
        <v>76.525000000000006</v>
      </c>
    </row>
    <row r="22" spans="1:27" ht="15.6">
      <c r="A22" s="1">
        <v>7</v>
      </c>
      <c r="B22" s="59" t="s">
        <v>122</v>
      </c>
      <c r="C22" s="202" t="s">
        <v>463</v>
      </c>
      <c r="D22" s="281">
        <v>380</v>
      </c>
      <c r="E22" s="368"/>
      <c r="U22" s="6"/>
      <c r="V22" s="59"/>
      <c r="W22" s="59"/>
      <c r="Y22" s="202"/>
      <c r="Z22" s="202"/>
      <c r="AA22" s="353"/>
    </row>
    <row r="23" spans="1:27" ht="15.6">
      <c r="A23" s="1"/>
      <c r="B23" s="59"/>
      <c r="C23" s="202"/>
      <c r="D23" s="281"/>
      <c r="E23" s="368"/>
      <c r="U23" s="6">
        <f>U21+1</f>
        <v>118</v>
      </c>
      <c r="V23" s="60" t="s">
        <v>191</v>
      </c>
      <c r="W23" s="60" t="s">
        <v>522</v>
      </c>
      <c r="Y23" s="202" t="s">
        <v>567</v>
      </c>
      <c r="Z23" s="202" t="s">
        <v>566</v>
      </c>
      <c r="AA23" s="353">
        <v>76.525000000000006</v>
      </c>
    </row>
    <row r="24" spans="1:27" ht="15.6">
      <c r="A24" s="1">
        <v>8</v>
      </c>
      <c r="B24" s="59" t="s">
        <v>123</v>
      </c>
      <c r="C24" s="202" t="s">
        <v>463</v>
      </c>
      <c r="D24" s="281">
        <v>420</v>
      </c>
      <c r="E24" s="368"/>
      <c r="U24" s="6"/>
      <c r="V24" s="59"/>
      <c r="W24" s="59"/>
      <c r="Y24" s="202"/>
      <c r="Z24" s="202"/>
      <c r="AA24" s="353"/>
    </row>
    <row r="25" spans="1:27" ht="16.2" thickBot="1">
      <c r="A25" s="1"/>
      <c r="B25" s="59"/>
      <c r="C25" s="202"/>
      <c r="D25" s="281"/>
      <c r="E25" s="368"/>
      <c r="U25" s="6">
        <f>U23+1</f>
        <v>119</v>
      </c>
      <c r="V25" s="59" t="s">
        <v>192</v>
      </c>
      <c r="W25" s="59" t="s">
        <v>520</v>
      </c>
      <c r="Y25" s="202" t="s">
        <v>568</v>
      </c>
      <c r="Z25" s="202" t="s">
        <v>460</v>
      </c>
      <c r="AA25" s="353">
        <v>68.430000000000007</v>
      </c>
    </row>
    <row r="26" spans="1:27" ht="16.2" thickBot="1">
      <c r="A26" s="1">
        <v>9</v>
      </c>
      <c r="B26" s="59" t="s">
        <v>124</v>
      </c>
      <c r="C26" s="189" t="s">
        <v>460</v>
      </c>
      <c r="D26" s="281">
        <v>335</v>
      </c>
      <c r="E26" s="368"/>
      <c r="F26" s="740"/>
      <c r="G26" s="740"/>
      <c r="H26" s="740"/>
      <c r="I26" s="740"/>
      <c r="J26" s="740"/>
      <c r="K26" s="741"/>
      <c r="L26" s="741"/>
      <c r="M26" s="741"/>
      <c r="N26" s="741"/>
      <c r="O26" s="741"/>
      <c r="P26" s="741"/>
      <c r="Q26" s="741"/>
      <c r="R26" s="741"/>
      <c r="S26" s="742"/>
      <c r="U26" s="6"/>
      <c r="V26" s="59"/>
      <c r="W26" s="59"/>
      <c r="Y26" s="202"/>
      <c r="Z26" s="202"/>
      <c r="AA26" s="353"/>
    </row>
    <row r="27" spans="1:27" ht="15.6">
      <c r="A27" s="1"/>
      <c r="B27" s="59"/>
      <c r="C27" s="202"/>
      <c r="D27" s="281"/>
      <c r="E27" s="368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469</v>
      </c>
      <c r="Y27" s="202" t="s">
        <v>569</v>
      </c>
      <c r="Z27" s="202" t="s">
        <v>465</v>
      </c>
      <c r="AA27" s="353">
        <v>70.125</v>
      </c>
    </row>
    <row r="28" spans="1:27" ht="15.6">
      <c r="A28" s="1">
        <v>10</v>
      </c>
      <c r="B28" s="59" t="s">
        <v>125</v>
      </c>
      <c r="C28" s="189" t="s">
        <v>460</v>
      </c>
      <c r="D28" s="281">
        <v>345</v>
      </c>
      <c r="E28" s="368" t="s">
        <v>594</v>
      </c>
      <c r="F28" s="122">
        <f>COUNTIF($C$10:$C$253,"1DA-0")</f>
        <v>0</v>
      </c>
      <c r="G28" s="122">
        <f>COUNTIF($C$10:$C$262,"1DA-1.5")</f>
        <v>4</v>
      </c>
      <c r="H28" s="122">
        <f>COUNTIF($C$10:$C$262,"1DA-3")</f>
        <v>18</v>
      </c>
      <c r="I28" s="122">
        <f>COUNTIF($C$10:$C$262,"1DA-4.5")</f>
        <v>0</v>
      </c>
      <c r="J28" s="122">
        <f>COUNTIF($C$10:$C$262,"1DA-6")</f>
        <v>0</v>
      </c>
      <c r="K28" s="122">
        <f>COUNTIF($C$10:$C$262,"1DA+0")</f>
        <v>35</v>
      </c>
      <c r="L28" s="122">
        <f>COUNTIF($C$10:$C$262,"1DA+1.5")</f>
        <v>0</v>
      </c>
      <c r="M28" s="122">
        <f>COUNTIF($C$10:$C$262,"1DA+3")</f>
        <v>19</v>
      </c>
      <c r="N28" s="122">
        <f>COUNTIF($C$10:$C$262,"1DA+4.5")</f>
        <v>0</v>
      </c>
      <c r="O28" s="122">
        <f>COUNTIF($C$10:$C$262,"1DA+6")</f>
        <v>7</v>
      </c>
      <c r="P28" s="122">
        <f>COUNTIF($C$10:$C$262,"1DA+9")</f>
        <v>6</v>
      </c>
      <c r="Q28" s="122">
        <f>COUNTIF($C$10:$C$262,"1DA+18")</f>
        <v>0</v>
      </c>
      <c r="R28" s="43"/>
      <c r="S28" s="80">
        <f t="shared" ref="S28:S34" si="3">SUM(F28:R28)</f>
        <v>89</v>
      </c>
      <c r="U28" s="6"/>
      <c r="V28" s="59"/>
      <c r="W28" s="59"/>
      <c r="Y28" s="202"/>
      <c r="Z28" s="202"/>
      <c r="AA28" s="353"/>
    </row>
    <row r="29" spans="1:27" ht="15.6">
      <c r="A29" s="1"/>
      <c r="B29" s="59"/>
      <c r="C29" s="202"/>
      <c r="D29" s="281"/>
      <c r="E29" s="368" t="s">
        <v>595</v>
      </c>
      <c r="F29" s="122">
        <f>COUNTIF($C$10:$C$262,"1DB1-0")</f>
        <v>0</v>
      </c>
      <c r="G29" s="122">
        <f>COUNTIF($C$10:$C$262,"1DB1-1.5")</f>
        <v>0</v>
      </c>
      <c r="H29" s="122">
        <f>COUNTIF($C$10:$C$262,"1DB1-3")</f>
        <v>1</v>
      </c>
      <c r="I29" s="122">
        <f>COUNTIF($C$10:$C$262,"1DB1-4.5")</f>
        <v>0</v>
      </c>
      <c r="J29" s="122">
        <f>COUNTIF($C$10:$C$262,"1DB1-6")</f>
        <v>0</v>
      </c>
      <c r="K29" s="122">
        <f>COUNTIF($C$10:$C$262,"1DB1+0")</f>
        <v>7</v>
      </c>
      <c r="L29" s="122">
        <f>COUNTIF($C$10:$C$262,"1DB1+1.5")</f>
        <v>0</v>
      </c>
      <c r="M29" s="122">
        <f>COUNTIF($C$10:$C$262,"1DB1+3")</f>
        <v>1</v>
      </c>
      <c r="N29" s="122">
        <f>COUNTIF($C$10:$C$262,"1DB1+4.5")</f>
        <v>0</v>
      </c>
      <c r="O29" s="122">
        <f>COUNTIF($C$10:$C$262,"1DB1+6")</f>
        <v>1</v>
      </c>
      <c r="P29" s="122">
        <f>COUNTIF($C$10:$C$262,"1DB1+9")</f>
        <v>4</v>
      </c>
      <c r="Q29" s="122">
        <f>COUNTIF($C$10:$C$262,"1DB1+18")</f>
        <v>0</v>
      </c>
      <c r="R29" s="43"/>
      <c r="S29" s="80">
        <f t="shared" si="3"/>
        <v>14</v>
      </c>
      <c r="U29" s="6">
        <f>U27+1</f>
        <v>121</v>
      </c>
      <c r="V29" s="60" t="s">
        <v>194</v>
      </c>
      <c r="W29" s="60" t="s">
        <v>523</v>
      </c>
      <c r="Y29" s="202" t="s">
        <v>570</v>
      </c>
      <c r="Z29" s="202" t="s">
        <v>468</v>
      </c>
      <c r="AA29" s="353">
        <v>77.430000000000007</v>
      </c>
    </row>
    <row r="30" spans="1:27" ht="15.6">
      <c r="A30" s="1">
        <v>11</v>
      </c>
      <c r="B30" s="59" t="s">
        <v>126</v>
      </c>
      <c r="C30" s="189" t="s">
        <v>460</v>
      </c>
      <c r="D30" s="281">
        <v>365</v>
      </c>
      <c r="E30" s="368" t="s">
        <v>596</v>
      </c>
      <c r="F30" s="122">
        <f>COUNTIF($C$10:$C$262,"1DB2-0")</f>
        <v>0</v>
      </c>
      <c r="G30" s="122">
        <f>COUNTIF($C$10:$C$262,"1DB2-1.5")</f>
        <v>0</v>
      </c>
      <c r="H30" s="122">
        <f>COUNTIF($C$10:$C$262,"1DB2-3")</f>
        <v>0</v>
      </c>
      <c r="I30" s="122">
        <f>COUNTIF($C$10:$C$262,"1DB2-4.5")</f>
        <v>0</v>
      </c>
      <c r="J30" s="122">
        <f>COUNTIF($C$10:$C$262,"1DB2-6")</f>
        <v>0</v>
      </c>
      <c r="K30" s="122">
        <f>COUNTIF($C$10:$C$262,"1DB2+0")</f>
        <v>1</v>
      </c>
      <c r="L30" s="122">
        <f>COUNTIF($C$10:$C$262,"1DB2+1.5")</f>
        <v>0</v>
      </c>
      <c r="M30" s="122">
        <f>COUNTIF($C$10:$C$262,"1DB2+3")</f>
        <v>2</v>
      </c>
      <c r="N30" s="122">
        <f>COUNTIF($C$10:$C$262,"1DB2+4.5")</f>
        <v>0</v>
      </c>
      <c r="O30" s="122">
        <f>COUNTIF($C$10:$C$262,"1DB2+6")</f>
        <v>0</v>
      </c>
      <c r="P30" s="122">
        <f>COUNTIF($C$10:$C$262,"1DB2+9")</f>
        <v>1</v>
      </c>
      <c r="Q30" s="122">
        <f>COUNTIF($C$10:$C$262,"1DB2+18")</f>
        <v>0</v>
      </c>
      <c r="R30" s="43"/>
      <c r="S30" s="80">
        <f t="shared" si="3"/>
        <v>4</v>
      </c>
      <c r="U30" s="6"/>
      <c r="V30" s="59"/>
      <c r="W30" s="59"/>
      <c r="Y30" s="202"/>
      <c r="Z30" s="202"/>
      <c r="AA30" s="353"/>
    </row>
    <row r="31" spans="1:27" ht="15.6">
      <c r="A31" s="1"/>
      <c r="B31" s="59"/>
      <c r="C31" s="202"/>
      <c r="D31" s="281"/>
      <c r="E31" s="368" t="s">
        <v>597</v>
      </c>
      <c r="F31" s="122">
        <f>COUNTIF($C$10:$C$262,"1DC1-0")</f>
        <v>0</v>
      </c>
      <c r="G31" s="122">
        <f>COUNTIF($C$10:$C$262,"1DC1-1.5")</f>
        <v>0</v>
      </c>
      <c r="H31" s="122">
        <f>COUNTIF($C$10:$C$262,"1DC1-3")</f>
        <v>1</v>
      </c>
      <c r="I31" s="122">
        <f>COUNTIF($C$10:$C$262,"1DC1-4.5")</f>
        <v>0</v>
      </c>
      <c r="J31" s="122">
        <f>COUNTIF($C$10:$C$262,"1DC1-6")</f>
        <v>0</v>
      </c>
      <c r="K31" s="122">
        <f>COUNTIF($C$10:$C$262,"1DC1+0")</f>
        <v>2</v>
      </c>
      <c r="L31" s="122">
        <f>COUNTIF($C$10:$C$262,"1DC1+1.5")</f>
        <v>0</v>
      </c>
      <c r="M31" s="122">
        <f>COUNTIF($C$10:$C$262,"1DC1+3")</f>
        <v>2</v>
      </c>
      <c r="N31" s="122">
        <f>COUNTIF($C$10:$C$262,"1DC1+4.5")</f>
        <v>0</v>
      </c>
      <c r="O31" s="122">
        <f>COUNTIF($C$10:$C$262,"1DC1+6")</f>
        <v>2</v>
      </c>
      <c r="P31" s="122">
        <f>COUNTIF($C$10:$C$262,"1DC1+9")</f>
        <v>0</v>
      </c>
      <c r="Q31" s="122">
        <f>COUNTIF($C$10:$C$262,"1DC1+18")</f>
        <v>0</v>
      </c>
      <c r="R31" s="43"/>
      <c r="S31" s="80">
        <f t="shared" si="3"/>
        <v>7</v>
      </c>
      <c r="U31" s="6">
        <f>U29+1</f>
        <v>122</v>
      </c>
      <c r="V31" s="60" t="s">
        <v>89</v>
      </c>
      <c r="W31" s="60" t="s">
        <v>89</v>
      </c>
      <c r="Y31" s="202" t="s">
        <v>571</v>
      </c>
      <c r="Z31" s="202" t="s">
        <v>458</v>
      </c>
      <c r="AA31" s="353">
        <v>71.430000000000007</v>
      </c>
    </row>
    <row r="32" spans="1:27" ht="15.6">
      <c r="A32" s="1">
        <v>12</v>
      </c>
      <c r="B32" s="59" t="s">
        <v>127</v>
      </c>
      <c r="C32" s="189" t="s">
        <v>458</v>
      </c>
      <c r="D32" s="281">
        <v>356</v>
      </c>
      <c r="E32" s="368" t="s">
        <v>598</v>
      </c>
      <c r="F32" s="122">
        <f>COUNTIF($C$10:$C$262,"1DC2-0")</f>
        <v>0</v>
      </c>
      <c r="G32" s="122">
        <f>COUNTIF($C$10:$C$262,"1DC2-1.5")</f>
        <v>0</v>
      </c>
      <c r="H32" s="122">
        <f>COUNTIF($C$10:$C$262,"1DC2-3")</f>
        <v>0</v>
      </c>
      <c r="I32" s="122">
        <f>COUNTIF($C$10:$C$262,"1DC2-4.5")</f>
        <v>0</v>
      </c>
      <c r="J32" s="122">
        <f>COUNTIF($C$10:$C$262,"1DC2-6")</f>
        <v>0</v>
      </c>
      <c r="K32" s="122">
        <f>COUNTIF($C$10:$C$262,"1DC2+0")</f>
        <v>3</v>
      </c>
      <c r="L32" s="122">
        <f>COUNTIF($C$10:$C$262,"1DC2+1.5")</f>
        <v>0</v>
      </c>
      <c r="M32" s="122">
        <f>COUNTIF($C$10:$C$262,"1DC2+3")</f>
        <v>1</v>
      </c>
      <c r="N32" s="122">
        <f>COUNTIF($C$10:$C$262,"1DC2+4.5")</f>
        <v>0</v>
      </c>
      <c r="O32" s="122">
        <f>COUNTIF($C$10:$C$262,"1DC2+6")</f>
        <v>3</v>
      </c>
      <c r="P32" s="122">
        <f>COUNTIF($C$10:$C$262,"1DC2+9")</f>
        <v>0</v>
      </c>
      <c r="Q32" s="122">
        <f>COUNTIF($C$10:$C$262,"1DC2+18")</f>
        <v>0</v>
      </c>
      <c r="R32" s="43"/>
      <c r="S32" s="80">
        <f t="shared" si="3"/>
        <v>7</v>
      </c>
      <c r="U32" s="6"/>
      <c r="V32" s="33"/>
      <c r="W32" s="33"/>
      <c r="Y32" s="202"/>
      <c r="Z32" s="202"/>
      <c r="AA32" s="353"/>
    </row>
    <row r="33" spans="1:27" ht="15.6">
      <c r="A33" s="1"/>
      <c r="B33" s="59"/>
      <c r="C33" s="202"/>
      <c r="D33" s="281"/>
      <c r="E33" s="368" t="s">
        <v>599</v>
      </c>
      <c r="F33" s="122">
        <f>COUNTIF($C$10:$C$262,"1DD45-0")</f>
        <v>0</v>
      </c>
      <c r="G33" s="122">
        <f>COUNTIF($C$10:$C$262,"1DD45-1.5")</f>
        <v>0</v>
      </c>
      <c r="H33" s="122">
        <f>COUNTIF($C$10:$C$262,"1DD45-3")</f>
        <v>0</v>
      </c>
      <c r="I33" s="122">
        <f>COUNTIF($C$10:$C$262,"1DD45-4.5")</f>
        <v>0</v>
      </c>
      <c r="J33" s="122">
        <f>COUNTIF($C$10:$C$262,"1DD45-6")</f>
        <v>0</v>
      </c>
      <c r="K33" s="122">
        <f>COUNTIF($C$10:$C$262,"1DD45+0")</f>
        <v>0</v>
      </c>
      <c r="L33" s="122">
        <f>COUNTIF($C$10:$C$262,"1DD45+1.5")</f>
        <v>0</v>
      </c>
      <c r="M33" s="122">
        <f>COUNTIF($C$10:$C$262,"1DD45+3")</f>
        <v>0</v>
      </c>
      <c r="N33" s="122">
        <f>COUNTIF($C$10:$C$262,"1DD45+4.5")</f>
        <v>0</v>
      </c>
      <c r="O33" s="122">
        <f>COUNTIF($C$10:$C$262,"1DD45+6")</f>
        <v>0</v>
      </c>
      <c r="P33" s="122">
        <f>COUNTIF($C$10:$C$262,"1DD45+9")</f>
        <v>0</v>
      </c>
      <c r="Q33" s="122">
        <f>COUNTIF($C$10:$C$262,"1DD45+18")</f>
        <v>2</v>
      </c>
      <c r="R33" s="43"/>
      <c r="S33" s="80">
        <f t="shared" si="3"/>
        <v>2</v>
      </c>
      <c r="U33" s="2"/>
      <c r="V33" s="2"/>
      <c r="Y33" s="202" t="s">
        <v>572</v>
      </c>
      <c r="Z33" s="202" t="s">
        <v>458</v>
      </c>
      <c r="AA33" s="353">
        <v>71.430000000000007</v>
      </c>
    </row>
    <row r="34" spans="1:27" ht="16.2" thickBot="1">
      <c r="A34" s="1">
        <v>13</v>
      </c>
      <c r="B34" s="59" t="s">
        <v>128</v>
      </c>
      <c r="C34" s="189" t="s">
        <v>460</v>
      </c>
      <c r="D34" s="281">
        <v>332</v>
      </c>
      <c r="E34" s="368" t="s">
        <v>600</v>
      </c>
      <c r="F34" s="123">
        <f>COUNTIF($C$10:$C$262,"1DD60-0")</f>
        <v>0</v>
      </c>
      <c r="G34" s="123">
        <f>COUNTIF($C$10:$C$262,"1DD60-1.5")</f>
        <v>0</v>
      </c>
      <c r="H34" s="123">
        <f>COUNTIF($C$10:$C$262,"1DD60-3")</f>
        <v>0</v>
      </c>
      <c r="I34" s="123">
        <f>COUNTIF($C$10:$C$262,"1DD60-4.5")</f>
        <v>0</v>
      </c>
      <c r="J34" s="123">
        <f>COUNTIF($C$10:$C$262,"1DD60-6")</f>
        <v>0</v>
      </c>
      <c r="K34" s="123">
        <f>COUNTIF($C$10:$C$262,"1DD60+0")</f>
        <v>2</v>
      </c>
      <c r="L34" s="123">
        <f>COUNTIF($C$10:$C$262,"1DD60+1.5")</f>
        <v>0</v>
      </c>
      <c r="M34" s="123">
        <f>COUNTIF($C$10:$C$262,"1DD60+3")</f>
        <v>0</v>
      </c>
      <c r="N34" s="123">
        <f>COUNTIF($C$10:$C$262,"1DD60+4.5")</f>
        <v>0</v>
      </c>
      <c r="O34" s="123">
        <f>COUNTIF($C$10:$C$262,"1DD60+6")</f>
        <v>2</v>
      </c>
      <c r="P34" s="123">
        <f>COUNTIF($C$10:$C$262,"1DD60+9")</f>
        <v>0</v>
      </c>
      <c r="Q34" s="123">
        <f>COUNTIF($C$10:$C$262,"1DD60+18")</f>
        <v>0</v>
      </c>
      <c r="R34" s="44"/>
      <c r="S34" s="81">
        <f t="shared" si="3"/>
        <v>4</v>
      </c>
      <c r="U34" s="2"/>
      <c r="V34" s="2"/>
      <c r="Y34" s="202"/>
      <c r="Z34" s="202"/>
      <c r="AA34" s="353"/>
    </row>
    <row r="35" spans="1:27" ht="16.2" thickBot="1">
      <c r="A35" s="1"/>
      <c r="B35" s="59"/>
      <c r="C35" s="202"/>
      <c r="D35" s="281"/>
      <c r="E35" s="368"/>
      <c r="F35" s="124">
        <f>SUM(F28:F34)</f>
        <v>0</v>
      </c>
      <c r="G35" s="124">
        <f t="shared" ref="G35:Q35" si="4">SUM(G28:G34)</f>
        <v>4</v>
      </c>
      <c r="H35" s="124">
        <f t="shared" si="4"/>
        <v>20</v>
      </c>
      <c r="I35" s="124">
        <f t="shared" si="4"/>
        <v>0</v>
      </c>
      <c r="J35" s="124">
        <f t="shared" si="4"/>
        <v>0</v>
      </c>
      <c r="K35" s="124">
        <f t="shared" si="4"/>
        <v>50</v>
      </c>
      <c r="L35" s="124">
        <f t="shared" si="4"/>
        <v>0</v>
      </c>
      <c r="M35" s="124">
        <f t="shared" si="4"/>
        <v>25</v>
      </c>
      <c r="N35" s="124">
        <f t="shared" si="4"/>
        <v>0</v>
      </c>
      <c r="O35" s="124">
        <f t="shared" si="4"/>
        <v>15</v>
      </c>
      <c r="P35" s="124">
        <f t="shared" si="4"/>
        <v>11</v>
      </c>
      <c r="Q35" s="124">
        <f t="shared" si="4"/>
        <v>2</v>
      </c>
      <c r="R35" s="78"/>
      <c r="S35" s="79">
        <f t="shared" ref="S35" si="5">SUM(S28:S34)</f>
        <v>127</v>
      </c>
      <c r="U35" s="2"/>
      <c r="V35" s="2"/>
      <c r="Y35" s="202" t="s">
        <v>573</v>
      </c>
      <c r="Z35" s="202" t="s">
        <v>520</v>
      </c>
      <c r="AA35" s="353">
        <v>69.930000000000007</v>
      </c>
    </row>
    <row r="36" spans="1:27" ht="15.6">
      <c r="A36" s="1">
        <v>14</v>
      </c>
      <c r="B36" s="59" t="s">
        <v>129</v>
      </c>
      <c r="C36" s="189" t="s">
        <v>458</v>
      </c>
      <c r="D36" s="281">
        <v>384.42399999999998</v>
      </c>
      <c r="E36" s="368"/>
      <c r="U36" s="2"/>
      <c r="V36" s="2"/>
      <c r="Y36" s="202"/>
      <c r="Z36" s="202"/>
      <c r="AA36" s="353"/>
    </row>
    <row r="37" spans="1:27" ht="15.6">
      <c r="A37" s="1"/>
      <c r="B37" s="59"/>
      <c r="C37" s="59"/>
      <c r="D37" s="281"/>
      <c r="E37" s="368"/>
      <c r="U37" s="2"/>
      <c r="V37" s="2"/>
      <c r="Y37" s="202" t="s">
        <v>574</v>
      </c>
      <c r="Z37" s="202" t="s">
        <v>575</v>
      </c>
      <c r="AA37" s="353">
        <v>76.525000000000006</v>
      </c>
    </row>
    <row r="38" spans="1:27" ht="15.6">
      <c r="A38" s="1">
        <v>15</v>
      </c>
      <c r="B38" s="60" t="s">
        <v>25</v>
      </c>
      <c r="C38" s="189" t="s">
        <v>457</v>
      </c>
      <c r="D38" s="282">
        <v>385</v>
      </c>
      <c r="E38" s="368"/>
      <c r="U38" s="2"/>
      <c r="V38" s="2"/>
    </row>
    <row r="39" spans="1:27" ht="18">
      <c r="A39" s="1"/>
      <c r="B39" s="59"/>
      <c r="C39" s="189"/>
      <c r="D39" s="282"/>
      <c r="E39" s="368"/>
      <c r="U39" s="2"/>
      <c r="V39" s="2"/>
      <c r="Y39" s="354" t="s">
        <v>576</v>
      </c>
      <c r="Z39" s="355" t="s">
        <v>577</v>
      </c>
    </row>
    <row r="40" spans="1:27" ht="18">
      <c r="A40" s="1">
        <v>16</v>
      </c>
      <c r="B40" s="59" t="s">
        <v>16</v>
      </c>
      <c r="C40" s="189" t="s">
        <v>458</v>
      </c>
      <c r="D40" s="199">
        <v>423</v>
      </c>
      <c r="E40" s="368"/>
      <c r="U40" s="2"/>
      <c r="V40" s="2"/>
      <c r="Y40" s="356"/>
      <c r="Z40" s="357"/>
    </row>
    <row r="41" spans="1:27" ht="18">
      <c r="A41" s="1"/>
      <c r="B41" s="59"/>
      <c r="C41" s="189"/>
      <c r="D41" s="199"/>
      <c r="E41" s="368"/>
      <c r="U41" s="2"/>
      <c r="V41" s="2"/>
      <c r="Y41" s="354" t="s">
        <v>578</v>
      </c>
      <c r="Z41" s="355" t="s">
        <v>577</v>
      </c>
    </row>
    <row r="42" spans="1:27" ht="15.6">
      <c r="A42" s="1">
        <v>17</v>
      </c>
      <c r="B42" s="59" t="s">
        <v>17</v>
      </c>
      <c r="C42" s="189" t="s">
        <v>458</v>
      </c>
      <c r="D42" s="199">
        <v>382</v>
      </c>
      <c r="E42" s="368"/>
    </row>
    <row r="43" spans="1:27" ht="15.6">
      <c r="A43" s="1"/>
      <c r="B43" s="59"/>
      <c r="C43" s="189"/>
      <c r="D43" s="199"/>
      <c r="E43" s="368"/>
    </row>
    <row r="44" spans="1:27" ht="15.6">
      <c r="A44" s="1">
        <v>18</v>
      </c>
      <c r="B44" s="59" t="s">
        <v>18</v>
      </c>
      <c r="C44" s="189" t="s">
        <v>458</v>
      </c>
      <c r="D44" s="199">
        <v>405</v>
      </c>
      <c r="E44" s="368"/>
    </row>
    <row r="45" spans="1:27" ht="15.6">
      <c r="A45" s="1"/>
      <c r="B45" s="59"/>
      <c r="C45" s="189"/>
      <c r="D45" s="199"/>
      <c r="E45" s="368"/>
    </row>
    <row r="46" spans="1:27" ht="15.6">
      <c r="A46" s="1">
        <v>19</v>
      </c>
      <c r="B46" s="59" t="s">
        <v>130</v>
      </c>
      <c r="C46" s="189" t="s">
        <v>459</v>
      </c>
      <c r="D46" s="199">
        <v>388.45800000000003</v>
      </c>
      <c r="E46" s="368"/>
    </row>
    <row r="47" spans="1:27" ht="15.6">
      <c r="A47" s="1"/>
      <c r="B47" s="59"/>
      <c r="C47" s="189"/>
      <c r="D47" s="199"/>
      <c r="E47" s="368"/>
    </row>
    <row r="48" spans="1:27" ht="15.6">
      <c r="A48" s="1">
        <v>20</v>
      </c>
      <c r="B48" s="60" t="s">
        <v>26</v>
      </c>
      <c r="C48" s="189" t="s">
        <v>457</v>
      </c>
      <c r="D48" s="199">
        <v>405</v>
      </c>
      <c r="E48" s="368"/>
    </row>
    <row r="49" spans="1:5" ht="15.6">
      <c r="A49" s="1"/>
      <c r="B49" s="59"/>
      <c r="C49" s="189"/>
      <c r="D49" s="199"/>
      <c r="E49" s="368"/>
    </row>
    <row r="50" spans="1:5" ht="15.6">
      <c r="A50" s="1">
        <v>21</v>
      </c>
      <c r="B50" s="59" t="s">
        <v>131</v>
      </c>
      <c r="C50" s="189" t="s">
        <v>459</v>
      </c>
      <c r="D50" s="199">
        <v>360</v>
      </c>
      <c r="E50" s="368"/>
    </row>
    <row r="51" spans="1:5" ht="15.6">
      <c r="A51" s="1"/>
      <c r="B51" s="59"/>
      <c r="C51" s="189"/>
      <c r="D51" s="199"/>
      <c r="E51" s="368"/>
    </row>
    <row r="52" spans="1:5" ht="15.6">
      <c r="A52" s="1">
        <v>22</v>
      </c>
      <c r="B52" s="59" t="s">
        <v>132</v>
      </c>
      <c r="C52" s="189" t="s">
        <v>459</v>
      </c>
      <c r="D52" s="199">
        <v>390</v>
      </c>
      <c r="E52" s="368"/>
    </row>
    <row r="53" spans="1:5" ht="15.6">
      <c r="A53" s="1"/>
      <c r="B53" s="59"/>
      <c r="C53" s="189"/>
      <c r="D53" s="199"/>
      <c r="E53" s="368"/>
    </row>
    <row r="54" spans="1:5" ht="15.6">
      <c r="A54" s="1">
        <v>23</v>
      </c>
      <c r="B54" s="59" t="s">
        <v>133</v>
      </c>
      <c r="C54" s="189" t="s">
        <v>460</v>
      </c>
      <c r="D54" s="199">
        <v>325</v>
      </c>
      <c r="E54" s="368"/>
    </row>
    <row r="55" spans="1:5" ht="15.6">
      <c r="A55" s="1"/>
      <c r="B55" s="59"/>
      <c r="C55" s="189"/>
      <c r="D55" s="199"/>
      <c r="E55" s="368"/>
    </row>
    <row r="56" spans="1:5" ht="15.6">
      <c r="A56" s="1">
        <v>24</v>
      </c>
      <c r="B56" s="59" t="s">
        <v>134</v>
      </c>
      <c r="C56" s="189" t="s">
        <v>458</v>
      </c>
      <c r="D56" s="199">
        <v>430</v>
      </c>
      <c r="E56" s="368"/>
    </row>
    <row r="57" spans="1:5" ht="15.6">
      <c r="A57" s="1"/>
      <c r="B57" s="59"/>
      <c r="C57" s="189"/>
      <c r="D57" s="199"/>
      <c r="E57" s="368"/>
    </row>
    <row r="58" spans="1:5" ht="15.6">
      <c r="A58" s="1">
        <v>25</v>
      </c>
      <c r="B58" s="59" t="s">
        <v>135</v>
      </c>
      <c r="C58" s="189" t="s">
        <v>458</v>
      </c>
      <c r="D58" s="199">
        <v>298</v>
      </c>
      <c r="E58" s="368"/>
    </row>
    <row r="59" spans="1:5" ht="15.6">
      <c r="A59" s="1"/>
      <c r="B59" s="59"/>
      <c r="C59" s="189"/>
      <c r="D59" s="199"/>
      <c r="E59" s="368"/>
    </row>
    <row r="60" spans="1:5" ht="15.6">
      <c r="A60" s="1">
        <v>26</v>
      </c>
      <c r="B60" s="59" t="s">
        <v>136</v>
      </c>
      <c r="C60" s="189" t="s">
        <v>458</v>
      </c>
      <c r="D60" s="199">
        <v>422</v>
      </c>
      <c r="E60" s="368"/>
    </row>
    <row r="61" spans="1:5" ht="15.6">
      <c r="A61" s="1"/>
      <c r="B61" s="59"/>
      <c r="C61" s="189"/>
      <c r="D61" s="199"/>
      <c r="E61" s="368"/>
    </row>
    <row r="62" spans="1:5" ht="15.6">
      <c r="A62" s="1">
        <v>27</v>
      </c>
      <c r="B62" s="59" t="s">
        <v>137</v>
      </c>
      <c r="C62" s="189" t="s">
        <v>461</v>
      </c>
      <c r="D62" s="199">
        <v>345</v>
      </c>
      <c r="E62" s="368"/>
    </row>
    <row r="63" spans="1:5" ht="15.6">
      <c r="A63" s="1"/>
      <c r="B63" s="59"/>
      <c r="C63" s="189"/>
      <c r="D63" s="199"/>
      <c r="E63" s="368"/>
    </row>
    <row r="64" spans="1:5" ht="15.6">
      <c r="A64" s="1">
        <v>28</v>
      </c>
      <c r="B64" s="59" t="s">
        <v>138</v>
      </c>
      <c r="C64" s="189" t="s">
        <v>459</v>
      </c>
      <c r="D64" s="199">
        <v>370</v>
      </c>
      <c r="E64" s="368"/>
    </row>
    <row r="65" spans="1:5" ht="15.6">
      <c r="A65" s="1"/>
      <c r="B65" s="59"/>
      <c r="C65" s="189"/>
      <c r="D65" s="199"/>
      <c r="E65" s="368"/>
    </row>
    <row r="66" spans="1:5" ht="15.6">
      <c r="A66" s="1">
        <v>29</v>
      </c>
      <c r="B66" s="59" t="s">
        <v>139</v>
      </c>
      <c r="C66" s="189" t="s">
        <v>461</v>
      </c>
      <c r="D66" s="199">
        <v>320</v>
      </c>
      <c r="E66" s="368"/>
    </row>
    <row r="67" spans="1:5" ht="15.6">
      <c r="A67" s="1"/>
      <c r="B67" s="59"/>
      <c r="C67" s="189"/>
      <c r="D67" s="199"/>
      <c r="E67" s="368"/>
    </row>
    <row r="68" spans="1:5" ht="15.6">
      <c r="A68" s="1">
        <v>30</v>
      </c>
      <c r="B68" s="59" t="s">
        <v>140</v>
      </c>
      <c r="C68" s="189" t="s">
        <v>461</v>
      </c>
      <c r="D68" s="199">
        <v>390</v>
      </c>
      <c r="E68" s="368"/>
    </row>
    <row r="69" spans="1:5" ht="15.6">
      <c r="A69" s="1"/>
      <c r="B69" s="59"/>
      <c r="C69" s="189"/>
      <c r="D69" s="199"/>
      <c r="E69" s="368"/>
    </row>
    <row r="70" spans="1:5" ht="15.6">
      <c r="A70" s="1">
        <v>31</v>
      </c>
      <c r="B70" s="59" t="s">
        <v>141</v>
      </c>
      <c r="C70" s="189" t="s">
        <v>459</v>
      </c>
      <c r="D70" s="199">
        <v>425.02</v>
      </c>
      <c r="E70" s="368"/>
    </row>
    <row r="71" spans="1:5" ht="15.6">
      <c r="A71" s="1"/>
      <c r="B71" s="59"/>
      <c r="C71" s="189"/>
      <c r="D71" s="199"/>
      <c r="E71" s="368"/>
    </row>
    <row r="72" spans="1:5" ht="15.6">
      <c r="A72" s="1">
        <v>32</v>
      </c>
      <c r="B72" s="60" t="s">
        <v>27</v>
      </c>
      <c r="C72" s="189" t="s">
        <v>462</v>
      </c>
      <c r="D72" s="199">
        <v>480</v>
      </c>
      <c r="E72" s="368"/>
    </row>
    <row r="73" spans="1:5" ht="15.6">
      <c r="A73" s="1"/>
      <c r="B73" s="59"/>
      <c r="C73" s="189"/>
      <c r="D73" s="199"/>
      <c r="E73" s="368"/>
    </row>
    <row r="74" spans="1:5" ht="15.6">
      <c r="A74" s="1">
        <v>33</v>
      </c>
      <c r="B74" s="59" t="s">
        <v>19</v>
      </c>
      <c r="C74" s="189" t="s">
        <v>463</v>
      </c>
      <c r="D74" s="199">
        <v>297.315</v>
      </c>
      <c r="E74" s="368"/>
    </row>
    <row r="75" spans="1:5" ht="15.6">
      <c r="A75" s="1"/>
      <c r="B75" s="59"/>
      <c r="C75" s="189"/>
      <c r="D75" s="199"/>
      <c r="E75" s="368"/>
    </row>
    <row r="76" spans="1:5" ht="15.6">
      <c r="A76" s="1">
        <v>34</v>
      </c>
      <c r="B76" s="60" t="s">
        <v>28</v>
      </c>
      <c r="C76" s="189" t="s">
        <v>464</v>
      </c>
      <c r="D76" s="199">
        <v>415</v>
      </c>
      <c r="E76" s="368"/>
    </row>
    <row r="77" spans="1:5" ht="15.6">
      <c r="A77" s="1"/>
      <c r="B77" s="59"/>
      <c r="C77" s="189"/>
      <c r="D77" s="199"/>
      <c r="E77" s="368"/>
    </row>
    <row r="78" spans="1:5" ht="15.6">
      <c r="A78" s="1">
        <v>35</v>
      </c>
      <c r="B78" s="59" t="s">
        <v>20</v>
      </c>
      <c r="C78" s="189" t="s">
        <v>459</v>
      </c>
      <c r="D78" s="199">
        <v>425</v>
      </c>
      <c r="E78" s="368"/>
    </row>
    <row r="79" spans="1:5" ht="15.6">
      <c r="A79" s="1"/>
      <c r="B79" s="59"/>
      <c r="C79" s="189"/>
      <c r="D79" s="199"/>
      <c r="E79" s="368"/>
    </row>
    <row r="80" spans="1:5" ht="15.6">
      <c r="A80" s="1">
        <v>36</v>
      </c>
      <c r="B80" s="59" t="s">
        <v>21</v>
      </c>
      <c r="C80" s="189" t="s">
        <v>459</v>
      </c>
      <c r="D80" s="199">
        <v>395</v>
      </c>
      <c r="E80" s="368"/>
    </row>
    <row r="81" spans="1:5" ht="15.6">
      <c r="A81" s="1"/>
      <c r="B81" s="59"/>
      <c r="C81" s="189"/>
      <c r="D81" s="199"/>
      <c r="E81" s="368"/>
    </row>
    <row r="82" spans="1:5" ht="15.6">
      <c r="A82" s="1">
        <v>37</v>
      </c>
      <c r="B82" s="59" t="s">
        <v>142</v>
      </c>
      <c r="C82" s="189" t="s">
        <v>460</v>
      </c>
      <c r="D82" s="199">
        <v>329.07400000000001</v>
      </c>
      <c r="E82" s="368"/>
    </row>
    <row r="83" spans="1:5" ht="15.6">
      <c r="A83" s="1"/>
      <c r="B83" s="59"/>
      <c r="C83" s="189"/>
      <c r="D83" s="199"/>
      <c r="E83" s="368"/>
    </row>
    <row r="84" spans="1:5" ht="15.6">
      <c r="A84" s="1">
        <v>38</v>
      </c>
      <c r="B84" s="60" t="s">
        <v>22</v>
      </c>
      <c r="C84" s="189" t="s">
        <v>465</v>
      </c>
      <c r="D84" s="199">
        <v>390</v>
      </c>
      <c r="E84" s="368"/>
    </row>
    <row r="85" spans="1:5" ht="15.6">
      <c r="A85" s="1"/>
      <c r="B85" s="59"/>
      <c r="C85" s="189"/>
      <c r="D85" s="199"/>
      <c r="E85" s="368"/>
    </row>
    <row r="86" spans="1:5" ht="15.6">
      <c r="A86" s="1">
        <v>39</v>
      </c>
      <c r="B86" s="59" t="s">
        <v>143</v>
      </c>
      <c r="C86" s="189" t="s">
        <v>459</v>
      </c>
      <c r="D86" s="199">
        <v>444.77100000000002</v>
      </c>
      <c r="E86" s="368"/>
    </row>
    <row r="87" spans="1:5" ht="15">
      <c r="A87" s="1"/>
      <c r="B87" s="59"/>
      <c r="C87" s="189"/>
      <c r="D87" s="199"/>
    </row>
    <row r="88" spans="1:5" ht="15">
      <c r="A88" s="1">
        <v>40</v>
      </c>
      <c r="B88" s="60" t="s">
        <v>29</v>
      </c>
      <c r="C88" s="189" t="s">
        <v>521</v>
      </c>
      <c r="D88" s="199">
        <v>248.03800000000001</v>
      </c>
    </row>
    <row r="89" spans="1:5" ht="15">
      <c r="A89" s="1"/>
      <c r="B89" s="59"/>
      <c r="C89" s="189"/>
      <c r="D89" s="199"/>
    </row>
    <row r="90" spans="1:5" ht="15">
      <c r="A90" s="1">
        <v>41</v>
      </c>
      <c r="B90" s="60" t="s">
        <v>30</v>
      </c>
      <c r="C90" s="189" t="s">
        <v>467</v>
      </c>
      <c r="D90" s="199">
        <v>430</v>
      </c>
    </row>
    <row r="91" spans="1:5" ht="15">
      <c r="A91" s="1"/>
      <c r="B91" s="59"/>
      <c r="C91" s="189"/>
      <c r="D91" s="199"/>
    </row>
    <row r="92" spans="1:5" ht="15">
      <c r="A92" s="1">
        <v>42</v>
      </c>
      <c r="B92" s="59" t="s">
        <v>2</v>
      </c>
      <c r="C92" s="189" t="s">
        <v>458</v>
      </c>
      <c r="D92" s="199">
        <v>400</v>
      </c>
    </row>
    <row r="93" spans="1:5" ht="15">
      <c r="A93" s="1"/>
      <c r="B93" s="59"/>
      <c r="C93" s="189"/>
      <c r="D93" s="199"/>
    </row>
    <row r="94" spans="1:5" ht="15">
      <c r="A94" s="1">
        <v>43</v>
      </c>
      <c r="B94" s="59" t="s">
        <v>49</v>
      </c>
      <c r="C94" s="189" t="s">
        <v>458</v>
      </c>
      <c r="D94" s="199">
        <v>410</v>
      </c>
    </row>
    <row r="95" spans="1:5" ht="15">
      <c r="A95" s="1"/>
      <c r="B95" s="59"/>
      <c r="C95" s="189"/>
      <c r="D95" s="199"/>
    </row>
    <row r="96" spans="1:5" ht="15">
      <c r="A96" s="1">
        <v>44</v>
      </c>
      <c r="B96" s="59" t="s">
        <v>50</v>
      </c>
      <c r="C96" s="189" t="s">
        <v>459</v>
      </c>
      <c r="D96" s="199">
        <v>435</v>
      </c>
    </row>
    <row r="97" spans="1:4" ht="15">
      <c r="A97" s="1"/>
      <c r="B97" s="59"/>
      <c r="C97" s="189"/>
      <c r="D97" s="199"/>
    </row>
    <row r="98" spans="1:4" ht="15">
      <c r="A98" s="1">
        <v>45</v>
      </c>
      <c r="B98" s="59" t="s">
        <v>144</v>
      </c>
      <c r="C98" s="189" t="s">
        <v>458</v>
      </c>
      <c r="D98" s="199">
        <v>360</v>
      </c>
    </row>
    <row r="99" spans="1:4" ht="15">
      <c r="A99" s="1"/>
      <c r="B99" s="59"/>
      <c r="C99" s="189"/>
      <c r="D99" s="199"/>
    </row>
    <row r="100" spans="1:4" ht="15">
      <c r="A100" s="1">
        <v>46</v>
      </c>
      <c r="B100" s="59" t="s">
        <v>145</v>
      </c>
      <c r="C100" s="189" t="s">
        <v>460</v>
      </c>
      <c r="D100" s="199">
        <v>391.45100000000002</v>
      </c>
    </row>
    <row r="101" spans="1:4" ht="15">
      <c r="A101" s="1"/>
      <c r="B101" s="59"/>
      <c r="C101" s="189"/>
      <c r="D101" s="199"/>
    </row>
    <row r="102" spans="1:4" ht="15">
      <c r="A102" s="1">
        <v>47</v>
      </c>
      <c r="B102" s="60" t="s">
        <v>31</v>
      </c>
      <c r="C102" s="189" t="s">
        <v>457</v>
      </c>
      <c r="D102" s="199">
        <v>380</v>
      </c>
    </row>
    <row r="103" spans="1:4" ht="15">
      <c r="A103" s="1"/>
      <c r="B103" s="59"/>
      <c r="C103" s="189"/>
      <c r="D103" s="199"/>
    </row>
    <row r="104" spans="1:4" ht="15">
      <c r="A104" s="1">
        <v>48</v>
      </c>
      <c r="B104" s="59" t="s">
        <v>146</v>
      </c>
      <c r="C104" s="189" t="s">
        <v>468</v>
      </c>
      <c r="D104" s="199">
        <v>475</v>
      </c>
    </row>
    <row r="105" spans="1:4" ht="15">
      <c r="A105" s="1"/>
      <c r="B105" s="59"/>
      <c r="C105" s="189"/>
      <c r="D105" s="199"/>
    </row>
    <row r="106" spans="1:4" ht="15">
      <c r="A106" s="1">
        <v>49</v>
      </c>
      <c r="B106" s="59" t="s">
        <v>147</v>
      </c>
      <c r="C106" s="189" t="s">
        <v>459</v>
      </c>
      <c r="D106" s="199">
        <v>380</v>
      </c>
    </row>
    <row r="107" spans="1:4" ht="15">
      <c r="A107" s="1"/>
      <c r="B107" s="59"/>
      <c r="C107" s="189"/>
      <c r="D107" s="199"/>
    </row>
    <row r="108" spans="1:4" ht="15">
      <c r="A108" s="1">
        <v>50</v>
      </c>
      <c r="B108" s="59" t="s">
        <v>148</v>
      </c>
      <c r="C108" s="189" t="s">
        <v>458</v>
      </c>
      <c r="D108" s="199">
        <v>390</v>
      </c>
    </row>
    <row r="109" spans="1:4" ht="15">
      <c r="A109" s="1"/>
      <c r="B109" s="59"/>
      <c r="C109" s="189"/>
      <c r="D109" s="199"/>
    </row>
    <row r="110" spans="1:4" ht="15">
      <c r="A110" s="1">
        <v>51</v>
      </c>
      <c r="B110" s="59" t="s">
        <v>149</v>
      </c>
      <c r="C110" s="189" t="s">
        <v>459</v>
      </c>
      <c r="D110" s="199">
        <v>465</v>
      </c>
    </row>
    <row r="111" spans="1:4" ht="15">
      <c r="A111" s="1"/>
      <c r="B111" s="59"/>
      <c r="C111" s="189"/>
      <c r="D111" s="199"/>
    </row>
    <row r="112" spans="1:4" ht="15">
      <c r="A112" s="1">
        <v>52</v>
      </c>
      <c r="B112" s="59" t="s">
        <v>150</v>
      </c>
      <c r="C112" s="189" t="s">
        <v>459</v>
      </c>
      <c r="D112" s="199">
        <v>383.20800000000003</v>
      </c>
    </row>
    <row r="113" spans="1:4" ht="15">
      <c r="A113" s="1"/>
      <c r="B113" s="59"/>
      <c r="C113" s="189"/>
      <c r="D113" s="199"/>
    </row>
    <row r="114" spans="1:4" ht="15">
      <c r="A114" s="1">
        <v>53</v>
      </c>
      <c r="B114" s="60" t="s">
        <v>32</v>
      </c>
      <c r="C114" s="189" t="s">
        <v>469</v>
      </c>
      <c r="D114" s="199">
        <v>380</v>
      </c>
    </row>
    <row r="115" spans="1:4" ht="15">
      <c r="A115" s="1"/>
      <c r="B115" s="59"/>
      <c r="C115" s="189"/>
      <c r="D115" s="199"/>
    </row>
    <row r="116" spans="1:4" ht="15">
      <c r="A116" s="1">
        <v>54</v>
      </c>
      <c r="B116" s="59" t="s">
        <v>51</v>
      </c>
      <c r="C116" s="189" t="s">
        <v>458</v>
      </c>
      <c r="D116" s="199">
        <v>348</v>
      </c>
    </row>
    <row r="117" spans="1:4" ht="15">
      <c r="A117" s="1"/>
      <c r="B117" s="59"/>
      <c r="C117" s="189"/>
      <c r="D117" s="199"/>
    </row>
    <row r="118" spans="1:4" ht="15">
      <c r="A118" s="1">
        <v>55</v>
      </c>
      <c r="B118" s="59" t="s">
        <v>52</v>
      </c>
      <c r="C118" s="189" t="s">
        <v>458</v>
      </c>
      <c r="D118" s="199">
        <v>377.78399999999999</v>
      </c>
    </row>
    <row r="119" spans="1:4" ht="15">
      <c r="A119" s="1"/>
      <c r="B119" s="59"/>
      <c r="C119" s="189"/>
      <c r="D119" s="199"/>
    </row>
    <row r="120" spans="1:4" ht="15">
      <c r="A120" s="1">
        <v>56</v>
      </c>
      <c r="B120" s="60" t="s">
        <v>33</v>
      </c>
      <c r="C120" s="189" t="s">
        <v>457</v>
      </c>
      <c r="D120" s="199">
        <v>410</v>
      </c>
    </row>
    <row r="121" spans="1:4" ht="15">
      <c r="A121" s="1"/>
      <c r="B121" s="59"/>
      <c r="C121" s="189"/>
      <c r="D121" s="199"/>
    </row>
    <row r="122" spans="1:4" ht="15">
      <c r="A122" s="1">
        <v>57</v>
      </c>
      <c r="B122" s="59" t="s">
        <v>151</v>
      </c>
      <c r="C122" s="189" t="s">
        <v>458</v>
      </c>
      <c r="D122" s="199">
        <v>380</v>
      </c>
    </row>
    <row r="123" spans="1:4" ht="15">
      <c r="A123" s="1"/>
      <c r="B123" s="59"/>
      <c r="C123" s="189"/>
      <c r="D123" s="199"/>
    </row>
    <row r="124" spans="1:4" ht="15">
      <c r="A124" s="1">
        <v>58</v>
      </c>
      <c r="B124" s="59" t="s">
        <v>152</v>
      </c>
      <c r="C124" s="189" t="s">
        <v>458</v>
      </c>
      <c r="D124" s="199">
        <v>325</v>
      </c>
    </row>
    <row r="125" spans="1:4" ht="15">
      <c r="A125" s="1"/>
      <c r="B125" s="59"/>
      <c r="C125" s="189"/>
      <c r="D125" s="199"/>
    </row>
    <row r="126" spans="1:4" ht="15">
      <c r="A126" s="1">
        <v>59</v>
      </c>
      <c r="B126" s="59" t="s">
        <v>153</v>
      </c>
      <c r="C126" s="189" t="s">
        <v>460</v>
      </c>
      <c r="D126" s="199">
        <v>329.8</v>
      </c>
    </row>
    <row r="127" spans="1:4" ht="15">
      <c r="A127" s="1"/>
      <c r="B127" s="59"/>
      <c r="C127" s="189"/>
      <c r="D127" s="199"/>
    </row>
    <row r="128" spans="1:4" ht="15">
      <c r="A128" s="1">
        <v>60</v>
      </c>
      <c r="B128" s="60" t="s">
        <v>34</v>
      </c>
      <c r="C128" s="189" t="s">
        <v>470</v>
      </c>
      <c r="D128" s="199">
        <v>385</v>
      </c>
    </row>
    <row r="129" spans="1:4" ht="15">
      <c r="A129" s="1"/>
      <c r="B129" s="59"/>
      <c r="C129" s="189"/>
      <c r="D129" s="199"/>
    </row>
    <row r="130" spans="1:4" ht="15">
      <c r="A130" s="1">
        <v>61</v>
      </c>
      <c r="B130" s="59" t="s">
        <v>154</v>
      </c>
      <c r="C130" s="189" t="s">
        <v>458</v>
      </c>
      <c r="D130" s="199">
        <v>312.55799999999999</v>
      </c>
    </row>
    <row r="131" spans="1:4" ht="15">
      <c r="A131" s="1"/>
      <c r="B131" s="59"/>
      <c r="C131" s="189"/>
      <c r="D131" s="199"/>
    </row>
    <row r="132" spans="1:4" ht="15">
      <c r="A132" s="1">
        <v>62</v>
      </c>
      <c r="B132" s="60" t="s">
        <v>35</v>
      </c>
      <c r="C132" s="189" t="s">
        <v>471</v>
      </c>
      <c r="D132" s="200">
        <v>242</v>
      </c>
    </row>
    <row r="133" spans="1:4" ht="15">
      <c r="A133" s="1"/>
      <c r="B133" s="59"/>
      <c r="C133" s="189"/>
      <c r="D133" s="200"/>
    </row>
    <row r="134" spans="1:4" ht="15">
      <c r="A134" s="1">
        <v>63</v>
      </c>
      <c r="B134" s="59" t="s">
        <v>4</v>
      </c>
      <c r="C134" s="189" t="s">
        <v>466</v>
      </c>
      <c r="D134" s="200">
        <v>464</v>
      </c>
    </row>
    <row r="135" spans="1:4" ht="15">
      <c r="A135" s="1"/>
      <c r="B135" s="59"/>
      <c r="C135" s="189"/>
      <c r="D135" s="200"/>
    </row>
    <row r="136" spans="1:4" ht="15">
      <c r="A136" s="1">
        <v>64</v>
      </c>
      <c r="B136" s="59" t="s">
        <v>5</v>
      </c>
      <c r="C136" s="190" t="s">
        <v>458</v>
      </c>
      <c r="D136" s="200">
        <v>391</v>
      </c>
    </row>
    <row r="137" spans="1:4" ht="15">
      <c r="A137" s="1"/>
      <c r="B137" s="59"/>
      <c r="C137" s="189"/>
      <c r="D137" s="200"/>
    </row>
    <row r="138" spans="1:4" ht="15">
      <c r="A138" s="1">
        <v>65</v>
      </c>
      <c r="B138" s="59" t="s">
        <v>155</v>
      </c>
      <c r="C138" s="189" t="s">
        <v>468</v>
      </c>
      <c r="D138" s="200">
        <v>417.51799999999997</v>
      </c>
    </row>
    <row r="139" spans="1:4" ht="15">
      <c r="A139" s="1"/>
      <c r="B139" s="59"/>
      <c r="C139" s="189"/>
      <c r="D139" s="198"/>
    </row>
    <row r="140" spans="1:4" ht="15">
      <c r="A140" s="1">
        <v>66</v>
      </c>
      <c r="B140" s="60" t="s">
        <v>36</v>
      </c>
      <c r="C140" s="191" t="s">
        <v>457</v>
      </c>
      <c r="D140" s="286">
        <v>315</v>
      </c>
    </row>
    <row r="141" spans="1:4">
      <c r="A141" s="1"/>
      <c r="B141" s="59"/>
      <c r="C141" s="59"/>
      <c r="D141" s="286"/>
    </row>
    <row r="142" spans="1:4" ht="15">
      <c r="A142" s="1">
        <v>67</v>
      </c>
      <c r="B142" s="59" t="s">
        <v>6</v>
      </c>
      <c r="C142" s="189" t="s">
        <v>460</v>
      </c>
      <c r="D142" s="286">
        <v>375</v>
      </c>
    </row>
    <row r="143" spans="1:4" ht="15">
      <c r="A143" s="1"/>
      <c r="B143" s="59"/>
      <c r="C143" s="189"/>
      <c r="D143" s="286"/>
    </row>
    <row r="144" spans="1:4" ht="15">
      <c r="A144" s="1">
        <v>68</v>
      </c>
      <c r="B144" s="59" t="s">
        <v>37</v>
      </c>
      <c r="C144" s="189" t="s">
        <v>458</v>
      </c>
      <c r="D144" s="286">
        <v>416</v>
      </c>
    </row>
    <row r="145" spans="1:4" ht="15">
      <c r="A145" s="1"/>
      <c r="B145" s="59"/>
      <c r="C145" s="189"/>
      <c r="D145" s="286"/>
    </row>
    <row r="146" spans="1:4" ht="15">
      <c r="A146" s="1">
        <v>69</v>
      </c>
      <c r="B146" s="59" t="s">
        <v>156</v>
      </c>
      <c r="C146" s="189" t="s">
        <v>458</v>
      </c>
      <c r="D146" s="286">
        <v>422</v>
      </c>
    </row>
    <row r="147" spans="1:4" ht="15">
      <c r="A147" s="1"/>
      <c r="B147" s="59"/>
      <c r="C147" s="189"/>
      <c r="D147" s="286"/>
    </row>
    <row r="148" spans="1:4" ht="15">
      <c r="A148" s="1">
        <v>70</v>
      </c>
      <c r="B148" s="59" t="s">
        <v>157</v>
      </c>
      <c r="C148" s="189" t="s">
        <v>458</v>
      </c>
      <c r="D148" s="286">
        <v>388</v>
      </c>
    </row>
    <row r="149" spans="1:4" ht="15">
      <c r="A149" s="1"/>
      <c r="B149" s="59"/>
      <c r="C149" s="189"/>
      <c r="D149" s="286"/>
    </row>
    <row r="150" spans="1:4" ht="15">
      <c r="A150" s="1">
        <v>71</v>
      </c>
      <c r="B150" s="59" t="s">
        <v>158</v>
      </c>
      <c r="C150" s="189" t="s">
        <v>468</v>
      </c>
      <c r="D150" s="286">
        <v>409</v>
      </c>
    </row>
    <row r="151" spans="1:4" ht="15">
      <c r="A151" s="1"/>
      <c r="B151" s="59"/>
      <c r="C151" s="189"/>
      <c r="D151" s="286"/>
    </row>
    <row r="152" spans="1:4" ht="15">
      <c r="A152" s="1">
        <v>72</v>
      </c>
      <c r="B152" s="59" t="s">
        <v>159</v>
      </c>
      <c r="C152" s="189" t="s">
        <v>458</v>
      </c>
      <c r="D152" s="286">
        <v>420</v>
      </c>
    </row>
    <row r="153" spans="1:4" ht="15">
      <c r="A153" s="1"/>
      <c r="B153" s="59"/>
      <c r="C153" s="189"/>
      <c r="D153" s="286"/>
    </row>
    <row r="154" spans="1:4" ht="15">
      <c r="A154" s="1">
        <v>73</v>
      </c>
      <c r="B154" s="59" t="s">
        <v>160</v>
      </c>
      <c r="C154" s="189" t="s">
        <v>457</v>
      </c>
      <c r="D154" s="286">
        <v>399</v>
      </c>
    </row>
    <row r="155" spans="1:4" ht="15">
      <c r="A155" s="1"/>
      <c r="B155" s="59"/>
      <c r="C155" s="189"/>
      <c r="D155" s="286"/>
    </row>
    <row r="156" spans="1:4" ht="15">
      <c r="A156" s="1">
        <v>74</v>
      </c>
      <c r="B156" s="59" t="s">
        <v>161</v>
      </c>
      <c r="C156" s="189" t="s">
        <v>459</v>
      </c>
      <c r="D156" s="286">
        <v>381</v>
      </c>
    </row>
    <row r="157" spans="1:4" ht="15">
      <c r="A157" s="1"/>
      <c r="B157" s="59"/>
      <c r="C157" s="189"/>
      <c r="D157" s="286"/>
    </row>
    <row r="158" spans="1:4" ht="15">
      <c r="A158" s="1">
        <v>75</v>
      </c>
      <c r="B158" s="59" t="s">
        <v>162</v>
      </c>
      <c r="C158" s="189" t="s">
        <v>458</v>
      </c>
      <c r="D158" s="286">
        <v>382</v>
      </c>
    </row>
    <row r="159" spans="1:4" ht="15">
      <c r="A159" s="1"/>
      <c r="B159" s="59"/>
      <c r="C159" s="189"/>
      <c r="D159" s="286"/>
    </row>
    <row r="160" spans="1:4" ht="15">
      <c r="A160" s="1">
        <v>76</v>
      </c>
      <c r="B160" s="59" t="s">
        <v>163</v>
      </c>
      <c r="C160" s="189" t="s">
        <v>458</v>
      </c>
      <c r="D160" s="286">
        <v>391</v>
      </c>
    </row>
    <row r="161" spans="1:4" ht="15">
      <c r="A161" s="1"/>
      <c r="B161" s="59"/>
      <c r="C161" s="189"/>
      <c r="D161" s="286"/>
    </row>
    <row r="162" spans="1:4" ht="15">
      <c r="A162" s="1">
        <v>77</v>
      </c>
      <c r="B162" s="59" t="s">
        <v>164</v>
      </c>
      <c r="C162" s="189" t="s">
        <v>520</v>
      </c>
      <c r="D162" s="286">
        <v>433</v>
      </c>
    </row>
    <row r="163" spans="1:4" ht="15">
      <c r="A163" s="1"/>
      <c r="B163" s="59"/>
      <c r="C163" s="189"/>
      <c r="D163" s="286"/>
    </row>
    <row r="164" spans="1:4" ht="15">
      <c r="A164" s="1">
        <v>78</v>
      </c>
      <c r="B164" s="59" t="s">
        <v>165</v>
      </c>
      <c r="C164" s="189" t="s">
        <v>458</v>
      </c>
      <c r="D164" s="286">
        <v>415</v>
      </c>
    </row>
    <row r="165" spans="1:4" ht="15">
      <c r="A165" s="1"/>
      <c r="B165" s="59"/>
      <c r="C165" s="189"/>
      <c r="D165" s="286"/>
    </row>
    <row r="166" spans="1:4" ht="15">
      <c r="A166" s="1">
        <v>79</v>
      </c>
      <c r="B166" s="59" t="s">
        <v>166</v>
      </c>
      <c r="C166" s="189" t="s">
        <v>458</v>
      </c>
      <c r="D166" s="286">
        <v>430</v>
      </c>
    </row>
    <row r="167" spans="1:4" ht="15">
      <c r="A167" s="1"/>
      <c r="B167" s="59"/>
      <c r="C167" s="189"/>
      <c r="D167" s="286"/>
    </row>
    <row r="168" spans="1:4" ht="15">
      <c r="A168" s="1">
        <v>80</v>
      </c>
      <c r="B168" s="59" t="s">
        <v>167</v>
      </c>
      <c r="C168" s="189" t="s">
        <v>458</v>
      </c>
      <c r="D168" s="286">
        <v>314</v>
      </c>
    </row>
    <row r="169" spans="1:4" ht="15">
      <c r="A169" s="1"/>
      <c r="B169" s="59"/>
      <c r="C169" s="189"/>
      <c r="D169" s="286"/>
    </row>
    <row r="170" spans="1:4" ht="15">
      <c r="A170" s="1">
        <v>81</v>
      </c>
      <c r="B170" s="59" t="s">
        <v>168</v>
      </c>
      <c r="C170" s="189" t="s">
        <v>461</v>
      </c>
      <c r="D170" s="286">
        <v>402.24900000000002</v>
      </c>
    </row>
    <row r="171" spans="1:4" ht="15">
      <c r="A171" s="1"/>
      <c r="B171" s="59"/>
      <c r="C171" s="189"/>
      <c r="D171" s="283"/>
    </row>
    <row r="172" spans="1:4" ht="15">
      <c r="A172" s="1">
        <v>82</v>
      </c>
      <c r="B172" s="60" t="s">
        <v>38</v>
      </c>
      <c r="C172" s="189" t="s">
        <v>472</v>
      </c>
      <c r="D172" s="283">
        <v>400</v>
      </c>
    </row>
    <row r="173" spans="1:4">
      <c r="A173" s="6"/>
      <c r="B173" s="59"/>
      <c r="C173" s="59"/>
      <c r="D173" s="201"/>
    </row>
    <row r="174" spans="1:4">
      <c r="A174" s="6">
        <f>A172+1</f>
        <v>83</v>
      </c>
      <c r="B174" s="59" t="s">
        <v>169</v>
      </c>
      <c r="C174" s="59" t="s">
        <v>459</v>
      </c>
      <c r="D174" s="201">
        <v>435</v>
      </c>
    </row>
    <row r="175" spans="1:4">
      <c r="A175" s="6"/>
      <c r="B175" s="59"/>
      <c r="C175" s="59"/>
      <c r="D175" s="201"/>
    </row>
    <row r="176" spans="1:4">
      <c r="A176" s="6">
        <f>A174+1</f>
        <v>84</v>
      </c>
      <c r="B176" s="60" t="s">
        <v>39</v>
      </c>
      <c r="C176" s="60" t="s">
        <v>471</v>
      </c>
      <c r="D176" s="201">
        <v>345</v>
      </c>
    </row>
    <row r="177" spans="1:18" ht="15">
      <c r="A177" s="6"/>
      <c r="B177" s="59"/>
      <c r="C177" s="59"/>
      <c r="D177" s="201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458</v>
      </c>
      <c r="D178" s="201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59"/>
      <c r="C179" s="59"/>
      <c r="D179" s="201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59" t="s">
        <v>40</v>
      </c>
      <c r="C180" s="59" t="s">
        <v>458</v>
      </c>
      <c r="D180" s="201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59"/>
      <c r="C181" s="59"/>
      <c r="D181" s="201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59" t="s">
        <v>53</v>
      </c>
      <c r="C182" s="59" t="s">
        <v>520</v>
      </c>
      <c r="D182" s="201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59"/>
      <c r="C183" s="59"/>
      <c r="D183" s="201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59" t="s">
        <v>170</v>
      </c>
      <c r="C184" s="59" t="s">
        <v>468</v>
      </c>
      <c r="D184" s="201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59"/>
      <c r="C185" s="59"/>
      <c r="D185" s="201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59" t="s">
        <v>171</v>
      </c>
      <c r="C186" s="59" t="s">
        <v>461</v>
      </c>
      <c r="D186" s="201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201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469</v>
      </c>
      <c r="D188" s="200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200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472</v>
      </c>
      <c r="D190" s="200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200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473</v>
      </c>
      <c r="D192" s="200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200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465</v>
      </c>
      <c r="D194" s="200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200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460</v>
      </c>
      <c r="D196" s="200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200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460</v>
      </c>
      <c r="D198" s="200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200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474</v>
      </c>
      <c r="D200" s="200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200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475</v>
      </c>
      <c r="D202" s="200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200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460</v>
      </c>
      <c r="D204" s="200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200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460</v>
      </c>
      <c r="D206" s="200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200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459</v>
      </c>
      <c r="D208" s="200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200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458</v>
      </c>
      <c r="D210" s="200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200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476</v>
      </c>
      <c r="D212" s="200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200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459</v>
      </c>
      <c r="D214" s="200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200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458</v>
      </c>
      <c r="D216" s="200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200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459</v>
      </c>
      <c r="D218" s="200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200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459</v>
      </c>
      <c r="D220" s="200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200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458</v>
      </c>
      <c r="D222" s="200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200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460</v>
      </c>
      <c r="D224" s="200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201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4" t="s">
        <v>457</v>
      </c>
      <c r="D226" s="285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285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468</v>
      </c>
      <c r="D228" s="285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285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460</v>
      </c>
      <c r="D230" s="285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285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463</v>
      </c>
      <c r="D232" s="285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201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475</v>
      </c>
      <c r="D234" s="353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353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520</v>
      </c>
      <c r="D236" s="353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353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458</v>
      </c>
      <c r="D238" s="353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353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460</v>
      </c>
      <c r="D240" s="353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353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566</v>
      </c>
      <c r="D242" s="353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353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566</v>
      </c>
      <c r="D244" s="353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353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568</v>
      </c>
      <c r="C246" s="202" t="s">
        <v>460</v>
      </c>
      <c r="D246" s="353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353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465</v>
      </c>
      <c r="D248" s="353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353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570</v>
      </c>
      <c r="C250" s="202" t="s">
        <v>468</v>
      </c>
      <c r="D250" s="353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353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571</v>
      </c>
      <c r="C252" s="202" t="s">
        <v>458</v>
      </c>
      <c r="D252" s="353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353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572</v>
      </c>
      <c r="C254" s="202" t="s">
        <v>458</v>
      </c>
      <c r="D254" s="353">
        <v>357</v>
      </c>
    </row>
    <row r="255" spans="1:18" ht="15">
      <c r="A255" s="361"/>
      <c r="B255" s="202"/>
      <c r="C255" s="202"/>
      <c r="D255" s="353"/>
    </row>
    <row r="256" spans="1:18" ht="15">
      <c r="A256" s="361">
        <f>A254+1</f>
        <v>124</v>
      </c>
      <c r="B256" s="360" t="s">
        <v>573</v>
      </c>
      <c r="C256" s="202" t="s">
        <v>520</v>
      </c>
      <c r="D256" s="353">
        <v>402.19900000000001</v>
      </c>
    </row>
    <row r="257" spans="1:4" ht="15">
      <c r="A257" s="361"/>
      <c r="B257" s="202"/>
      <c r="C257" s="202"/>
      <c r="D257" s="353"/>
    </row>
    <row r="258" spans="1:4" ht="15">
      <c r="A258" s="361">
        <f>A256+1</f>
        <v>125</v>
      </c>
      <c r="B258" s="60" t="s">
        <v>579</v>
      </c>
      <c r="C258" s="202" t="s">
        <v>474</v>
      </c>
      <c r="D258" s="353">
        <v>419</v>
      </c>
    </row>
    <row r="259" spans="1:4">
      <c r="A259" s="361"/>
      <c r="B259" s="362"/>
      <c r="C259" s="362"/>
      <c r="D259" s="362"/>
    </row>
    <row r="260" spans="1:4" ht="18">
      <c r="A260" s="361">
        <f>A258+1</f>
        <v>126</v>
      </c>
      <c r="B260" s="60" t="s">
        <v>580</v>
      </c>
      <c r="C260" s="363" t="s">
        <v>523</v>
      </c>
      <c r="D260" s="353">
        <v>231</v>
      </c>
    </row>
    <row r="261" spans="1:4" ht="18">
      <c r="A261" s="361"/>
      <c r="B261" s="364"/>
      <c r="C261" s="365"/>
      <c r="D261" s="362"/>
    </row>
    <row r="262" spans="1:4" ht="18">
      <c r="A262" s="361">
        <f>A260+1</f>
        <v>127</v>
      </c>
      <c r="B262" s="60" t="s">
        <v>581</v>
      </c>
      <c r="C262" s="363" t="s">
        <v>523</v>
      </c>
      <c r="D262" s="353">
        <v>103</v>
      </c>
    </row>
    <row r="263" spans="1:4">
      <c r="D263" s="197">
        <f>SUM(D10:D262)</f>
        <v>47661.921999999991</v>
      </c>
    </row>
    <row r="264" spans="1:4">
      <c r="B264" s="2" t="s">
        <v>89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6"/>
  <sheetViews>
    <sheetView topLeftCell="A29" zoomScale="70" zoomScaleNormal="70" workbookViewId="0">
      <selection activeCell="I53" sqref="I53"/>
    </sheetView>
  </sheetViews>
  <sheetFormatPr defaultColWidth="9.21875" defaultRowHeight="14.4"/>
  <cols>
    <col min="1" max="1" width="18.77734375" style="165" customWidth="1"/>
    <col min="2" max="2" width="18.109375" style="165" customWidth="1"/>
    <col min="3" max="3" width="24.44140625" style="165" customWidth="1"/>
    <col min="4" max="4" width="14.5546875" style="165" customWidth="1"/>
    <col min="5" max="5" width="16.88671875" style="165" customWidth="1"/>
    <col min="6" max="6" width="14.21875" style="165" customWidth="1"/>
    <col min="7" max="7" width="15.6640625" style="165" customWidth="1"/>
    <col min="8" max="8" width="14.88671875" style="165" customWidth="1"/>
    <col min="9" max="9" width="20.33203125" style="165" customWidth="1"/>
    <col min="10" max="11" width="24.21875" style="165" customWidth="1"/>
    <col min="12" max="12" width="34.44140625" style="165" customWidth="1"/>
    <col min="13" max="13" width="35.88671875" style="165" customWidth="1"/>
    <col min="14" max="14" width="11.77734375" style="165" customWidth="1"/>
    <col min="15" max="15" width="42.5546875" style="165" customWidth="1"/>
    <col min="16" max="16" width="27.44140625" style="165" customWidth="1"/>
    <col min="17" max="256" width="9.21875" style="165"/>
    <col min="257" max="257" width="17.44140625" style="165" customWidth="1"/>
    <col min="258" max="258" width="13.77734375" style="165" customWidth="1"/>
    <col min="259" max="259" width="16.21875" style="165" customWidth="1"/>
    <col min="260" max="260" width="13" style="165" customWidth="1"/>
    <col min="261" max="261" width="11.21875" style="165" customWidth="1"/>
    <col min="262" max="262" width="11.77734375" style="165" customWidth="1"/>
    <col min="263" max="263" width="14.88671875" style="165" customWidth="1"/>
    <col min="264" max="264" width="11.77734375" style="165" customWidth="1"/>
    <col min="265" max="265" width="20.5546875" style="165" customWidth="1"/>
    <col min="266" max="266" width="12.6640625" style="165" customWidth="1"/>
    <col min="267" max="267" width="14.5546875" style="165" customWidth="1"/>
    <col min="268" max="268" width="34.44140625" style="165" customWidth="1"/>
    <col min="269" max="269" width="10.6640625" style="165" customWidth="1"/>
    <col min="270" max="270" width="9.21875" style="165"/>
    <col min="271" max="271" width="26.44140625" style="165" customWidth="1"/>
    <col min="272" max="272" width="27.44140625" style="165" customWidth="1"/>
    <col min="273" max="512" width="9.21875" style="165"/>
    <col min="513" max="513" width="17.44140625" style="165" customWidth="1"/>
    <col min="514" max="514" width="13.77734375" style="165" customWidth="1"/>
    <col min="515" max="515" width="16.21875" style="165" customWidth="1"/>
    <col min="516" max="516" width="13" style="165" customWidth="1"/>
    <col min="517" max="517" width="11.21875" style="165" customWidth="1"/>
    <col min="518" max="518" width="11.77734375" style="165" customWidth="1"/>
    <col min="519" max="519" width="14.88671875" style="165" customWidth="1"/>
    <col min="520" max="520" width="11.77734375" style="165" customWidth="1"/>
    <col min="521" max="521" width="20.5546875" style="165" customWidth="1"/>
    <col min="522" max="522" width="12.6640625" style="165" customWidth="1"/>
    <col min="523" max="523" width="14.5546875" style="165" customWidth="1"/>
    <col min="524" max="524" width="34.44140625" style="165" customWidth="1"/>
    <col min="525" max="525" width="10.6640625" style="165" customWidth="1"/>
    <col min="526" max="526" width="9.21875" style="165"/>
    <col min="527" max="527" width="26.44140625" style="165" customWidth="1"/>
    <col min="528" max="528" width="27.44140625" style="165" customWidth="1"/>
    <col min="529" max="768" width="9.21875" style="165"/>
    <col min="769" max="769" width="17.44140625" style="165" customWidth="1"/>
    <col min="770" max="770" width="13.77734375" style="165" customWidth="1"/>
    <col min="771" max="771" width="16.21875" style="165" customWidth="1"/>
    <col min="772" max="772" width="13" style="165" customWidth="1"/>
    <col min="773" max="773" width="11.21875" style="165" customWidth="1"/>
    <col min="774" max="774" width="11.77734375" style="165" customWidth="1"/>
    <col min="775" max="775" width="14.88671875" style="165" customWidth="1"/>
    <col min="776" max="776" width="11.77734375" style="165" customWidth="1"/>
    <col min="777" max="777" width="20.5546875" style="165" customWidth="1"/>
    <col min="778" max="778" width="12.6640625" style="165" customWidth="1"/>
    <col min="779" max="779" width="14.5546875" style="165" customWidth="1"/>
    <col min="780" max="780" width="34.44140625" style="165" customWidth="1"/>
    <col min="781" max="781" width="10.6640625" style="165" customWidth="1"/>
    <col min="782" max="782" width="9.21875" style="165"/>
    <col min="783" max="783" width="26.44140625" style="165" customWidth="1"/>
    <col min="784" max="784" width="27.44140625" style="165" customWidth="1"/>
    <col min="785" max="1024" width="9.21875" style="165"/>
    <col min="1025" max="1025" width="17.44140625" style="165" customWidth="1"/>
    <col min="1026" max="1026" width="13.77734375" style="165" customWidth="1"/>
    <col min="1027" max="1027" width="16.21875" style="165" customWidth="1"/>
    <col min="1028" max="1028" width="13" style="165" customWidth="1"/>
    <col min="1029" max="1029" width="11.21875" style="165" customWidth="1"/>
    <col min="1030" max="1030" width="11.77734375" style="165" customWidth="1"/>
    <col min="1031" max="1031" width="14.88671875" style="165" customWidth="1"/>
    <col min="1032" max="1032" width="11.77734375" style="165" customWidth="1"/>
    <col min="1033" max="1033" width="20.5546875" style="165" customWidth="1"/>
    <col min="1034" max="1034" width="12.6640625" style="165" customWidth="1"/>
    <col min="1035" max="1035" width="14.5546875" style="165" customWidth="1"/>
    <col min="1036" max="1036" width="34.44140625" style="165" customWidth="1"/>
    <col min="1037" max="1037" width="10.6640625" style="165" customWidth="1"/>
    <col min="1038" max="1038" width="9.21875" style="165"/>
    <col min="1039" max="1039" width="26.44140625" style="165" customWidth="1"/>
    <col min="1040" max="1040" width="27.44140625" style="165" customWidth="1"/>
    <col min="1041" max="1280" width="9.21875" style="165"/>
    <col min="1281" max="1281" width="17.44140625" style="165" customWidth="1"/>
    <col min="1282" max="1282" width="13.77734375" style="165" customWidth="1"/>
    <col min="1283" max="1283" width="16.21875" style="165" customWidth="1"/>
    <col min="1284" max="1284" width="13" style="165" customWidth="1"/>
    <col min="1285" max="1285" width="11.21875" style="165" customWidth="1"/>
    <col min="1286" max="1286" width="11.77734375" style="165" customWidth="1"/>
    <col min="1287" max="1287" width="14.88671875" style="165" customWidth="1"/>
    <col min="1288" max="1288" width="11.77734375" style="165" customWidth="1"/>
    <col min="1289" max="1289" width="20.5546875" style="165" customWidth="1"/>
    <col min="1290" max="1290" width="12.6640625" style="165" customWidth="1"/>
    <col min="1291" max="1291" width="14.5546875" style="165" customWidth="1"/>
    <col min="1292" max="1292" width="34.44140625" style="165" customWidth="1"/>
    <col min="1293" max="1293" width="10.6640625" style="165" customWidth="1"/>
    <col min="1294" max="1294" width="9.21875" style="165"/>
    <col min="1295" max="1295" width="26.44140625" style="165" customWidth="1"/>
    <col min="1296" max="1296" width="27.44140625" style="165" customWidth="1"/>
    <col min="1297" max="1536" width="9.21875" style="165"/>
    <col min="1537" max="1537" width="17.44140625" style="165" customWidth="1"/>
    <col min="1538" max="1538" width="13.77734375" style="165" customWidth="1"/>
    <col min="1539" max="1539" width="16.21875" style="165" customWidth="1"/>
    <col min="1540" max="1540" width="13" style="165" customWidth="1"/>
    <col min="1541" max="1541" width="11.21875" style="165" customWidth="1"/>
    <col min="1542" max="1542" width="11.77734375" style="165" customWidth="1"/>
    <col min="1543" max="1543" width="14.88671875" style="165" customWidth="1"/>
    <col min="1544" max="1544" width="11.77734375" style="165" customWidth="1"/>
    <col min="1545" max="1545" width="20.5546875" style="165" customWidth="1"/>
    <col min="1546" max="1546" width="12.6640625" style="165" customWidth="1"/>
    <col min="1547" max="1547" width="14.5546875" style="165" customWidth="1"/>
    <col min="1548" max="1548" width="34.44140625" style="165" customWidth="1"/>
    <col min="1549" max="1549" width="10.6640625" style="165" customWidth="1"/>
    <col min="1550" max="1550" width="9.21875" style="165"/>
    <col min="1551" max="1551" width="26.44140625" style="165" customWidth="1"/>
    <col min="1552" max="1552" width="27.44140625" style="165" customWidth="1"/>
    <col min="1553" max="1792" width="9.21875" style="165"/>
    <col min="1793" max="1793" width="17.44140625" style="165" customWidth="1"/>
    <col min="1794" max="1794" width="13.77734375" style="165" customWidth="1"/>
    <col min="1795" max="1795" width="16.21875" style="165" customWidth="1"/>
    <col min="1796" max="1796" width="13" style="165" customWidth="1"/>
    <col min="1797" max="1797" width="11.21875" style="165" customWidth="1"/>
    <col min="1798" max="1798" width="11.77734375" style="165" customWidth="1"/>
    <col min="1799" max="1799" width="14.88671875" style="165" customWidth="1"/>
    <col min="1800" max="1800" width="11.77734375" style="165" customWidth="1"/>
    <col min="1801" max="1801" width="20.5546875" style="165" customWidth="1"/>
    <col min="1802" max="1802" width="12.6640625" style="165" customWidth="1"/>
    <col min="1803" max="1803" width="14.5546875" style="165" customWidth="1"/>
    <col min="1804" max="1804" width="34.44140625" style="165" customWidth="1"/>
    <col min="1805" max="1805" width="10.6640625" style="165" customWidth="1"/>
    <col min="1806" max="1806" width="9.21875" style="165"/>
    <col min="1807" max="1807" width="26.44140625" style="165" customWidth="1"/>
    <col min="1808" max="1808" width="27.44140625" style="165" customWidth="1"/>
    <col min="1809" max="2048" width="9.21875" style="165"/>
    <col min="2049" max="2049" width="17.44140625" style="165" customWidth="1"/>
    <col min="2050" max="2050" width="13.77734375" style="165" customWidth="1"/>
    <col min="2051" max="2051" width="16.21875" style="165" customWidth="1"/>
    <col min="2052" max="2052" width="13" style="165" customWidth="1"/>
    <col min="2053" max="2053" width="11.21875" style="165" customWidth="1"/>
    <col min="2054" max="2054" width="11.77734375" style="165" customWidth="1"/>
    <col min="2055" max="2055" width="14.88671875" style="165" customWidth="1"/>
    <col min="2056" max="2056" width="11.77734375" style="165" customWidth="1"/>
    <col min="2057" max="2057" width="20.5546875" style="165" customWidth="1"/>
    <col min="2058" max="2058" width="12.6640625" style="165" customWidth="1"/>
    <col min="2059" max="2059" width="14.5546875" style="165" customWidth="1"/>
    <col min="2060" max="2060" width="34.44140625" style="165" customWidth="1"/>
    <col min="2061" max="2061" width="10.6640625" style="165" customWidth="1"/>
    <col min="2062" max="2062" width="9.21875" style="165"/>
    <col min="2063" max="2063" width="26.44140625" style="165" customWidth="1"/>
    <col min="2064" max="2064" width="27.44140625" style="165" customWidth="1"/>
    <col min="2065" max="2304" width="9.21875" style="165"/>
    <col min="2305" max="2305" width="17.44140625" style="165" customWidth="1"/>
    <col min="2306" max="2306" width="13.77734375" style="165" customWidth="1"/>
    <col min="2307" max="2307" width="16.21875" style="165" customWidth="1"/>
    <col min="2308" max="2308" width="13" style="165" customWidth="1"/>
    <col min="2309" max="2309" width="11.21875" style="165" customWidth="1"/>
    <col min="2310" max="2310" width="11.77734375" style="165" customWidth="1"/>
    <col min="2311" max="2311" width="14.88671875" style="165" customWidth="1"/>
    <col min="2312" max="2312" width="11.77734375" style="165" customWidth="1"/>
    <col min="2313" max="2313" width="20.5546875" style="165" customWidth="1"/>
    <col min="2314" max="2314" width="12.6640625" style="165" customWidth="1"/>
    <col min="2315" max="2315" width="14.5546875" style="165" customWidth="1"/>
    <col min="2316" max="2316" width="34.44140625" style="165" customWidth="1"/>
    <col min="2317" max="2317" width="10.6640625" style="165" customWidth="1"/>
    <col min="2318" max="2318" width="9.21875" style="165"/>
    <col min="2319" max="2319" width="26.44140625" style="165" customWidth="1"/>
    <col min="2320" max="2320" width="27.44140625" style="165" customWidth="1"/>
    <col min="2321" max="2560" width="9.21875" style="165"/>
    <col min="2561" max="2561" width="17.44140625" style="165" customWidth="1"/>
    <col min="2562" max="2562" width="13.77734375" style="165" customWidth="1"/>
    <col min="2563" max="2563" width="16.21875" style="165" customWidth="1"/>
    <col min="2564" max="2564" width="13" style="165" customWidth="1"/>
    <col min="2565" max="2565" width="11.21875" style="165" customWidth="1"/>
    <col min="2566" max="2566" width="11.77734375" style="165" customWidth="1"/>
    <col min="2567" max="2567" width="14.88671875" style="165" customWidth="1"/>
    <col min="2568" max="2568" width="11.77734375" style="165" customWidth="1"/>
    <col min="2569" max="2569" width="20.5546875" style="165" customWidth="1"/>
    <col min="2570" max="2570" width="12.6640625" style="165" customWidth="1"/>
    <col min="2571" max="2571" width="14.5546875" style="165" customWidth="1"/>
    <col min="2572" max="2572" width="34.44140625" style="165" customWidth="1"/>
    <col min="2573" max="2573" width="10.6640625" style="165" customWidth="1"/>
    <col min="2574" max="2574" width="9.21875" style="165"/>
    <col min="2575" max="2575" width="26.44140625" style="165" customWidth="1"/>
    <col min="2576" max="2576" width="27.44140625" style="165" customWidth="1"/>
    <col min="2577" max="2816" width="9.21875" style="165"/>
    <col min="2817" max="2817" width="17.44140625" style="165" customWidth="1"/>
    <col min="2818" max="2818" width="13.77734375" style="165" customWidth="1"/>
    <col min="2819" max="2819" width="16.21875" style="165" customWidth="1"/>
    <col min="2820" max="2820" width="13" style="165" customWidth="1"/>
    <col min="2821" max="2821" width="11.21875" style="165" customWidth="1"/>
    <col min="2822" max="2822" width="11.77734375" style="165" customWidth="1"/>
    <col min="2823" max="2823" width="14.88671875" style="165" customWidth="1"/>
    <col min="2824" max="2824" width="11.77734375" style="165" customWidth="1"/>
    <col min="2825" max="2825" width="20.5546875" style="165" customWidth="1"/>
    <col min="2826" max="2826" width="12.6640625" style="165" customWidth="1"/>
    <col min="2827" max="2827" width="14.5546875" style="165" customWidth="1"/>
    <col min="2828" max="2828" width="34.44140625" style="165" customWidth="1"/>
    <col min="2829" max="2829" width="10.6640625" style="165" customWidth="1"/>
    <col min="2830" max="2830" width="9.21875" style="165"/>
    <col min="2831" max="2831" width="26.44140625" style="165" customWidth="1"/>
    <col min="2832" max="2832" width="27.44140625" style="165" customWidth="1"/>
    <col min="2833" max="3072" width="9.21875" style="165"/>
    <col min="3073" max="3073" width="17.44140625" style="165" customWidth="1"/>
    <col min="3074" max="3074" width="13.77734375" style="165" customWidth="1"/>
    <col min="3075" max="3075" width="16.21875" style="165" customWidth="1"/>
    <col min="3076" max="3076" width="13" style="165" customWidth="1"/>
    <col min="3077" max="3077" width="11.21875" style="165" customWidth="1"/>
    <col min="3078" max="3078" width="11.77734375" style="165" customWidth="1"/>
    <col min="3079" max="3079" width="14.88671875" style="165" customWidth="1"/>
    <col min="3080" max="3080" width="11.77734375" style="165" customWidth="1"/>
    <col min="3081" max="3081" width="20.5546875" style="165" customWidth="1"/>
    <col min="3082" max="3082" width="12.6640625" style="165" customWidth="1"/>
    <col min="3083" max="3083" width="14.5546875" style="165" customWidth="1"/>
    <col min="3084" max="3084" width="34.44140625" style="165" customWidth="1"/>
    <col min="3085" max="3085" width="10.6640625" style="165" customWidth="1"/>
    <col min="3086" max="3086" width="9.21875" style="165"/>
    <col min="3087" max="3087" width="26.44140625" style="165" customWidth="1"/>
    <col min="3088" max="3088" width="27.44140625" style="165" customWidth="1"/>
    <col min="3089" max="3328" width="9.21875" style="165"/>
    <col min="3329" max="3329" width="17.44140625" style="165" customWidth="1"/>
    <col min="3330" max="3330" width="13.77734375" style="165" customWidth="1"/>
    <col min="3331" max="3331" width="16.21875" style="165" customWidth="1"/>
    <col min="3332" max="3332" width="13" style="165" customWidth="1"/>
    <col min="3333" max="3333" width="11.21875" style="165" customWidth="1"/>
    <col min="3334" max="3334" width="11.77734375" style="165" customWidth="1"/>
    <col min="3335" max="3335" width="14.88671875" style="165" customWidth="1"/>
    <col min="3336" max="3336" width="11.77734375" style="165" customWidth="1"/>
    <col min="3337" max="3337" width="20.5546875" style="165" customWidth="1"/>
    <col min="3338" max="3338" width="12.6640625" style="165" customWidth="1"/>
    <col min="3339" max="3339" width="14.5546875" style="165" customWidth="1"/>
    <col min="3340" max="3340" width="34.44140625" style="165" customWidth="1"/>
    <col min="3341" max="3341" width="10.6640625" style="165" customWidth="1"/>
    <col min="3342" max="3342" width="9.21875" style="165"/>
    <col min="3343" max="3343" width="26.44140625" style="165" customWidth="1"/>
    <col min="3344" max="3344" width="27.44140625" style="165" customWidth="1"/>
    <col min="3345" max="3584" width="9.21875" style="165"/>
    <col min="3585" max="3585" width="17.44140625" style="165" customWidth="1"/>
    <col min="3586" max="3586" width="13.77734375" style="165" customWidth="1"/>
    <col min="3587" max="3587" width="16.21875" style="165" customWidth="1"/>
    <col min="3588" max="3588" width="13" style="165" customWidth="1"/>
    <col min="3589" max="3589" width="11.21875" style="165" customWidth="1"/>
    <col min="3590" max="3590" width="11.77734375" style="165" customWidth="1"/>
    <col min="3591" max="3591" width="14.88671875" style="165" customWidth="1"/>
    <col min="3592" max="3592" width="11.77734375" style="165" customWidth="1"/>
    <col min="3593" max="3593" width="20.5546875" style="165" customWidth="1"/>
    <col min="3594" max="3594" width="12.6640625" style="165" customWidth="1"/>
    <col min="3595" max="3595" width="14.5546875" style="165" customWidth="1"/>
    <col min="3596" max="3596" width="34.44140625" style="165" customWidth="1"/>
    <col min="3597" max="3597" width="10.6640625" style="165" customWidth="1"/>
    <col min="3598" max="3598" width="9.21875" style="165"/>
    <col min="3599" max="3599" width="26.44140625" style="165" customWidth="1"/>
    <col min="3600" max="3600" width="27.44140625" style="165" customWidth="1"/>
    <col min="3601" max="3840" width="9.21875" style="165"/>
    <col min="3841" max="3841" width="17.44140625" style="165" customWidth="1"/>
    <col min="3842" max="3842" width="13.77734375" style="165" customWidth="1"/>
    <col min="3843" max="3843" width="16.21875" style="165" customWidth="1"/>
    <col min="3844" max="3844" width="13" style="165" customWidth="1"/>
    <col min="3845" max="3845" width="11.21875" style="165" customWidth="1"/>
    <col min="3846" max="3846" width="11.77734375" style="165" customWidth="1"/>
    <col min="3847" max="3847" width="14.88671875" style="165" customWidth="1"/>
    <col min="3848" max="3848" width="11.77734375" style="165" customWidth="1"/>
    <col min="3849" max="3849" width="20.5546875" style="165" customWidth="1"/>
    <col min="3850" max="3850" width="12.6640625" style="165" customWidth="1"/>
    <col min="3851" max="3851" width="14.5546875" style="165" customWidth="1"/>
    <col min="3852" max="3852" width="34.44140625" style="165" customWidth="1"/>
    <col min="3853" max="3853" width="10.6640625" style="165" customWidth="1"/>
    <col min="3854" max="3854" width="9.21875" style="165"/>
    <col min="3855" max="3855" width="26.44140625" style="165" customWidth="1"/>
    <col min="3856" max="3856" width="27.44140625" style="165" customWidth="1"/>
    <col min="3857" max="4096" width="9.21875" style="165"/>
    <col min="4097" max="4097" width="17.44140625" style="165" customWidth="1"/>
    <col min="4098" max="4098" width="13.77734375" style="165" customWidth="1"/>
    <col min="4099" max="4099" width="16.21875" style="165" customWidth="1"/>
    <col min="4100" max="4100" width="13" style="165" customWidth="1"/>
    <col min="4101" max="4101" width="11.21875" style="165" customWidth="1"/>
    <col min="4102" max="4102" width="11.77734375" style="165" customWidth="1"/>
    <col min="4103" max="4103" width="14.88671875" style="165" customWidth="1"/>
    <col min="4104" max="4104" width="11.77734375" style="165" customWidth="1"/>
    <col min="4105" max="4105" width="20.5546875" style="165" customWidth="1"/>
    <col min="4106" max="4106" width="12.6640625" style="165" customWidth="1"/>
    <col min="4107" max="4107" width="14.5546875" style="165" customWidth="1"/>
    <col min="4108" max="4108" width="34.44140625" style="165" customWidth="1"/>
    <col min="4109" max="4109" width="10.6640625" style="165" customWidth="1"/>
    <col min="4110" max="4110" width="9.21875" style="165"/>
    <col min="4111" max="4111" width="26.44140625" style="165" customWidth="1"/>
    <col min="4112" max="4112" width="27.44140625" style="165" customWidth="1"/>
    <col min="4113" max="4352" width="9.21875" style="165"/>
    <col min="4353" max="4353" width="17.44140625" style="165" customWidth="1"/>
    <col min="4354" max="4354" width="13.77734375" style="165" customWidth="1"/>
    <col min="4355" max="4355" width="16.21875" style="165" customWidth="1"/>
    <col min="4356" max="4356" width="13" style="165" customWidth="1"/>
    <col min="4357" max="4357" width="11.21875" style="165" customWidth="1"/>
    <col min="4358" max="4358" width="11.77734375" style="165" customWidth="1"/>
    <col min="4359" max="4359" width="14.88671875" style="165" customWidth="1"/>
    <col min="4360" max="4360" width="11.77734375" style="165" customWidth="1"/>
    <col min="4361" max="4361" width="20.5546875" style="165" customWidth="1"/>
    <col min="4362" max="4362" width="12.6640625" style="165" customWidth="1"/>
    <col min="4363" max="4363" width="14.5546875" style="165" customWidth="1"/>
    <col min="4364" max="4364" width="34.44140625" style="165" customWidth="1"/>
    <col min="4365" max="4365" width="10.6640625" style="165" customWidth="1"/>
    <col min="4366" max="4366" width="9.21875" style="165"/>
    <col min="4367" max="4367" width="26.44140625" style="165" customWidth="1"/>
    <col min="4368" max="4368" width="27.44140625" style="165" customWidth="1"/>
    <col min="4369" max="4608" width="9.21875" style="165"/>
    <col min="4609" max="4609" width="17.44140625" style="165" customWidth="1"/>
    <col min="4610" max="4610" width="13.77734375" style="165" customWidth="1"/>
    <col min="4611" max="4611" width="16.21875" style="165" customWidth="1"/>
    <col min="4612" max="4612" width="13" style="165" customWidth="1"/>
    <col min="4613" max="4613" width="11.21875" style="165" customWidth="1"/>
    <col min="4614" max="4614" width="11.77734375" style="165" customWidth="1"/>
    <col min="4615" max="4615" width="14.88671875" style="165" customWidth="1"/>
    <col min="4616" max="4616" width="11.77734375" style="165" customWidth="1"/>
    <col min="4617" max="4617" width="20.5546875" style="165" customWidth="1"/>
    <col min="4618" max="4618" width="12.6640625" style="165" customWidth="1"/>
    <col min="4619" max="4619" width="14.5546875" style="165" customWidth="1"/>
    <col min="4620" max="4620" width="34.44140625" style="165" customWidth="1"/>
    <col min="4621" max="4621" width="10.6640625" style="165" customWidth="1"/>
    <col min="4622" max="4622" width="9.21875" style="165"/>
    <col min="4623" max="4623" width="26.44140625" style="165" customWidth="1"/>
    <col min="4624" max="4624" width="27.44140625" style="165" customWidth="1"/>
    <col min="4625" max="4864" width="9.21875" style="165"/>
    <col min="4865" max="4865" width="17.44140625" style="165" customWidth="1"/>
    <col min="4866" max="4866" width="13.77734375" style="165" customWidth="1"/>
    <col min="4867" max="4867" width="16.21875" style="165" customWidth="1"/>
    <col min="4868" max="4868" width="13" style="165" customWidth="1"/>
    <col min="4869" max="4869" width="11.21875" style="165" customWidth="1"/>
    <col min="4870" max="4870" width="11.77734375" style="165" customWidth="1"/>
    <col min="4871" max="4871" width="14.88671875" style="165" customWidth="1"/>
    <col min="4872" max="4872" width="11.77734375" style="165" customWidth="1"/>
    <col min="4873" max="4873" width="20.5546875" style="165" customWidth="1"/>
    <col min="4874" max="4874" width="12.6640625" style="165" customWidth="1"/>
    <col min="4875" max="4875" width="14.5546875" style="165" customWidth="1"/>
    <col min="4876" max="4876" width="34.44140625" style="165" customWidth="1"/>
    <col min="4877" max="4877" width="10.6640625" style="165" customWidth="1"/>
    <col min="4878" max="4878" width="9.21875" style="165"/>
    <col min="4879" max="4879" width="26.44140625" style="165" customWidth="1"/>
    <col min="4880" max="4880" width="27.44140625" style="165" customWidth="1"/>
    <col min="4881" max="5120" width="9.21875" style="165"/>
    <col min="5121" max="5121" width="17.44140625" style="165" customWidth="1"/>
    <col min="5122" max="5122" width="13.77734375" style="165" customWidth="1"/>
    <col min="5123" max="5123" width="16.21875" style="165" customWidth="1"/>
    <col min="5124" max="5124" width="13" style="165" customWidth="1"/>
    <col min="5125" max="5125" width="11.21875" style="165" customWidth="1"/>
    <col min="5126" max="5126" width="11.77734375" style="165" customWidth="1"/>
    <col min="5127" max="5127" width="14.88671875" style="165" customWidth="1"/>
    <col min="5128" max="5128" width="11.77734375" style="165" customWidth="1"/>
    <col min="5129" max="5129" width="20.5546875" style="165" customWidth="1"/>
    <col min="5130" max="5130" width="12.6640625" style="165" customWidth="1"/>
    <col min="5131" max="5131" width="14.5546875" style="165" customWidth="1"/>
    <col min="5132" max="5132" width="34.44140625" style="165" customWidth="1"/>
    <col min="5133" max="5133" width="10.6640625" style="165" customWidth="1"/>
    <col min="5134" max="5134" width="9.21875" style="165"/>
    <col min="5135" max="5135" width="26.44140625" style="165" customWidth="1"/>
    <col min="5136" max="5136" width="27.44140625" style="165" customWidth="1"/>
    <col min="5137" max="5376" width="9.21875" style="165"/>
    <col min="5377" max="5377" width="17.44140625" style="165" customWidth="1"/>
    <col min="5378" max="5378" width="13.77734375" style="165" customWidth="1"/>
    <col min="5379" max="5379" width="16.21875" style="165" customWidth="1"/>
    <col min="5380" max="5380" width="13" style="165" customWidth="1"/>
    <col min="5381" max="5381" width="11.21875" style="165" customWidth="1"/>
    <col min="5382" max="5382" width="11.77734375" style="165" customWidth="1"/>
    <col min="5383" max="5383" width="14.88671875" style="165" customWidth="1"/>
    <col min="5384" max="5384" width="11.77734375" style="165" customWidth="1"/>
    <col min="5385" max="5385" width="20.5546875" style="165" customWidth="1"/>
    <col min="5386" max="5386" width="12.6640625" style="165" customWidth="1"/>
    <col min="5387" max="5387" width="14.5546875" style="165" customWidth="1"/>
    <col min="5388" max="5388" width="34.44140625" style="165" customWidth="1"/>
    <col min="5389" max="5389" width="10.6640625" style="165" customWidth="1"/>
    <col min="5390" max="5390" width="9.21875" style="165"/>
    <col min="5391" max="5391" width="26.44140625" style="165" customWidth="1"/>
    <col min="5392" max="5392" width="27.44140625" style="165" customWidth="1"/>
    <col min="5393" max="5632" width="9.21875" style="165"/>
    <col min="5633" max="5633" width="17.44140625" style="165" customWidth="1"/>
    <col min="5634" max="5634" width="13.77734375" style="165" customWidth="1"/>
    <col min="5635" max="5635" width="16.21875" style="165" customWidth="1"/>
    <col min="5636" max="5636" width="13" style="165" customWidth="1"/>
    <col min="5637" max="5637" width="11.21875" style="165" customWidth="1"/>
    <col min="5638" max="5638" width="11.77734375" style="165" customWidth="1"/>
    <col min="5639" max="5639" width="14.88671875" style="165" customWidth="1"/>
    <col min="5640" max="5640" width="11.77734375" style="165" customWidth="1"/>
    <col min="5641" max="5641" width="20.5546875" style="165" customWidth="1"/>
    <col min="5642" max="5642" width="12.6640625" style="165" customWidth="1"/>
    <col min="5643" max="5643" width="14.5546875" style="165" customWidth="1"/>
    <col min="5644" max="5644" width="34.44140625" style="165" customWidth="1"/>
    <col min="5645" max="5645" width="10.6640625" style="165" customWidth="1"/>
    <col min="5646" max="5646" width="9.21875" style="165"/>
    <col min="5647" max="5647" width="26.44140625" style="165" customWidth="1"/>
    <col min="5648" max="5648" width="27.44140625" style="165" customWidth="1"/>
    <col min="5649" max="5888" width="9.21875" style="165"/>
    <col min="5889" max="5889" width="17.44140625" style="165" customWidth="1"/>
    <col min="5890" max="5890" width="13.77734375" style="165" customWidth="1"/>
    <col min="5891" max="5891" width="16.21875" style="165" customWidth="1"/>
    <col min="5892" max="5892" width="13" style="165" customWidth="1"/>
    <col min="5893" max="5893" width="11.21875" style="165" customWidth="1"/>
    <col min="5894" max="5894" width="11.77734375" style="165" customWidth="1"/>
    <col min="5895" max="5895" width="14.88671875" style="165" customWidth="1"/>
    <col min="5896" max="5896" width="11.77734375" style="165" customWidth="1"/>
    <col min="5897" max="5897" width="20.5546875" style="165" customWidth="1"/>
    <col min="5898" max="5898" width="12.6640625" style="165" customWidth="1"/>
    <col min="5899" max="5899" width="14.5546875" style="165" customWidth="1"/>
    <col min="5900" max="5900" width="34.44140625" style="165" customWidth="1"/>
    <col min="5901" max="5901" width="10.6640625" style="165" customWidth="1"/>
    <col min="5902" max="5902" width="9.21875" style="165"/>
    <col min="5903" max="5903" width="26.44140625" style="165" customWidth="1"/>
    <col min="5904" max="5904" width="27.44140625" style="165" customWidth="1"/>
    <col min="5905" max="6144" width="9.21875" style="165"/>
    <col min="6145" max="6145" width="17.44140625" style="165" customWidth="1"/>
    <col min="6146" max="6146" width="13.77734375" style="165" customWidth="1"/>
    <col min="6147" max="6147" width="16.21875" style="165" customWidth="1"/>
    <col min="6148" max="6148" width="13" style="165" customWidth="1"/>
    <col min="6149" max="6149" width="11.21875" style="165" customWidth="1"/>
    <col min="6150" max="6150" width="11.77734375" style="165" customWidth="1"/>
    <col min="6151" max="6151" width="14.88671875" style="165" customWidth="1"/>
    <col min="6152" max="6152" width="11.77734375" style="165" customWidth="1"/>
    <col min="6153" max="6153" width="20.5546875" style="165" customWidth="1"/>
    <col min="6154" max="6154" width="12.6640625" style="165" customWidth="1"/>
    <col min="6155" max="6155" width="14.5546875" style="165" customWidth="1"/>
    <col min="6156" max="6156" width="34.44140625" style="165" customWidth="1"/>
    <col min="6157" max="6157" width="10.6640625" style="165" customWidth="1"/>
    <col min="6158" max="6158" width="9.21875" style="165"/>
    <col min="6159" max="6159" width="26.44140625" style="165" customWidth="1"/>
    <col min="6160" max="6160" width="27.44140625" style="165" customWidth="1"/>
    <col min="6161" max="6400" width="9.21875" style="165"/>
    <col min="6401" max="6401" width="17.44140625" style="165" customWidth="1"/>
    <col min="6402" max="6402" width="13.77734375" style="165" customWidth="1"/>
    <col min="6403" max="6403" width="16.21875" style="165" customWidth="1"/>
    <col min="6404" max="6404" width="13" style="165" customWidth="1"/>
    <col min="6405" max="6405" width="11.21875" style="165" customWidth="1"/>
    <col min="6406" max="6406" width="11.77734375" style="165" customWidth="1"/>
    <col min="6407" max="6407" width="14.88671875" style="165" customWidth="1"/>
    <col min="6408" max="6408" width="11.77734375" style="165" customWidth="1"/>
    <col min="6409" max="6409" width="20.5546875" style="165" customWidth="1"/>
    <col min="6410" max="6410" width="12.6640625" style="165" customWidth="1"/>
    <col min="6411" max="6411" width="14.5546875" style="165" customWidth="1"/>
    <col min="6412" max="6412" width="34.44140625" style="165" customWidth="1"/>
    <col min="6413" max="6413" width="10.6640625" style="165" customWidth="1"/>
    <col min="6414" max="6414" width="9.21875" style="165"/>
    <col min="6415" max="6415" width="26.44140625" style="165" customWidth="1"/>
    <col min="6416" max="6416" width="27.44140625" style="165" customWidth="1"/>
    <col min="6417" max="6656" width="9.21875" style="165"/>
    <col min="6657" max="6657" width="17.44140625" style="165" customWidth="1"/>
    <col min="6658" max="6658" width="13.77734375" style="165" customWidth="1"/>
    <col min="6659" max="6659" width="16.21875" style="165" customWidth="1"/>
    <col min="6660" max="6660" width="13" style="165" customWidth="1"/>
    <col min="6661" max="6661" width="11.21875" style="165" customWidth="1"/>
    <col min="6662" max="6662" width="11.77734375" style="165" customWidth="1"/>
    <col min="6663" max="6663" width="14.88671875" style="165" customWidth="1"/>
    <col min="6664" max="6664" width="11.77734375" style="165" customWidth="1"/>
    <col min="6665" max="6665" width="20.5546875" style="165" customWidth="1"/>
    <col min="6666" max="6666" width="12.6640625" style="165" customWidth="1"/>
    <col min="6667" max="6667" width="14.5546875" style="165" customWidth="1"/>
    <col min="6668" max="6668" width="34.44140625" style="165" customWidth="1"/>
    <col min="6669" max="6669" width="10.6640625" style="165" customWidth="1"/>
    <col min="6670" max="6670" width="9.21875" style="165"/>
    <col min="6671" max="6671" width="26.44140625" style="165" customWidth="1"/>
    <col min="6672" max="6672" width="27.44140625" style="165" customWidth="1"/>
    <col min="6673" max="6912" width="9.21875" style="165"/>
    <col min="6913" max="6913" width="17.44140625" style="165" customWidth="1"/>
    <col min="6914" max="6914" width="13.77734375" style="165" customWidth="1"/>
    <col min="6915" max="6915" width="16.21875" style="165" customWidth="1"/>
    <col min="6916" max="6916" width="13" style="165" customWidth="1"/>
    <col min="6917" max="6917" width="11.21875" style="165" customWidth="1"/>
    <col min="6918" max="6918" width="11.77734375" style="165" customWidth="1"/>
    <col min="6919" max="6919" width="14.88671875" style="165" customWidth="1"/>
    <col min="6920" max="6920" width="11.77734375" style="165" customWidth="1"/>
    <col min="6921" max="6921" width="20.5546875" style="165" customWidth="1"/>
    <col min="6922" max="6922" width="12.6640625" style="165" customWidth="1"/>
    <col min="6923" max="6923" width="14.5546875" style="165" customWidth="1"/>
    <col min="6924" max="6924" width="34.44140625" style="165" customWidth="1"/>
    <col min="6925" max="6925" width="10.6640625" style="165" customWidth="1"/>
    <col min="6926" max="6926" width="9.21875" style="165"/>
    <col min="6927" max="6927" width="26.44140625" style="165" customWidth="1"/>
    <col min="6928" max="6928" width="27.44140625" style="165" customWidth="1"/>
    <col min="6929" max="7168" width="9.21875" style="165"/>
    <col min="7169" max="7169" width="17.44140625" style="165" customWidth="1"/>
    <col min="7170" max="7170" width="13.77734375" style="165" customWidth="1"/>
    <col min="7171" max="7171" width="16.21875" style="165" customWidth="1"/>
    <col min="7172" max="7172" width="13" style="165" customWidth="1"/>
    <col min="7173" max="7173" width="11.21875" style="165" customWidth="1"/>
    <col min="7174" max="7174" width="11.77734375" style="165" customWidth="1"/>
    <col min="7175" max="7175" width="14.88671875" style="165" customWidth="1"/>
    <col min="7176" max="7176" width="11.77734375" style="165" customWidth="1"/>
    <col min="7177" max="7177" width="20.5546875" style="165" customWidth="1"/>
    <col min="7178" max="7178" width="12.6640625" style="165" customWidth="1"/>
    <col min="7179" max="7179" width="14.5546875" style="165" customWidth="1"/>
    <col min="7180" max="7180" width="34.44140625" style="165" customWidth="1"/>
    <col min="7181" max="7181" width="10.6640625" style="165" customWidth="1"/>
    <col min="7182" max="7182" width="9.21875" style="165"/>
    <col min="7183" max="7183" width="26.44140625" style="165" customWidth="1"/>
    <col min="7184" max="7184" width="27.44140625" style="165" customWidth="1"/>
    <col min="7185" max="7424" width="9.21875" style="165"/>
    <col min="7425" max="7425" width="17.44140625" style="165" customWidth="1"/>
    <col min="7426" max="7426" width="13.77734375" style="165" customWidth="1"/>
    <col min="7427" max="7427" width="16.21875" style="165" customWidth="1"/>
    <col min="7428" max="7428" width="13" style="165" customWidth="1"/>
    <col min="7429" max="7429" width="11.21875" style="165" customWidth="1"/>
    <col min="7430" max="7430" width="11.77734375" style="165" customWidth="1"/>
    <col min="7431" max="7431" width="14.88671875" style="165" customWidth="1"/>
    <col min="7432" max="7432" width="11.77734375" style="165" customWidth="1"/>
    <col min="7433" max="7433" width="20.5546875" style="165" customWidth="1"/>
    <col min="7434" max="7434" width="12.6640625" style="165" customWidth="1"/>
    <col min="7435" max="7435" width="14.5546875" style="165" customWidth="1"/>
    <col min="7436" max="7436" width="34.44140625" style="165" customWidth="1"/>
    <col min="7437" max="7437" width="10.6640625" style="165" customWidth="1"/>
    <col min="7438" max="7438" width="9.21875" style="165"/>
    <col min="7439" max="7439" width="26.44140625" style="165" customWidth="1"/>
    <col min="7440" max="7440" width="27.44140625" style="165" customWidth="1"/>
    <col min="7441" max="7680" width="9.21875" style="165"/>
    <col min="7681" max="7681" width="17.44140625" style="165" customWidth="1"/>
    <col min="7682" max="7682" width="13.77734375" style="165" customWidth="1"/>
    <col min="7683" max="7683" width="16.21875" style="165" customWidth="1"/>
    <col min="7684" max="7684" width="13" style="165" customWidth="1"/>
    <col min="7685" max="7685" width="11.21875" style="165" customWidth="1"/>
    <col min="7686" max="7686" width="11.77734375" style="165" customWidth="1"/>
    <col min="7687" max="7687" width="14.88671875" style="165" customWidth="1"/>
    <col min="7688" max="7688" width="11.77734375" style="165" customWidth="1"/>
    <col min="7689" max="7689" width="20.5546875" style="165" customWidth="1"/>
    <col min="7690" max="7690" width="12.6640625" style="165" customWidth="1"/>
    <col min="7691" max="7691" width="14.5546875" style="165" customWidth="1"/>
    <col min="7692" max="7692" width="34.44140625" style="165" customWidth="1"/>
    <col min="7693" max="7693" width="10.6640625" style="165" customWidth="1"/>
    <col min="7694" max="7694" width="9.21875" style="165"/>
    <col min="7695" max="7695" width="26.44140625" style="165" customWidth="1"/>
    <col min="7696" max="7696" width="27.44140625" style="165" customWidth="1"/>
    <col min="7697" max="7936" width="9.21875" style="165"/>
    <col min="7937" max="7937" width="17.44140625" style="165" customWidth="1"/>
    <col min="7938" max="7938" width="13.77734375" style="165" customWidth="1"/>
    <col min="7939" max="7939" width="16.21875" style="165" customWidth="1"/>
    <col min="7940" max="7940" width="13" style="165" customWidth="1"/>
    <col min="7941" max="7941" width="11.21875" style="165" customWidth="1"/>
    <col min="7942" max="7942" width="11.77734375" style="165" customWidth="1"/>
    <col min="7943" max="7943" width="14.88671875" style="165" customWidth="1"/>
    <col min="7944" max="7944" width="11.77734375" style="165" customWidth="1"/>
    <col min="7945" max="7945" width="20.5546875" style="165" customWidth="1"/>
    <col min="7946" max="7946" width="12.6640625" style="165" customWidth="1"/>
    <col min="7947" max="7947" width="14.5546875" style="165" customWidth="1"/>
    <col min="7948" max="7948" width="34.44140625" style="165" customWidth="1"/>
    <col min="7949" max="7949" width="10.6640625" style="165" customWidth="1"/>
    <col min="7950" max="7950" width="9.21875" style="165"/>
    <col min="7951" max="7951" width="26.44140625" style="165" customWidth="1"/>
    <col min="7952" max="7952" width="27.44140625" style="165" customWidth="1"/>
    <col min="7953" max="8192" width="9.21875" style="165"/>
    <col min="8193" max="8193" width="17.44140625" style="165" customWidth="1"/>
    <col min="8194" max="8194" width="13.77734375" style="165" customWidth="1"/>
    <col min="8195" max="8195" width="16.21875" style="165" customWidth="1"/>
    <col min="8196" max="8196" width="13" style="165" customWidth="1"/>
    <col min="8197" max="8197" width="11.21875" style="165" customWidth="1"/>
    <col min="8198" max="8198" width="11.77734375" style="165" customWidth="1"/>
    <col min="8199" max="8199" width="14.88671875" style="165" customWidth="1"/>
    <col min="8200" max="8200" width="11.77734375" style="165" customWidth="1"/>
    <col min="8201" max="8201" width="20.5546875" style="165" customWidth="1"/>
    <col min="8202" max="8202" width="12.6640625" style="165" customWidth="1"/>
    <col min="8203" max="8203" width="14.5546875" style="165" customWidth="1"/>
    <col min="8204" max="8204" width="34.44140625" style="165" customWidth="1"/>
    <col min="8205" max="8205" width="10.6640625" style="165" customWidth="1"/>
    <col min="8206" max="8206" width="9.21875" style="165"/>
    <col min="8207" max="8207" width="26.44140625" style="165" customWidth="1"/>
    <col min="8208" max="8208" width="27.44140625" style="165" customWidth="1"/>
    <col min="8209" max="8448" width="9.21875" style="165"/>
    <col min="8449" max="8449" width="17.44140625" style="165" customWidth="1"/>
    <col min="8450" max="8450" width="13.77734375" style="165" customWidth="1"/>
    <col min="8451" max="8451" width="16.21875" style="165" customWidth="1"/>
    <col min="8452" max="8452" width="13" style="165" customWidth="1"/>
    <col min="8453" max="8453" width="11.21875" style="165" customWidth="1"/>
    <col min="8454" max="8454" width="11.77734375" style="165" customWidth="1"/>
    <col min="8455" max="8455" width="14.88671875" style="165" customWidth="1"/>
    <col min="8456" max="8456" width="11.77734375" style="165" customWidth="1"/>
    <col min="8457" max="8457" width="20.5546875" style="165" customWidth="1"/>
    <col min="8458" max="8458" width="12.6640625" style="165" customWidth="1"/>
    <col min="8459" max="8459" width="14.5546875" style="165" customWidth="1"/>
    <col min="8460" max="8460" width="34.44140625" style="165" customWidth="1"/>
    <col min="8461" max="8461" width="10.6640625" style="165" customWidth="1"/>
    <col min="8462" max="8462" width="9.21875" style="165"/>
    <col min="8463" max="8463" width="26.44140625" style="165" customWidth="1"/>
    <col min="8464" max="8464" width="27.44140625" style="165" customWidth="1"/>
    <col min="8465" max="8704" width="9.21875" style="165"/>
    <col min="8705" max="8705" width="17.44140625" style="165" customWidth="1"/>
    <col min="8706" max="8706" width="13.77734375" style="165" customWidth="1"/>
    <col min="8707" max="8707" width="16.21875" style="165" customWidth="1"/>
    <col min="8708" max="8708" width="13" style="165" customWidth="1"/>
    <col min="8709" max="8709" width="11.21875" style="165" customWidth="1"/>
    <col min="8710" max="8710" width="11.77734375" style="165" customWidth="1"/>
    <col min="8711" max="8711" width="14.88671875" style="165" customWidth="1"/>
    <col min="8712" max="8712" width="11.77734375" style="165" customWidth="1"/>
    <col min="8713" max="8713" width="20.5546875" style="165" customWidth="1"/>
    <col min="8714" max="8714" width="12.6640625" style="165" customWidth="1"/>
    <col min="8715" max="8715" width="14.5546875" style="165" customWidth="1"/>
    <col min="8716" max="8716" width="34.44140625" style="165" customWidth="1"/>
    <col min="8717" max="8717" width="10.6640625" style="165" customWidth="1"/>
    <col min="8718" max="8718" width="9.21875" style="165"/>
    <col min="8719" max="8719" width="26.44140625" style="165" customWidth="1"/>
    <col min="8720" max="8720" width="27.44140625" style="165" customWidth="1"/>
    <col min="8721" max="8960" width="9.21875" style="165"/>
    <col min="8961" max="8961" width="17.44140625" style="165" customWidth="1"/>
    <col min="8962" max="8962" width="13.77734375" style="165" customWidth="1"/>
    <col min="8963" max="8963" width="16.21875" style="165" customWidth="1"/>
    <col min="8964" max="8964" width="13" style="165" customWidth="1"/>
    <col min="8965" max="8965" width="11.21875" style="165" customWidth="1"/>
    <col min="8966" max="8966" width="11.77734375" style="165" customWidth="1"/>
    <col min="8967" max="8967" width="14.88671875" style="165" customWidth="1"/>
    <col min="8968" max="8968" width="11.77734375" style="165" customWidth="1"/>
    <col min="8969" max="8969" width="20.5546875" style="165" customWidth="1"/>
    <col min="8970" max="8970" width="12.6640625" style="165" customWidth="1"/>
    <col min="8971" max="8971" width="14.5546875" style="165" customWidth="1"/>
    <col min="8972" max="8972" width="34.44140625" style="165" customWidth="1"/>
    <col min="8973" max="8973" width="10.6640625" style="165" customWidth="1"/>
    <col min="8974" max="8974" width="9.21875" style="165"/>
    <col min="8975" max="8975" width="26.44140625" style="165" customWidth="1"/>
    <col min="8976" max="8976" width="27.44140625" style="165" customWidth="1"/>
    <col min="8977" max="9216" width="9.21875" style="165"/>
    <col min="9217" max="9217" width="17.44140625" style="165" customWidth="1"/>
    <col min="9218" max="9218" width="13.77734375" style="165" customWidth="1"/>
    <col min="9219" max="9219" width="16.21875" style="165" customWidth="1"/>
    <col min="9220" max="9220" width="13" style="165" customWidth="1"/>
    <col min="9221" max="9221" width="11.21875" style="165" customWidth="1"/>
    <col min="9222" max="9222" width="11.77734375" style="165" customWidth="1"/>
    <col min="9223" max="9223" width="14.88671875" style="165" customWidth="1"/>
    <col min="9224" max="9224" width="11.77734375" style="165" customWidth="1"/>
    <col min="9225" max="9225" width="20.5546875" style="165" customWidth="1"/>
    <col min="9226" max="9226" width="12.6640625" style="165" customWidth="1"/>
    <col min="9227" max="9227" width="14.5546875" style="165" customWidth="1"/>
    <col min="9228" max="9228" width="34.44140625" style="165" customWidth="1"/>
    <col min="9229" max="9229" width="10.6640625" style="165" customWidth="1"/>
    <col min="9230" max="9230" width="9.21875" style="165"/>
    <col min="9231" max="9231" width="26.44140625" style="165" customWidth="1"/>
    <col min="9232" max="9232" width="27.44140625" style="165" customWidth="1"/>
    <col min="9233" max="9472" width="9.21875" style="165"/>
    <col min="9473" max="9473" width="17.44140625" style="165" customWidth="1"/>
    <col min="9474" max="9474" width="13.77734375" style="165" customWidth="1"/>
    <col min="9475" max="9475" width="16.21875" style="165" customWidth="1"/>
    <col min="9476" max="9476" width="13" style="165" customWidth="1"/>
    <col min="9477" max="9477" width="11.21875" style="165" customWidth="1"/>
    <col min="9478" max="9478" width="11.77734375" style="165" customWidth="1"/>
    <col min="9479" max="9479" width="14.88671875" style="165" customWidth="1"/>
    <col min="9480" max="9480" width="11.77734375" style="165" customWidth="1"/>
    <col min="9481" max="9481" width="20.5546875" style="165" customWidth="1"/>
    <col min="9482" max="9482" width="12.6640625" style="165" customWidth="1"/>
    <col min="9483" max="9483" width="14.5546875" style="165" customWidth="1"/>
    <col min="9484" max="9484" width="34.44140625" style="165" customWidth="1"/>
    <col min="9485" max="9485" width="10.6640625" style="165" customWidth="1"/>
    <col min="9486" max="9486" width="9.21875" style="165"/>
    <col min="9487" max="9487" width="26.44140625" style="165" customWidth="1"/>
    <col min="9488" max="9488" width="27.44140625" style="165" customWidth="1"/>
    <col min="9489" max="9728" width="9.21875" style="165"/>
    <col min="9729" max="9729" width="17.44140625" style="165" customWidth="1"/>
    <col min="9730" max="9730" width="13.77734375" style="165" customWidth="1"/>
    <col min="9731" max="9731" width="16.21875" style="165" customWidth="1"/>
    <col min="9732" max="9732" width="13" style="165" customWidth="1"/>
    <col min="9733" max="9733" width="11.21875" style="165" customWidth="1"/>
    <col min="9734" max="9734" width="11.77734375" style="165" customWidth="1"/>
    <col min="9735" max="9735" width="14.88671875" style="165" customWidth="1"/>
    <col min="9736" max="9736" width="11.77734375" style="165" customWidth="1"/>
    <col min="9737" max="9737" width="20.5546875" style="165" customWidth="1"/>
    <col min="9738" max="9738" width="12.6640625" style="165" customWidth="1"/>
    <col min="9739" max="9739" width="14.5546875" style="165" customWidth="1"/>
    <col min="9740" max="9740" width="34.44140625" style="165" customWidth="1"/>
    <col min="9741" max="9741" width="10.6640625" style="165" customWidth="1"/>
    <col min="9742" max="9742" width="9.21875" style="165"/>
    <col min="9743" max="9743" width="26.44140625" style="165" customWidth="1"/>
    <col min="9744" max="9744" width="27.44140625" style="165" customWidth="1"/>
    <col min="9745" max="9984" width="9.21875" style="165"/>
    <col min="9985" max="9985" width="17.44140625" style="165" customWidth="1"/>
    <col min="9986" max="9986" width="13.77734375" style="165" customWidth="1"/>
    <col min="9987" max="9987" width="16.21875" style="165" customWidth="1"/>
    <col min="9988" max="9988" width="13" style="165" customWidth="1"/>
    <col min="9989" max="9989" width="11.21875" style="165" customWidth="1"/>
    <col min="9990" max="9990" width="11.77734375" style="165" customWidth="1"/>
    <col min="9991" max="9991" width="14.88671875" style="165" customWidth="1"/>
    <col min="9992" max="9992" width="11.77734375" style="165" customWidth="1"/>
    <col min="9993" max="9993" width="20.5546875" style="165" customWidth="1"/>
    <col min="9994" max="9994" width="12.6640625" style="165" customWidth="1"/>
    <col min="9995" max="9995" width="14.5546875" style="165" customWidth="1"/>
    <col min="9996" max="9996" width="34.44140625" style="165" customWidth="1"/>
    <col min="9997" max="9997" width="10.6640625" style="165" customWidth="1"/>
    <col min="9998" max="9998" width="9.21875" style="165"/>
    <col min="9999" max="9999" width="26.44140625" style="165" customWidth="1"/>
    <col min="10000" max="10000" width="27.44140625" style="165" customWidth="1"/>
    <col min="10001" max="10240" width="9.21875" style="165"/>
    <col min="10241" max="10241" width="17.44140625" style="165" customWidth="1"/>
    <col min="10242" max="10242" width="13.77734375" style="165" customWidth="1"/>
    <col min="10243" max="10243" width="16.21875" style="165" customWidth="1"/>
    <col min="10244" max="10244" width="13" style="165" customWidth="1"/>
    <col min="10245" max="10245" width="11.21875" style="165" customWidth="1"/>
    <col min="10246" max="10246" width="11.77734375" style="165" customWidth="1"/>
    <col min="10247" max="10247" width="14.88671875" style="165" customWidth="1"/>
    <col min="10248" max="10248" width="11.77734375" style="165" customWidth="1"/>
    <col min="10249" max="10249" width="20.5546875" style="165" customWidth="1"/>
    <col min="10250" max="10250" width="12.6640625" style="165" customWidth="1"/>
    <col min="10251" max="10251" width="14.5546875" style="165" customWidth="1"/>
    <col min="10252" max="10252" width="34.44140625" style="165" customWidth="1"/>
    <col min="10253" max="10253" width="10.6640625" style="165" customWidth="1"/>
    <col min="10254" max="10254" width="9.21875" style="165"/>
    <col min="10255" max="10255" width="26.44140625" style="165" customWidth="1"/>
    <col min="10256" max="10256" width="27.44140625" style="165" customWidth="1"/>
    <col min="10257" max="10496" width="9.21875" style="165"/>
    <col min="10497" max="10497" width="17.44140625" style="165" customWidth="1"/>
    <col min="10498" max="10498" width="13.77734375" style="165" customWidth="1"/>
    <col min="10499" max="10499" width="16.21875" style="165" customWidth="1"/>
    <col min="10500" max="10500" width="13" style="165" customWidth="1"/>
    <col min="10501" max="10501" width="11.21875" style="165" customWidth="1"/>
    <col min="10502" max="10502" width="11.77734375" style="165" customWidth="1"/>
    <col min="10503" max="10503" width="14.88671875" style="165" customWidth="1"/>
    <col min="10504" max="10504" width="11.77734375" style="165" customWidth="1"/>
    <col min="10505" max="10505" width="20.5546875" style="165" customWidth="1"/>
    <col min="10506" max="10506" width="12.6640625" style="165" customWidth="1"/>
    <col min="10507" max="10507" width="14.5546875" style="165" customWidth="1"/>
    <col min="10508" max="10508" width="34.44140625" style="165" customWidth="1"/>
    <col min="10509" max="10509" width="10.6640625" style="165" customWidth="1"/>
    <col min="10510" max="10510" width="9.21875" style="165"/>
    <col min="10511" max="10511" width="26.44140625" style="165" customWidth="1"/>
    <col min="10512" max="10512" width="27.44140625" style="165" customWidth="1"/>
    <col min="10513" max="10752" width="9.21875" style="165"/>
    <col min="10753" max="10753" width="17.44140625" style="165" customWidth="1"/>
    <col min="10754" max="10754" width="13.77734375" style="165" customWidth="1"/>
    <col min="10755" max="10755" width="16.21875" style="165" customWidth="1"/>
    <col min="10756" max="10756" width="13" style="165" customWidth="1"/>
    <col min="10757" max="10757" width="11.21875" style="165" customWidth="1"/>
    <col min="10758" max="10758" width="11.77734375" style="165" customWidth="1"/>
    <col min="10759" max="10759" width="14.88671875" style="165" customWidth="1"/>
    <col min="10760" max="10760" width="11.77734375" style="165" customWidth="1"/>
    <col min="10761" max="10761" width="20.5546875" style="165" customWidth="1"/>
    <col min="10762" max="10762" width="12.6640625" style="165" customWidth="1"/>
    <col min="10763" max="10763" width="14.5546875" style="165" customWidth="1"/>
    <col min="10764" max="10764" width="34.44140625" style="165" customWidth="1"/>
    <col min="10765" max="10765" width="10.6640625" style="165" customWidth="1"/>
    <col min="10766" max="10766" width="9.21875" style="165"/>
    <col min="10767" max="10767" width="26.44140625" style="165" customWidth="1"/>
    <col min="10768" max="10768" width="27.44140625" style="165" customWidth="1"/>
    <col min="10769" max="11008" width="9.21875" style="165"/>
    <col min="11009" max="11009" width="17.44140625" style="165" customWidth="1"/>
    <col min="11010" max="11010" width="13.77734375" style="165" customWidth="1"/>
    <col min="11011" max="11011" width="16.21875" style="165" customWidth="1"/>
    <col min="11012" max="11012" width="13" style="165" customWidth="1"/>
    <col min="11013" max="11013" width="11.21875" style="165" customWidth="1"/>
    <col min="11014" max="11014" width="11.77734375" style="165" customWidth="1"/>
    <col min="11015" max="11015" width="14.88671875" style="165" customWidth="1"/>
    <col min="11016" max="11016" width="11.77734375" style="165" customWidth="1"/>
    <col min="11017" max="11017" width="20.5546875" style="165" customWidth="1"/>
    <col min="11018" max="11018" width="12.6640625" style="165" customWidth="1"/>
    <col min="11019" max="11019" width="14.5546875" style="165" customWidth="1"/>
    <col min="11020" max="11020" width="34.44140625" style="165" customWidth="1"/>
    <col min="11021" max="11021" width="10.6640625" style="165" customWidth="1"/>
    <col min="11022" max="11022" width="9.21875" style="165"/>
    <col min="11023" max="11023" width="26.44140625" style="165" customWidth="1"/>
    <col min="11024" max="11024" width="27.44140625" style="165" customWidth="1"/>
    <col min="11025" max="11264" width="9.21875" style="165"/>
    <col min="11265" max="11265" width="17.44140625" style="165" customWidth="1"/>
    <col min="11266" max="11266" width="13.77734375" style="165" customWidth="1"/>
    <col min="11267" max="11267" width="16.21875" style="165" customWidth="1"/>
    <col min="11268" max="11268" width="13" style="165" customWidth="1"/>
    <col min="11269" max="11269" width="11.21875" style="165" customWidth="1"/>
    <col min="11270" max="11270" width="11.77734375" style="165" customWidth="1"/>
    <col min="11271" max="11271" width="14.88671875" style="165" customWidth="1"/>
    <col min="11272" max="11272" width="11.77734375" style="165" customWidth="1"/>
    <col min="11273" max="11273" width="20.5546875" style="165" customWidth="1"/>
    <col min="11274" max="11274" width="12.6640625" style="165" customWidth="1"/>
    <col min="11275" max="11275" width="14.5546875" style="165" customWidth="1"/>
    <col min="11276" max="11276" width="34.44140625" style="165" customWidth="1"/>
    <col min="11277" max="11277" width="10.6640625" style="165" customWidth="1"/>
    <col min="11278" max="11278" width="9.21875" style="165"/>
    <col min="11279" max="11279" width="26.44140625" style="165" customWidth="1"/>
    <col min="11280" max="11280" width="27.44140625" style="165" customWidth="1"/>
    <col min="11281" max="11520" width="9.21875" style="165"/>
    <col min="11521" max="11521" width="17.44140625" style="165" customWidth="1"/>
    <col min="11522" max="11522" width="13.77734375" style="165" customWidth="1"/>
    <col min="11523" max="11523" width="16.21875" style="165" customWidth="1"/>
    <col min="11524" max="11524" width="13" style="165" customWidth="1"/>
    <col min="11525" max="11525" width="11.21875" style="165" customWidth="1"/>
    <col min="11526" max="11526" width="11.77734375" style="165" customWidth="1"/>
    <col min="11527" max="11527" width="14.88671875" style="165" customWidth="1"/>
    <col min="11528" max="11528" width="11.77734375" style="165" customWidth="1"/>
    <col min="11529" max="11529" width="20.5546875" style="165" customWidth="1"/>
    <col min="11530" max="11530" width="12.6640625" style="165" customWidth="1"/>
    <col min="11531" max="11531" width="14.5546875" style="165" customWidth="1"/>
    <col min="11532" max="11532" width="34.44140625" style="165" customWidth="1"/>
    <col min="11533" max="11533" width="10.6640625" style="165" customWidth="1"/>
    <col min="11534" max="11534" width="9.21875" style="165"/>
    <col min="11535" max="11535" width="26.44140625" style="165" customWidth="1"/>
    <col min="11536" max="11536" width="27.44140625" style="165" customWidth="1"/>
    <col min="11537" max="11776" width="9.21875" style="165"/>
    <col min="11777" max="11777" width="17.44140625" style="165" customWidth="1"/>
    <col min="11778" max="11778" width="13.77734375" style="165" customWidth="1"/>
    <col min="11779" max="11779" width="16.21875" style="165" customWidth="1"/>
    <col min="11780" max="11780" width="13" style="165" customWidth="1"/>
    <col min="11781" max="11781" width="11.21875" style="165" customWidth="1"/>
    <col min="11782" max="11782" width="11.77734375" style="165" customWidth="1"/>
    <col min="11783" max="11783" width="14.88671875" style="165" customWidth="1"/>
    <col min="11784" max="11784" width="11.77734375" style="165" customWidth="1"/>
    <col min="11785" max="11785" width="20.5546875" style="165" customWidth="1"/>
    <col min="11786" max="11786" width="12.6640625" style="165" customWidth="1"/>
    <col min="11787" max="11787" width="14.5546875" style="165" customWidth="1"/>
    <col min="11788" max="11788" width="34.44140625" style="165" customWidth="1"/>
    <col min="11789" max="11789" width="10.6640625" style="165" customWidth="1"/>
    <col min="11790" max="11790" width="9.21875" style="165"/>
    <col min="11791" max="11791" width="26.44140625" style="165" customWidth="1"/>
    <col min="11792" max="11792" width="27.44140625" style="165" customWidth="1"/>
    <col min="11793" max="12032" width="9.21875" style="165"/>
    <col min="12033" max="12033" width="17.44140625" style="165" customWidth="1"/>
    <col min="12034" max="12034" width="13.77734375" style="165" customWidth="1"/>
    <col min="12035" max="12035" width="16.21875" style="165" customWidth="1"/>
    <col min="12036" max="12036" width="13" style="165" customWidth="1"/>
    <col min="12037" max="12037" width="11.21875" style="165" customWidth="1"/>
    <col min="12038" max="12038" width="11.77734375" style="165" customWidth="1"/>
    <col min="12039" max="12039" width="14.88671875" style="165" customWidth="1"/>
    <col min="12040" max="12040" width="11.77734375" style="165" customWidth="1"/>
    <col min="12041" max="12041" width="20.5546875" style="165" customWidth="1"/>
    <col min="12042" max="12042" width="12.6640625" style="165" customWidth="1"/>
    <col min="12043" max="12043" width="14.5546875" style="165" customWidth="1"/>
    <col min="12044" max="12044" width="34.44140625" style="165" customWidth="1"/>
    <col min="12045" max="12045" width="10.6640625" style="165" customWidth="1"/>
    <col min="12046" max="12046" width="9.21875" style="165"/>
    <col min="12047" max="12047" width="26.44140625" style="165" customWidth="1"/>
    <col min="12048" max="12048" width="27.44140625" style="165" customWidth="1"/>
    <col min="12049" max="12288" width="9.21875" style="165"/>
    <col min="12289" max="12289" width="17.44140625" style="165" customWidth="1"/>
    <col min="12290" max="12290" width="13.77734375" style="165" customWidth="1"/>
    <col min="12291" max="12291" width="16.21875" style="165" customWidth="1"/>
    <col min="12292" max="12292" width="13" style="165" customWidth="1"/>
    <col min="12293" max="12293" width="11.21875" style="165" customWidth="1"/>
    <col min="12294" max="12294" width="11.77734375" style="165" customWidth="1"/>
    <col min="12295" max="12295" width="14.88671875" style="165" customWidth="1"/>
    <col min="12296" max="12296" width="11.77734375" style="165" customWidth="1"/>
    <col min="12297" max="12297" width="20.5546875" style="165" customWidth="1"/>
    <col min="12298" max="12298" width="12.6640625" style="165" customWidth="1"/>
    <col min="12299" max="12299" width="14.5546875" style="165" customWidth="1"/>
    <col min="12300" max="12300" width="34.44140625" style="165" customWidth="1"/>
    <col min="12301" max="12301" width="10.6640625" style="165" customWidth="1"/>
    <col min="12302" max="12302" width="9.21875" style="165"/>
    <col min="12303" max="12303" width="26.44140625" style="165" customWidth="1"/>
    <col min="12304" max="12304" width="27.44140625" style="165" customWidth="1"/>
    <col min="12305" max="12544" width="9.21875" style="165"/>
    <col min="12545" max="12545" width="17.44140625" style="165" customWidth="1"/>
    <col min="12546" max="12546" width="13.77734375" style="165" customWidth="1"/>
    <col min="12547" max="12547" width="16.21875" style="165" customWidth="1"/>
    <col min="12548" max="12548" width="13" style="165" customWidth="1"/>
    <col min="12549" max="12549" width="11.21875" style="165" customWidth="1"/>
    <col min="12550" max="12550" width="11.77734375" style="165" customWidth="1"/>
    <col min="12551" max="12551" width="14.88671875" style="165" customWidth="1"/>
    <col min="12552" max="12552" width="11.77734375" style="165" customWidth="1"/>
    <col min="12553" max="12553" width="20.5546875" style="165" customWidth="1"/>
    <col min="12554" max="12554" width="12.6640625" style="165" customWidth="1"/>
    <col min="12555" max="12555" width="14.5546875" style="165" customWidth="1"/>
    <col min="12556" max="12556" width="34.44140625" style="165" customWidth="1"/>
    <col min="12557" max="12557" width="10.6640625" style="165" customWidth="1"/>
    <col min="12558" max="12558" width="9.21875" style="165"/>
    <col min="12559" max="12559" width="26.44140625" style="165" customWidth="1"/>
    <col min="12560" max="12560" width="27.44140625" style="165" customWidth="1"/>
    <col min="12561" max="12800" width="9.21875" style="165"/>
    <col min="12801" max="12801" width="17.44140625" style="165" customWidth="1"/>
    <col min="12802" max="12802" width="13.77734375" style="165" customWidth="1"/>
    <col min="12803" max="12803" width="16.21875" style="165" customWidth="1"/>
    <col min="12804" max="12804" width="13" style="165" customWidth="1"/>
    <col min="12805" max="12805" width="11.21875" style="165" customWidth="1"/>
    <col min="12806" max="12806" width="11.77734375" style="165" customWidth="1"/>
    <col min="12807" max="12807" width="14.88671875" style="165" customWidth="1"/>
    <col min="12808" max="12808" width="11.77734375" style="165" customWidth="1"/>
    <col min="12809" max="12809" width="20.5546875" style="165" customWidth="1"/>
    <col min="12810" max="12810" width="12.6640625" style="165" customWidth="1"/>
    <col min="12811" max="12811" width="14.5546875" style="165" customWidth="1"/>
    <col min="12812" max="12812" width="34.44140625" style="165" customWidth="1"/>
    <col min="12813" max="12813" width="10.6640625" style="165" customWidth="1"/>
    <col min="12814" max="12814" width="9.21875" style="165"/>
    <col min="12815" max="12815" width="26.44140625" style="165" customWidth="1"/>
    <col min="12816" max="12816" width="27.44140625" style="165" customWidth="1"/>
    <col min="12817" max="13056" width="9.21875" style="165"/>
    <col min="13057" max="13057" width="17.44140625" style="165" customWidth="1"/>
    <col min="13058" max="13058" width="13.77734375" style="165" customWidth="1"/>
    <col min="13059" max="13059" width="16.21875" style="165" customWidth="1"/>
    <col min="13060" max="13060" width="13" style="165" customWidth="1"/>
    <col min="13061" max="13061" width="11.21875" style="165" customWidth="1"/>
    <col min="13062" max="13062" width="11.77734375" style="165" customWidth="1"/>
    <col min="13063" max="13063" width="14.88671875" style="165" customWidth="1"/>
    <col min="13064" max="13064" width="11.77734375" style="165" customWidth="1"/>
    <col min="13065" max="13065" width="20.5546875" style="165" customWidth="1"/>
    <col min="13066" max="13066" width="12.6640625" style="165" customWidth="1"/>
    <col min="13067" max="13067" width="14.5546875" style="165" customWidth="1"/>
    <col min="13068" max="13068" width="34.44140625" style="165" customWidth="1"/>
    <col min="13069" max="13069" width="10.6640625" style="165" customWidth="1"/>
    <col min="13070" max="13070" width="9.21875" style="165"/>
    <col min="13071" max="13071" width="26.44140625" style="165" customWidth="1"/>
    <col min="13072" max="13072" width="27.44140625" style="165" customWidth="1"/>
    <col min="13073" max="13312" width="9.21875" style="165"/>
    <col min="13313" max="13313" width="17.44140625" style="165" customWidth="1"/>
    <col min="13314" max="13314" width="13.77734375" style="165" customWidth="1"/>
    <col min="13315" max="13315" width="16.21875" style="165" customWidth="1"/>
    <col min="13316" max="13316" width="13" style="165" customWidth="1"/>
    <col min="13317" max="13317" width="11.21875" style="165" customWidth="1"/>
    <col min="13318" max="13318" width="11.77734375" style="165" customWidth="1"/>
    <col min="13319" max="13319" width="14.88671875" style="165" customWidth="1"/>
    <col min="13320" max="13320" width="11.77734375" style="165" customWidth="1"/>
    <col min="13321" max="13321" width="20.5546875" style="165" customWidth="1"/>
    <col min="13322" max="13322" width="12.6640625" style="165" customWidth="1"/>
    <col min="13323" max="13323" width="14.5546875" style="165" customWidth="1"/>
    <col min="13324" max="13324" width="34.44140625" style="165" customWidth="1"/>
    <col min="13325" max="13325" width="10.6640625" style="165" customWidth="1"/>
    <col min="13326" max="13326" width="9.21875" style="165"/>
    <col min="13327" max="13327" width="26.44140625" style="165" customWidth="1"/>
    <col min="13328" max="13328" width="27.44140625" style="165" customWidth="1"/>
    <col min="13329" max="13568" width="9.21875" style="165"/>
    <col min="13569" max="13569" width="17.44140625" style="165" customWidth="1"/>
    <col min="13570" max="13570" width="13.77734375" style="165" customWidth="1"/>
    <col min="13571" max="13571" width="16.21875" style="165" customWidth="1"/>
    <col min="13572" max="13572" width="13" style="165" customWidth="1"/>
    <col min="13573" max="13573" width="11.21875" style="165" customWidth="1"/>
    <col min="13574" max="13574" width="11.77734375" style="165" customWidth="1"/>
    <col min="13575" max="13575" width="14.88671875" style="165" customWidth="1"/>
    <col min="13576" max="13576" width="11.77734375" style="165" customWidth="1"/>
    <col min="13577" max="13577" width="20.5546875" style="165" customWidth="1"/>
    <col min="13578" max="13578" width="12.6640625" style="165" customWidth="1"/>
    <col min="13579" max="13579" width="14.5546875" style="165" customWidth="1"/>
    <col min="13580" max="13580" width="34.44140625" style="165" customWidth="1"/>
    <col min="13581" max="13581" width="10.6640625" style="165" customWidth="1"/>
    <col min="13582" max="13582" width="9.21875" style="165"/>
    <col min="13583" max="13583" width="26.44140625" style="165" customWidth="1"/>
    <col min="13584" max="13584" width="27.44140625" style="165" customWidth="1"/>
    <col min="13585" max="13824" width="9.21875" style="165"/>
    <col min="13825" max="13825" width="17.44140625" style="165" customWidth="1"/>
    <col min="13826" max="13826" width="13.77734375" style="165" customWidth="1"/>
    <col min="13827" max="13827" width="16.21875" style="165" customWidth="1"/>
    <col min="13828" max="13828" width="13" style="165" customWidth="1"/>
    <col min="13829" max="13829" width="11.21875" style="165" customWidth="1"/>
    <col min="13830" max="13830" width="11.77734375" style="165" customWidth="1"/>
    <col min="13831" max="13831" width="14.88671875" style="165" customWidth="1"/>
    <col min="13832" max="13832" width="11.77734375" style="165" customWidth="1"/>
    <col min="13833" max="13833" width="20.5546875" style="165" customWidth="1"/>
    <col min="13834" max="13834" width="12.6640625" style="165" customWidth="1"/>
    <col min="13835" max="13835" width="14.5546875" style="165" customWidth="1"/>
    <col min="13836" max="13836" width="34.44140625" style="165" customWidth="1"/>
    <col min="13837" max="13837" width="10.6640625" style="165" customWidth="1"/>
    <col min="13838" max="13838" width="9.21875" style="165"/>
    <col min="13839" max="13839" width="26.44140625" style="165" customWidth="1"/>
    <col min="13840" max="13840" width="27.44140625" style="165" customWidth="1"/>
    <col min="13841" max="14080" width="9.21875" style="165"/>
    <col min="14081" max="14081" width="17.44140625" style="165" customWidth="1"/>
    <col min="14082" max="14082" width="13.77734375" style="165" customWidth="1"/>
    <col min="14083" max="14083" width="16.21875" style="165" customWidth="1"/>
    <col min="14084" max="14084" width="13" style="165" customWidth="1"/>
    <col min="14085" max="14085" width="11.21875" style="165" customWidth="1"/>
    <col min="14086" max="14086" width="11.77734375" style="165" customWidth="1"/>
    <col min="14087" max="14087" width="14.88671875" style="165" customWidth="1"/>
    <col min="14088" max="14088" width="11.77734375" style="165" customWidth="1"/>
    <col min="14089" max="14089" width="20.5546875" style="165" customWidth="1"/>
    <col min="14090" max="14090" width="12.6640625" style="165" customWidth="1"/>
    <col min="14091" max="14091" width="14.5546875" style="165" customWidth="1"/>
    <col min="14092" max="14092" width="34.44140625" style="165" customWidth="1"/>
    <col min="14093" max="14093" width="10.6640625" style="165" customWidth="1"/>
    <col min="14094" max="14094" width="9.21875" style="165"/>
    <col min="14095" max="14095" width="26.44140625" style="165" customWidth="1"/>
    <col min="14096" max="14096" width="27.44140625" style="165" customWidth="1"/>
    <col min="14097" max="14336" width="9.21875" style="165"/>
    <col min="14337" max="14337" width="17.44140625" style="165" customWidth="1"/>
    <col min="14338" max="14338" width="13.77734375" style="165" customWidth="1"/>
    <col min="14339" max="14339" width="16.21875" style="165" customWidth="1"/>
    <col min="14340" max="14340" width="13" style="165" customWidth="1"/>
    <col min="14341" max="14341" width="11.21875" style="165" customWidth="1"/>
    <col min="14342" max="14342" width="11.77734375" style="165" customWidth="1"/>
    <col min="14343" max="14343" width="14.88671875" style="165" customWidth="1"/>
    <col min="14344" max="14344" width="11.77734375" style="165" customWidth="1"/>
    <col min="14345" max="14345" width="20.5546875" style="165" customWidth="1"/>
    <col min="14346" max="14346" width="12.6640625" style="165" customWidth="1"/>
    <col min="14347" max="14347" width="14.5546875" style="165" customWidth="1"/>
    <col min="14348" max="14348" width="34.44140625" style="165" customWidth="1"/>
    <col min="14349" max="14349" width="10.6640625" style="165" customWidth="1"/>
    <col min="14350" max="14350" width="9.21875" style="165"/>
    <col min="14351" max="14351" width="26.44140625" style="165" customWidth="1"/>
    <col min="14352" max="14352" width="27.44140625" style="165" customWidth="1"/>
    <col min="14353" max="14592" width="9.21875" style="165"/>
    <col min="14593" max="14593" width="17.44140625" style="165" customWidth="1"/>
    <col min="14594" max="14594" width="13.77734375" style="165" customWidth="1"/>
    <col min="14595" max="14595" width="16.21875" style="165" customWidth="1"/>
    <col min="14596" max="14596" width="13" style="165" customWidth="1"/>
    <col min="14597" max="14597" width="11.21875" style="165" customWidth="1"/>
    <col min="14598" max="14598" width="11.77734375" style="165" customWidth="1"/>
    <col min="14599" max="14599" width="14.88671875" style="165" customWidth="1"/>
    <col min="14600" max="14600" width="11.77734375" style="165" customWidth="1"/>
    <col min="14601" max="14601" width="20.5546875" style="165" customWidth="1"/>
    <col min="14602" max="14602" width="12.6640625" style="165" customWidth="1"/>
    <col min="14603" max="14603" width="14.5546875" style="165" customWidth="1"/>
    <col min="14604" max="14604" width="34.44140625" style="165" customWidth="1"/>
    <col min="14605" max="14605" width="10.6640625" style="165" customWidth="1"/>
    <col min="14606" max="14606" width="9.21875" style="165"/>
    <col min="14607" max="14607" width="26.44140625" style="165" customWidth="1"/>
    <col min="14608" max="14608" width="27.44140625" style="165" customWidth="1"/>
    <col min="14609" max="14848" width="9.21875" style="165"/>
    <col min="14849" max="14849" width="17.44140625" style="165" customWidth="1"/>
    <col min="14850" max="14850" width="13.77734375" style="165" customWidth="1"/>
    <col min="14851" max="14851" width="16.21875" style="165" customWidth="1"/>
    <col min="14852" max="14852" width="13" style="165" customWidth="1"/>
    <col min="14853" max="14853" width="11.21875" style="165" customWidth="1"/>
    <col min="14854" max="14854" width="11.77734375" style="165" customWidth="1"/>
    <col min="14855" max="14855" width="14.88671875" style="165" customWidth="1"/>
    <col min="14856" max="14856" width="11.77734375" style="165" customWidth="1"/>
    <col min="14857" max="14857" width="20.5546875" style="165" customWidth="1"/>
    <col min="14858" max="14858" width="12.6640625" style="165" customWidth="1"/>
    <col min="14859" max="14859" width="14.5546875" style="165" customWidth="1"/>
    <col min="14860" max="14860" width="34.44140625" style="165" customWidth="1"/>
    <col min="14861" max="14861" width="10.6640625" style="165" customWidth="1"/>
    <col min="14862" max="14862" width="9.21875" style="165"/>
    <col min="14863" max="14863" width="26.44140625" style="165" customWidth="1"/>
    <col min="14864" max="14864" width="27.44140625" style="165" customWidth="1"/>
    <col min="14865" max="15104" width="9.21875" style="165"/>
    <col min="15105" max="15105" width="17.44140625" style="165" customWidth="1"/>
    <col min="15106" max="15106" width="13.77734375" style="165" customWidth="1"/>
    <col min="15107" max="15107" width="16.21875" style="165" customWidth="1"/>
    <col min="15108" max="15108" width="13" style="165" customWidth="1"/>
    <col min="15109" max="15109" width="11.21875" style="165" customWidth="1"/>
    <col min="15110" max="15110" width="11.77734375" style="165" customWidth="1"/>
    <col min="15111" max="15111" width="14.88671875" style="165" customWidth="1"/>
    <col min="15112" max="15112" width="11.77734375" style="165" customWidth="1"/>
    <col min="15113" max="15113" width="20.5546875" style="165" customWidth="1"/>
    <col min="15114" max="15114" width="12.6640625" style="165" customWidth="1"/>
    <col min="15115" max="15115" width="14.5546875" style="165" customWidth="1"/>
    <col min="15116" max="15116" width="34.44140625" style="165" customWidth="1"/>
    <col min="15117" max="15117" width="10.6640625" style="165" customWidth="1"/>
    <col min="15118" max="15118" width="9.21875" style="165"/>
    <col min="15119" max="15119" width="26.44140625" style="165" customWidth="1"/>
    <col min="15120" max="15120" width="27.44140625" style="165" customWidth="1"/>
    <col min="15121" max="15360" width="9.21875" style="165"/>
    <col min="15361" max="15361" width="17.44140625" style="165" customWidth="1"/>
    <col min="15362" max="15362" width="13.77734375" style="165" customWidth="1"/>
    <col min="15363" max="15363" width="16.21875" style="165" customWidth="1"/>
    <col min="15364" max="15364" width="13" style="165" customWidth="1"/>
    <col min="15365" max="15365" width="11.21875" style="165" customWidth="1"/>
    <col min="15366" max="15366" width="11.77734375" style="165" customWidth="1"/>
    <col min="15367" max="15367" width="14.88671875" style="165" customWidth="1"/>
    <col min="15368" max="15368" width="11.77734375" style="165" customWidth="1"/>
    <col min="15369" max="15369" width="20.5546875" style="165" customWidth="1"/>
    <col min="15370" max="15370" width="12.6640625" style="165" customWidth="1"/>
    <col min="15371" max="15371" width="14.5546875" style="165" customWidth="1"/>
    <col min="15372" max="15372" width="34.44140625" style="165" customWidth="1"/>
    <col min="15373" max="15373" width="10.6640625" style="165" customWidth="1"/>
    <col min="15374" max="15374" width="9.21875" style="165"/>
    <col min="15375" max="15375" width="26.44140625" style="165" customWidth="1"/>
    <col min="15376" max="15376" width="27.44140625" style="165" customWidth="1"/>
    <col min="15377" max="15616" width="9.21875" style="165"/>
    <col min="15617" max="15617" width="17.44140625" style="165" customWidth="1"/>
    <col min="15618" max="15618" width="13.77734375" style="165" customWidth="1"/>
    <col min="15619" max="15619" width="16.21875" style="165" customWidth="1"/>
    <col min="15620" max="15620" width="13" style="165" customWidth="1"/>
    <col min="15621" max="15621" width="11.21875" style="165" customWidth="1"/>
    <col min="15622" max="15622" width="11.77734375" style="165" customWidth="1"/>
    <col min="15623" max="15623" width="14.88671875" style="165" customWidth="1"/>
    <col min="15624" max="15624" width="11.77734375" style="165" customWidth="1"/>
    <col min="15625" max="15625" width="20.5546875" style="165" customWidth="1"/>
    <col min="15626" max="15626" width="12.6640625" style="165" customWidth="1"/>
    <col min="15627" max="15627" width="14.5546875" style="165" customWidth="1"/>
    <col min="15628" max="15628" width="34.44140625" style="165" customWidth="1"/>
    <col min="15629" max="15629" width="10.6640625" style="165" customWidth="1"/>
    <col min="15630" max="15630" width="9.21875" style="165"/>
    <col min="15631" max="15631" width="26.44140625" style="165" customWidth="1"/>
    <col min="15632" max="15632" width="27.44140625" style="165" customWidth="1"/>
    <col min="15633" max="15872" width="9.21875" style="165"/>
    <col min="15873" max="15873" width="17.44140625" style="165" customWidth="1"/>
    <col min="15874" max="15874" width="13.77734375" style="165" customWidth="1"/>
    <col min="15875" max="15875" width="16.21875" style="165" customWidth="1"/>
    <col min="15876" max="15876" width="13" style="165" customWidth="1"/>
    <col min="15877" max="15877" width="11.21875" style="165" customWidth="1"/>
    <col min="15878" max="15878" width="11.77734375" style="165" customWidth="1"/>
    <col min="15879" max="15879" width="14.88671875" style="165" customWidth="1"/>
    <col min="15880" max="15880" width="11.77734375" style="165" customWidth="1"/>
    <col min="15881" max="15881" width="20.5546875" style="165" customWidth="1"/>
    <col min="15882" max="15882" width="12.6640625" style="165" customWidth="1"/>
    <col min="15883" max="15883" width="14.5546875" style="165" customWidth="1"/>
    <col min="15884" max="15884" width="34.44140625" style="165" customWidth="1"/>
    <col min="15885" max="15885" width="10.6640625" style="165" customWidth="1"/>
    <col min="15886" max="15886" width="9.21875" style="165"/>
    <col min="15887" max="15887" width="26.44140625" style="165" customWidth="1"/>
    <col min="15888" max="15888" width="27.44140625" style="165" customWidth="1"/>
    <col min="15889" max="16128" width="9.21875" style="165"/>
    <col min="16129" max="16129" width="17.44140625" style="165" customWidth="1"/>
    <col min="16130" max="16130" width="13.77734375" style="165" customWidth="1"/>
    <col min="16131" max="16131" width="16.21875" style="165" customWidth="1"/>
    <col min="16132" max="16132" width="13" style="165" customWidth="1"/>
    <col min="16133" max="16133" width="11.21875" style="165" customWidth="1"/>
    <col min="16134" max="16134" width="11.77734375" style="165" customWidth="1"/>
    <col min="16135" max="16135" width="14.88671875" style="165" customWidth="1"/>
    <col min="16136" max="16136" width="11.77734375" style="165" customWidth="1"/>
    <col min="16137" max="16137" width="20.5546875" style="165" customWidth="1"/>
    <col min="16138" max="16138" width="12.6640625" style="165" customWidth="1"/>
    <col min="16139" max="16139" width="14.5546875" style="165" customWidth="1"/>
    <col min="16140" max="16140" width="34.44140625" style="165" customWidth="1"/>
    <col min="16141" max="16141" width="10.6640625" style="165" customWidth="1"/>
    <col min="16142" max="16142" width="9.21875" style="165"/>
    <col min="16143" max="16143" width="26.44140625" style="165" customWidth="1"/>
    <col min="16144" max="16144" width="27.44140625" style="165" customWidth="1"/>
    <col min="16145" max="16384" width="9.21875" style="165"/>
  </cols>
  <sheetData>
    <row r="1" spans="1:16" ht="30.6" customHeight="1" thickTop="1" thickBot="1">
      <c r="A1" s="552" t="s">
        <v>498</v>
      </c>
      <c r="B1" s="174" t="s">
        <v>408</v>
      </c>
      <c r="C1" s="175" t="s">
        <v>409</v>
      </c>
      <c r="D1" s="176" t="s">
        <v>410</v>
      </c>
      <c r="E1" s="177">
        <v>45929</v>
      </c>
      <c r="F1" s="174"/>
      <c r="G1" s="173"/>
      <c r="H1" s="174" t="s">
        <v>411</v>
      </c>
      <c r="I1" s="178" t="s">
        <v>412</v>
      </c>
    </row>
    <row r="2" spans="1:16" ht="30.6" customHeight="1" thickTop="1" thickBot="1">
      <c r="A2" s="553"/>
      <c r="B2" s="174" t="s">
        <v>413</v>
      </c>
      <c r="C2" s="555" t="s">
        <v>414</v>
      </c>
      <c r="D2" s="556"/>
      <c r="E2" s="557"/>
      <c r="F2" s="174" t="s">
        <v>480</v>
      </c>
      <c r="G2" s="178" t="s">
        <v>481</v>
      </c>
      <c r="H2" s="174" t="s">
        <v>415</v>
      </c>
      <c r="I2" s="178" t="s">
        <v>416</v>
      </c>
      <c r="M2" s="166"/>
      <c r="N2" s="166"/>
      <c r="O2" s="166"/>
    </row>
    <row r="3" spans="1:16" ht="31.95" customHeight="1" thickTop="1" thickBot="1">
      <c r="A3" s="553"/>
      <c r="B3" s="174" t="s">
        <v>417</v>
      </c>
      <c r="C3" s="555" t="s">
        <v>418</v>
      </c>
      <c r="D3" s="556"/>
      <c r="E3" s="557"/>
      <c r="F3" s="174" t="s">
        <v>482</v>
      </c>
      <c r="G3" s="178" t="s">
        <v>419</v>
      </c>
      <c r="H3" s="174" t="s">
        <v>420</v>
      </c>
      <c r="I3" s="178" t="s">
        <v>421</v>
      </c>
      <c r="M3" s="166"/>
      <c r="N3" s="166"/>
      <c r="O3" s="166"/>
    </row>
    <row r="4" spans="1:16" ht="32.4" thickTop="1" thickBot="1">
      <c r="A4" s="554"/>
      <c r="B4" s="174" t="s">
        <v>399</v>
      </c>
      <c r="C4" s="558" t="s">
        <v>419</v>
      </c>
      <c r="D4" s="559"/>
      <c r="E4" s="560"/>
      <c r="F4" s="174" t="s">
        <v>422</v>
      </c>
      <c r="G4" s="178" t="s">
        <v>423</v>
      </c>
      <c r="H4" s="174" t="s">
        <v>424</v>
      </c>
      <c r="I4" s="178" t="s">
        <v>425</v>
      </c>
      <c r="K4" s="167"/>
      <c r="M4" s="166"/>
      <c r="N4" s="166"/>
      <c r="O4" s="166"/>
    </row>
    <row r="5" spans="1:16" ht="15" thickTop="1">
      <c r="M5" s="179"/>
      <c r="O5" s="168"/>
      <c r="P5" s="168"/>
    </row>
    <row r="6" spans="1:16" ht="21">
      <c r="A6" s="486"/>
      <c r="B6" s="485"/>
      <c r="M6" s="179"/>
      <c r="O6" s="168"/>
      <c r="P6" s="168"/>
    </row>
    <row r="7" spans="1:16" ht="15" thickBot="1">
      <c r="O7" s="168"/>
      <c r="P7" s="168"/>
    </row>
    <row r="8" spans="1:16" ht="22.2" customHeight="1" thickTop="1" thickBot="1">
      <c r="A8" s="595" t="s">
        <v>372</v>
      </c>
      <c r="B8" s="596"/>
      <c r="C8" s="596"/>
      <c r="D8" s="596"/>
      <c r="E8" s="596"/>
      <c r="F8" s="596"/>
      <c r="G8" s="596"/>
      <c r="H8" s="596"/>
      <c r="I8" s="596"/>
      <c r="J8" s="596"/>
      <c r="K8" s="596"/>
      <c r="L8" s="597"/>
      <c r="O8" s="168"/>
      <c r="P8" s="168"/>
    </row>
    <row r="9" spans="1:16" ht="28.8" thickTop="1" thickBot="1">
      <c r="A9" s="174" t="s">
        <v>373</v>
      </c>
      <c r="B9" s="174" t="s">
        <v>374</v>
      </c>
      <c r="C9" s="174" t="s">
        <v>375</v>
      </c>
      <c r="D9" s="174" t="s">
        <v>376</v>
      </c>
      <c r="E9" s="174" t="s">
        <v>377</v>
      </c>
      <c r="F9" s="174" t="s">
        <v>511</v>
      </c>
      <c r="G9" s="174" t="s">
        <v>378</v>
      </c>
      <c r="H9" s="174" t="s">
        <v>379</v>
      </c>
      <c r="I9" s="174" t="s">
        <v>380</v>
      </c>
      <c r="J9" s="174" t="s">
        <v>381</v>
      </c>
      <c r="K9" s="174" t="s">
        <v>382</v>
      </c>
      <c r="L9" s="174" t="s">
        <v>114</v>
      </c>
      <c r="O9" s="389"/>
      <c r="P9" s="168"/>
    </row>
    <row r="10" spans="1:16" ht="33" customHeight="1" thickTop="1" thickBot="1">
      <c r="A10" s="386" t="s">
        <v>383</v>
      </c>
      <c r="B10" s="386" t="s">
        <v>384</v>
      </c>
      <c r="C10" s="387">
        <v>127</v>
      </c>
      <c r="D10" s="387">
        <v>127</v>
      </c>
      <c r="E10" s="387">
        <v>127</v>
      </c>
      <c r="F10" s="387">
        <f>C10-D10</f>
        <v>0</v>
      </c>
      <c r="G10" s="387">
        <v>0</v>
      </c>
      <c r="H10" s="387">
        <v>0</v>
      </c>
      <c r="I10" s="387">
        <v>0</v>
      </c>
      <c r="J10" s="387">
        <f>E10+I10</f>
        <v>127</v>
      </c>
      <c r="K10" s="387">
        <f>D10+G10-J10</f>
        <v>0</v>
      </c>
      <c r="L10" s="454"/>
      <c r="M10" s="179"/>
      <c r="O10" s="168"/>
      <c r="P10" s="168"/>
    </row>
    <row r="11" spans="1:16" ht="45.6" customHeight="1" thickTop="1" thickBot="1">
      <c r="A11" s="386" t="s">
        <v>10</v>
      </c>
      <c r="B11" s="386" t="s">
        <v>384</v>
      </c>
      <c r="C11" s="387">
        <v>127</v>
      </c>
      <c r="D11" s="387">
        <v>127</v>
      </c>
      <c r="E11" s="387">
        <v>122</v>
      </c>
      <c r="F11" s="387">
        <f>C11-D11</f>
        <v>0</v>
      </c>
      <c r="G11" s="387">
        <v>0</v>
      </c>
      <c r="H11" s="387">
        <v>5</v>
      </c>
      <c r="I11" s="387">
        <v>3</v>
      </c>
      <c r="J11" s="387">
        <f>E11+I11</f>
        <v>125</v>
      </c>
      <c r="K11" s="387">
        <f>D11+G11-J11</f>
        <v>2</v>
      </c>
      <c r="L11" s="454" t="s">
        <v>760</v>
      </c>
      <c r="M11" s="179"/>
      <c r="O11" s="168"/>
      <c r="P11" s="168"/>
    </row>
    <row r="12" spans="1:16" ht="15" thickTop="1">
      <c r="M12" s="179"/>
      <c r="O12" s="168"/>
      <c r="P12" s="168"/>
    </row>
    <row r="13" spans="1:16" ht="15" thickBot="1">
      <c r="O13" s="168"/>
      <c r="P13" s="168"/>
    </row>
    <row r="14" spans="1:16" ht="22.2" customHeight="1" thickBot="1">
      <c r="A14" s="567" t="s">
        <v>385</v>
      </c>
      <c r="B14" s="568"/>
      <c r="C14" s="568"/>
      <c r="D14" s="568"/>
      <c r="E14" s="568"/>
      <c r="F14" s="568"/>
      <c r="G14" s="568"/>
      <c r="H14" s="568"/>
      <c r="I14" s="568"/>
      <c r="J14" s="568"/>
      <c r="K14" s="568"/>
      <c r="L14" s="568"/>
      <c r="M14" s="568"/>
      <c r="N14" s="569"/>
      <c r="O14" s="168"/>
      <c r="P14" s="168"/>
    </row>
    <row r="15" spans="1:16" ht="47.55" customHeight="1" thickBot="1">
      <c r="A15" s="475" t="s">
        <v>373</v>
      </c>
      <c r="B15" s="476" t="s">
        <v>374</v>
      </c>
      <c r="C15" s="476" t="s">
        <v>375</v>
      </c>
      <c r="D15" s="476" t="s">
        <v>376</v>
      </c>
      <c r="E15" s="476" t="s">
        <v>386</v>
      </c>
      <c r="F15" s="476" t="s">
        <v>387</v>
      </c>
      <c r="G15" s="476" t="s">
        <v>388</v>
      </c>
      <c r="H15" s="476" t="s">
        <v>389</v>
      </c>
      <c r="I15" s="476" t="s">
        <v>390</v>
      </c>
      <c r="J15" s="476" t="s">
        <v>391</v>
      </c>
      <c r="K15" s="476" t="s">
        <v>392</v>
      </c>
      <c r="L15" s="477" t="s">
        <v>393</v>
      </c>
      <c r="M15" s="565" t="s">
        <v>114</v>
      </c>
      <c r="N15" s="566"/>
      <c r="O15" s="168"/>
      <c r="P15" s="168"/>
    </row>
    <row r="16" spans="1:16" ht="66.599999999999994" customHeight="1" thickBot="1">
      <c r="A16" s="471" t="s">
        <v>394</v>
      </c>
      <c r="B16" s="471" t="s">
        <v>395</v>
      </c>
      <c r="C16" s="472">
        <v>47.84</v>
      </c>
      <c r="D16" s="473">
        <v>47.84</v>
      </c>
      <c r="E16" s="474">
        <v>47.84</v>
      </c>
      <c r="F16" s="474">
        <f>43.9+3.94</f>
        <v>47.839999999999996</v>
      </c>
      <c r="G16" s="472">
        <v>0</v>
      </c>
      <c r="H16" s="472">
        <v>0</v>
      </c>
      <c r="I16" s="472">
        <v>0</v>
      </c>
      <c r="J16" s="473">
        <v>0</v>
      </c>
      <c r="K16" s="474">
        <v>0</v>
      </c>
      <c r="L16" s="474">
        <f>E16+K16</f>
        <v>47.84</v>
      </c>
      <c r="M16" s="575"/>
      <c r="N16" s="576"/>
      <c r="O16" s="167"/>
    </row>
    <row r="17" spans="1:16" ht="39.6" customHeight="1" thickTop="1" thickBot="1">
      <c r="A17" s="382" t="s">
        <v>238</v>
      </c>
      <c r="B17" s="382" t="s">
        <v>395</v>
      </c>
      <c r="C17" s="383">
        <v>47.84</v>
      </c>
      <c r="D17" s="384">
        <v>47.84</v>
      </c>
      <c r="E17" s="385">
        <v>47.84</v>
      </c>
      <c r="F17" s="474">
        <f>43.9+3.94</f>
        <v>47.839999999999996</v>
      </c>
      <c r="G17" s="383">
        <v>0</v>
      </c>
      <c r="H17" s="383">
        <v>0</v>
      </c>
      <c r="I17" s="383">
        <v>0</v>
      </c>
      <c r="J17" s="384">
        <v>0</v>
      </c>
      <c r="K17" s="385">
        <v>0</v>
      </c>
      <c r="L17" s="385">
        <f>E17+K17</f>
        <v>47.84</v>
      </c>
      <c r="M17" s="577"/>
      <c r="N17" s="578"/>
    </row>
    <row r="18" spans="1:16" ht="15.6" thickTop="1" thickBot="1">
      <c r="P18" s="169"/>
    </row>
    <row r="19" spans="1:16" s="170" customFormat="1" ht="22.2" customHeight="1" thickTop="1" thickBot="1">
      <c r="A19" s="561" t="s">
        <v>426</v>
      </c>
      <c r="B19" s="562"/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3"/>
    </row>
    <row r="20" spans="1:16" s="170" customFormat="1" ht="42.6" thickTop="1" thickBot="1">
      <c r="A20" s="174" t="s">
        <v>373</v>
      </c>
      <c r="B20" s="174" t="s">
        <v>374</v>
      </c>
      <c r="C20" s="174" t="s">
        <v>427</v>
      </c>
      <c r="D20" s="174" t="s">
        <v>428</v>
      </c>
      <c r="E20" s="174" t="s">
        <v>429</v>
      </c>
      <c r="F20" s="174" t="s">
        <v>430</v>
      </c>
      <c r="G20" s="174" t="s">
        <v>431</v>
      </c>
      <c r="H20" s="174" t="s">
        <v>237</v>
      </c>
      <c r="I20" s="174" t="s">
        <v>432</v>
      </c>
      <c r="J20" s="174" t="s">
        <v>433</v>
      </c>
      <c r="K20" s="174" t="s">
        <v>434</v>
      </c>
      <c r="L20" s="174" t="s">
        <v>435</v>
      </c>
      <c r="M20" s="174" t="s">
        <v>436</v>
      </c>
      <c r="N20" s="174" t="s">
        <v>437</v>
      </c>
      <c r="O20" s="174" t="s">
        <v>114</v>
      </c>
      <c r="P20" s="165"/>
    </row>
    <row r="21" spans="1:16" s="380" customFormat="1" ht="37.200000000000003" customHeight="1" thickTop="1" thickBot="1">
      <c r="A21" s="376" t="s">
        <v>101</v>
      </c>
      <c r="B21" s="376" t="s">
        <v>107</v>
      </c>
      <c r="C21" s="376">
        <v>127</v>
      </c>
      <c r="D21" s="376">
        <v>127</v>
      </c>
      <c r="E21" s="377">
        <v>115</v>
      </c>
      <c r="F21" s="376">
        <v>0</v>
      </c>
      <c r="G21" s="376">
        <v>12</v>
      </c>
      <c r="H21" s="378">
        <v>0</v>
      </c>
      <c r="I21" s="378">
        <v>0</v>
      </c>
      <c r="J21" s="376">
        <f>D21+F21</f>
        <v>127</v>
      </c>
      <c r="K21" s="377">
        <f>E21+I21</f>
        <v>115</v>
      </c>
      <c r="L21" s="376">
        <f>+C21-K21</f>
        <v>12</v>
      </c>
      <c r="M21" s="376">
        <v>0</v>
      </c>
      <c r="N21" s="376">
        <v>0</v>
      </c>
      <c r="O21" s="434" t="s">
        <v>744</v>
      </c>
      <c r="P21" s="379"/>
    </row>
    <row r="22" spans="1:16" s="379" customFormat="1" ht="37.200000000000003" customHeight="1" thickTop="1" thickBot="1">
      <c r="A22" s="376" t="s">
        <v>102</v>
      </c>
      <c r="B22" s="376" t="s">
        <v>107</v>
      </c>
      <c r="C22" s="376">
        <v>127</v>
      </c>
      <c r="D22" s="376"/>
      <c r="E22" s="377">
        <v>109</v>
      </c>
      <c r="F22" s="376"/>
      <c r="G22" s="376">
        <v>18</v>
      </c>
      <c r="H22" s="378">
        <v>0</v>
      </c>
      <c r="I22" s="378">
        <v>1</v>
      </c>
      <c r="J22" s="376">
        <f>D22+F22</f>
        <v>0</v>
      </c>
      <c r="K22" s="377">
        <f>E22+I22</f>
        <v>110</v>
      </c>
      <c r="L22" s="376">
        <f t="shared" ref="L22:L23" si="0">+C22-K22</f>
        <v>17</v>
      </c>
      <c r="M22" s="376">
        <v>0</v>
      </c>
      <c r="N22" s="376">
        <v>0</v>
      </c>
      <c r="O22" s="381"/>
    </row>
    <row r="23" spans="1:16" s="379" customFormat="1" ht="45.6" customHeight="1" thickTop="1" thickBot="1">
      <c r="A23" s="376" t="s">
        <v>105</v>
      </c>
      <c r="B23" s="376" t="s">
        <v>107</v>
      </c>
      <c r="C23" s="376">
        <v>127</v>
      </c>
      <c r="D23" s="376">
        <v>127</v>
      </c>
      <c r="E23" s="377">
        <v>72</v>
      </c>
      <c r="F23" s="376">
        <v>0</v>
      </c>
      <c r="G23" s="376">
        <v>23</v>
      </c>
      <c r="H23" s="378">
        <v>0</v>
      </c>
      <c r="I23" s="378">
        <v>8</v>
      </c>
      <c r="J23" s="376">
        <v>127</v>
      </c>
      <c r="K23" s="377">
        <f>E23+I23</f>
        <v>80</v>
      </c>
      <c r="L23" s="376">
        <f t="shared" si="0"/>
        <v>47</v>
      </c>
      <c r="M23" s="376">
        <v>6</v>
      </c>
      <c r="N23" s="376">
        <v>5</v>
      </c>
      <c r="O23" s="514"/>
    </row>
    <row r="24" spans="1:16" s="379" customFormat="1" ht="42" customHeight="1" thickTop="1" thickBot="1">
      <c r="A24" s="376" t="s">
        <v>104</v>
      </c>
      <c r="B24" s="376" t="s">
        <v>505</v>
      </c>
      <c r="C24" s="376">
        <v>47.84</v>
      </c>
      <c r="D24" s="376">
        <v>40</v>
      </c>
      <c r="E24" s="377">
        <v>0</v>
      </c>
      <c r="F24" s="376">
        <v>4</v>
      </c>
      <c r="G24" s="376">
        <v>8</v>
      </c>
      <c r="H24" s="378">
        <v>1.1000000000000001</v>
      </c>
      <c r="I24" s="378">
        <v>1.1000000000000001</v>
      </c>
      <c r="J24" s="376">
        <v>44</v>
      </c>
      <c r="K24" s="376">
        <f>+I24+E24</f>
        <v>1.1000000000000001</v>
      </c>
      <c r="L24" s="376">
        <f t="shared" ref="L24" si="1">+C24-K24</f>
        <v>46.74</v>
      </c>
      <c r="M24" s="376">
        <v>2.4700000000000002</v>
      </c>
      <c r="N24" s="376">
        <v>1</v>
      </c>
      <c r="O24" s="514"/>
    </row>
    <row r="25" spans="1:16" ht="15" thickTop="1">
      <c r="A25" s="171"/>
      <c r="N25" s="584"/>
      <c r="O25" s="584"/>
    </row>
    <row r="26" spans="1:16" ht="15" thickBot="1">
      <c r="A26" s="171"/>
    </row>
    <row r="27" spans="1:16" ht="42.6" customHeight="1" thickBot="1">
      <c r="A27" s="504" t="s">
        <v>12</v>
      </c>
      <c r="B27" s="505" t="s">
        <v>705</v>
      </c>
      <c r="C27" s="505" t="s">
        <v>706</v>
      </c>
      <c r="D27" s="582" t="s">
        <v>707</v>
      </c>
      <c r="E27" s="583"/>
      <c r="F27" s="582" t="s">
        <v>730</v>
      </c>
      <c r="G27" s="601"/>
      <c r="H27" s="589" t="s">
        <v>661</v>
      </c>
      <c r="I27" s="590"/>
    </row>
    <row r="28" spans="1:16" ht="42.6" customHeight="1">
      <c r="A28" s="492">
        <v>1</v>
      </c>
      <c r="B28" s="495" t="s">
        <v>105</v>
      </c>
      <c r="C28" s="496" t="s">
        <v>740</v>
      </c>
      <c r="D28" s="572" t="s">
        <v>155</v>
      </c>
      <c r="E28" s="572"/>
      <c r="F28" s="572" t="s">
        <v>728</v>
      </c>
      <c r="G28" s="572"/>
      <c r="H28" s="587"/>
      <c r="I28" s="588"/>
    </row>
    <row r="29" spans="1:16" ht="42.6" customHeight="1">
      <c r="A29" s="492">
        <v>2</v>
      </c>
      <c r="B29" s="495" t="s">
        <v>105</v>
      </c>
      <c r="C29" s="496" t="s">
        <v>719</v>
      </c>
      <c r="D29" s="579" t="s">
        <v>699</v>
      </c>
      <c r="E29" s="580"/>
      <c r="F29" s="573" t="s">
        <v>709</v>
      </c>
      <c r="G29" s="574"/>
      <c r="H29" s="585"/>
      <c r="I29" s="586"/>
    </row>
    <row r="30" spans="1:16" ht="42.6" customHeight="1">
      <c r="A30" s="492">
        <v>3</v>
      </c>
      <c r="B30" s="495" t="s">
        <v>105</v>
      </c>
      <c r="C30" s="496" t="s">
        <v>725</v>
      </c>
      <c r="D30" s="572" t="s">
        <v>679</v>
      </c>
      <c r="E30" s="572"/>
      <c r="F30" s="573" t="s">
        <v>709</v>
      </c>
      <c r="G30" s="574"/>
      <c r="H30" s="585" t="s">
        <v>750</v>
      </c>
      <c r="I30" s="586"/>
    </row>
    <row r="31" spans="1:16" ht="42.6" customHeight="1">
      <c r="A31" s="492">
        <v>4</v>
      </c>
      <c r="B31" s="495" t="s">
        <v>105</v>
      </c>
      <c r="C31" s="496" t="s">
        <v>741</v>
      </c>
      <c r="D31" s="572" t="s">
        <v>174</v>
      </c>
      <c r="E31" s="572"/>
      <c r="F31" s="573" t="s">
        <v>709</v>
      </c>
      <c r="G31" s="574"/>
      <c r="H31" s="593"/>
      <c r="I31" s="594"/>
    </row>
    <row r="32" spans="1:16" ht="42.6" customHeight="1" thickBot="1">
      <c r="A32" s="493">
        <v>5</v>
      </c>
      <c r="B32" s="497" t="s">
        <v>105</v>
      </c>
      <c r="C32" s="498" t="s">
        <v>743</v>
      </c>
      <c r="D32" s="581" t="s">
        <v>118</v>
      </c>
      <c r="E32" s="581"/>
      <c r="F32" s="570" t="s">
        <v>709</v>
      </c>
      <c r="G32" s="571"/>
      <c r="H32" s="591" t="s">
        <v>750</v>
      </c>
      <c r="I32" s="592"/>
    </row>
    <row r="34" spans="1:15" ht="6" customHeight="1">
      <c r="A34" s="171"/>
    </row>
    <row r="35" spans="1:15" ht="6" customHeight="1">
      <c r="A35" s="171"/>
    </row>
    <row r="36" spans="1:15" s="491" customFormat="1" ht="28.2" customHeight="1">
      <c r="A36" s="490" t="s">
        <v>702</v>
      </c>
    </row>
    <row r="37" spans="1:15" s="488" customFormat="1" ht="9" customHeight="1">
      <c r="A37" s="489"/>
      <c r="B37" s="600"/>
      <c r="C37" s="600"/>
      <c r="D37" s="600"/>
      <c r="E37" s="600"/>
      <c r="F37" s="600"/>
      <c r="G37" s="600"/>
    </row>
    <row r="38" spans="1:15" s="488" customFormat="1" ht="9" customHeight="1">
      <c r="A38" s="489"/>
      <c r="B38" s="600"/>
      <c r="C38" s="600"/>
      <c r="D38" s="600"/>
      <c r="E38" s="600"/>
      <c r="F38" s="600"/>
      <c r="G38" s="600"/>
    </row>
    <row r="39" spans="1:15" s="488" customFormat="1" ht="10.199999999999999" customHeight="1">
      <c r="A39" s="489"/>
      <c r="B39" s="600"/>
      <c r="C39" s="600"/>
      <c r="D39" s="600"/>
      <c r="E39" s="600"/>
      <c r="F39" s="600"/>
      <c r="G39" s="600"/>
    </row>
    <row r="40" spans="1:15" s="488" customFormat="1" ht="24.6" customHeight="1">
      <c r="A40" s="489" t="s">
        <v>704</v>
      </c>
      <c r="B40" s="600" t="s">
        <v>726</v>
      </c>
      <c r="C40" s="600"/>
      <c r="D40" s="600"/>
      <c r="E40" s="600"/>
      <c r="F40" s="600"/>
      <c r="G40" s="600"/>
      <c r="H40" s="600"/>
      <c r="I40" s="600"/>
      <c r="J40" s="600"/>
      <c r="K40" s="487"/>
      <c r="L40" s="487"/>
      <c r="M40" s="564"/>
      <c r="N40" s="564"/>
      <c r="O40" s="564"/>
    </row>
    <row r="41" spans="1:15" s="488" customFormat="1" ht="24.6" customHeight="1">
      <c r="A41" s="489" t="s">
        <v>704</v>
      </c>
      <c r="B41" s="600" t="s">
        <v>727</v>
      </c>
      <c r="C41" s="600"/>
      <c r="D41" s="600"/>
      <c r="E41" s="600"/>
      <c r="F41" s="600"/>
      <c r="G41" s="600"/>
      <c r="H41" s="600"/>
      <c r="I41" s="600"/>
      <c r="J41" s="600"/>
      <c r="K41" s="487"/>
      <c r="L41" s="487"/>
      <c r="M41" s="500"/>
      <c r="N41" s="500"/>
      <c r="O41" s="500"/>
    </row>
    <row r="42" spans="1:15" s="488" customFormat="1" ht="24.6" customHeight="1">
      <c r="A42" s="489" t="s">
        <v>704</v>
      </c>
      <c r="B42" s="600" t="s">
        <v>736</v>
      </c>
      <c r="C42" s="600"/>
      <c r="D42" s="600"/>
      <c r="E42" s="600"/>
      <c r="F42" s="600"/>
      <c r="G42" s="600"/>
      <c r="H42" s="600"/>
      <c r="I42" s="600"/>
      <c r="J42" s="600"/>
      <c r="K42" s="487"/>
      <c r="L42" s="487"/>
      <c r="M42" s="500"/>
      <c r="N42" s="500"/>
      <c r="O42" s="500"/>
    </row>
    <row r="43" spans="1:15" s="255" customFormat="1" ht="17.399999999999999" customHeight="1">
      <c r="A43" s="487"/>
      <c r="B43" s="165"/>
      <c r="C43" s="487"/>
      <c r="D43" s="487"/>
      <c r="E43" s="487"/>
      <c r="F43" s="487"/>
      <c r="G43" s="487"/>
      <c r="H43" s="487"/>
      <c r="I43" s="487"/>
      <c r="J43" s="487"/>
      <c r="K43" s="487"/>
      <c r="L43" s="487"/>
      <c r="M43" s="484"/>
      <c r="N43" s="484"/>
      <c r="O43" s="484"/>
    </row>
    <row r="45" spans="1:15" ht="18">
      <c r="A45" s="45"/>
      <c r="B45" s="550" t="s">
        <v>483</v>
      </c>
      <c r="C45" s="551"/>
      <c r="D45"/>
      <c r="E45"/>
      <c r="F45"/>
      <c r="G45"/>
      <c r="H45"/>
      <c r="I45"/>
      <c r="J45"/>
    </row>
    <row r="46" spans="1:15" ht="27.6">
      <c r="A46" s="269" t="s">
        <v>440</v>
      </c>
      <c r="B46" s="598" t="s">
        <v>484</v>
      </c>
      <c r="C46" s="599"/>
      <c r="D46" s="269" t="s">
        <v>485</v>
      </c>
      <c r="E46" s="269" t="s">
        <v>486</v>
      </c>
      <c r="F46" s="269" t="s">
        <v>734</v>
      </c>
      <c r="G46" s="480" t="s">
        <v>500</v>
      </c>
      <c r="H46" s="269" t="s">
        <v>487</v>
      </c>
      <c r="I46" s="269" t="s">
        <v>488</v>
      </c>
      <c r="J46" s="602" t="s">
        <v>114</v>
      </c>
      <c r="K46" s="603"/>
    </row>
    <row r="47" spans="1:15" ht="36" customHeight="1">
      <c r="A47" s="433">
        <v>1</v>
      </c>
      <c r="B47" s="542" t="s">
        <v>489</v>
      </c>
      <c r="C47" s="543"/>
      <c r="D47" s="429" t="s">
        <v>490</v>
      </c>
      <c r="E47" s="430">
        <v>127</v>
      </c>
      <c r="F47" s="429">
        <v>127</v>
      </c>
      <c r="G47" s="481">
        <v>127</v>
      </c>
      <c r="H47" s="431">
        <f t="shared" ref="H47:H66" si="2">F47-G47</f>
        <v>0</v>
      </c>
      <c r="I47" s="432">
        <f t="shared" ref="I47:I66" si="3">E47-G47</f>
        <v>0</v>
      </c>
      <c r="J47" s="544"/>
      <c r="K47" s="545"/>
    </row>
    <row r="48" spans="1:15" ht="36" customHeight="1">
      <c r="A48" s="433">
        <v>2</v>
      </c>
      <c r="B48" s="542" t="s">
        <v>491</v>
      </c>
      <c r="C48" s="543"/>
      <c r="D48" s="429" t="s">
        <v>490</v>
      </c>
      <c r="E48" s="430">
        <v>127</v>
      </c>
      <c r="F48" s="429">
        <v>127</v>
      </c>
      <c r="G48" s="481">
        <v>125</v>
      </c>
      <c r="H48" s="431">
        <f t="shared" si="2"/>
        <v>2</v>
      </c>
      <c r="I48" s="432">
        <f t="shared" si="3"/>
        <v>2</v>
      </c>
      <c r="J48" s="544" t="s">
        <v>761</v>
      </c>
      <c r="K48" s="545"/>
      <c r="L48" s="466"/>
    </row>
    <row r="49" spans="1:13" ht="36" customHeight="1">
      <c r="A49" s="433">
        <v>3</v>
      </c>
      <c r="B49" s="542" t="s">
        <v>492</v>
      </c>
      <c r="C49" s="543"/>
      <c r="D49" s="429" t="s">
        <v>493</v>
      </c>
      <c r="E49" s="430">
        <v>127</v>
      </c>
      <c r="F49" s="429">
        <v>127</v>
      </c>
      <c r="G49" s="481">
        <v>127</v>
      </c>
      <c r="H49" s="431">
        <f t="shared" si="2"/>
        <v>0</v>
      </c>
      <c r="I49" s="432">
        <f t="shared" si="3"/>
        <v>0</v>
      </c>
      <c r="J49" s="546"/>
      <c r="K49" s="547"/>
    </row>
    <row r="50" spans="1:13" ht="36" customHeight="1">
      <c r="A50" s="433">
        <v>4</v>
      </c>
      <c r="B50" s="542" t="s">
        <v>494</v>
      </c>
      <c r="C50" s="543"/>
      <c r="D50" s="429" t="s">
        <v>113</v>
      </c>
      <c r="E50" s="430">
        <v>49.5</v>
      </c>
      <c r="F50" s="429">
        <v>49.5</v>
      </c>
      <c r="G50" s="482">
        <v>46.88</v>
      </c>
      <c r="H50" s="431">
        <f t="shared" si="2"/>
        <v>2.6199999999999974</v>
      </c>
      <c r="I50" s="432">
        <f t="shared" si="3"/>
        <v>2.6199999999999974</v>
      </c>
      <c r="J50" s="544" t="s">
        <v>761</v>
      </c>
      <c r="K50" s="545"/>
    </row>
    <row r="51" spans="1:13" ht="36" customHeight="1">
      <c r="A51" s="433">
        <v>5</v>
      </c>
      <c r="B51" s="542" t="s">
        <v>495</v>
      </c>
      <c r="C51" s="543"/>
      <c r="D51" s="429" t="s">
        <v>113</v>
      </c>
      <c r="E51" s="430">
        <v>1740</v>
      </c>
      <c r="F51" s="429">
        <v>1740</v>
      </c>
      <c r="G51" s="482">
        <v>1601.4110000000001</v>
      </c>
      <c r="H51" s="431">
        <f t="shared" si="2"/>
        <v>138.58899999999994</v>
      </c>
      <c r="I51" s="432">
        <f t="shared" si="3"/>
        <v>138.58899999999994</v>
      </c>
      <c r="J51" s="544" t="s">
        <v>762</v>
      </c>
      <c r="K51" s="545"/>
      <c r="M51" s="172"/>
    </row>
    <row r="52" spans="1:13" ht="37.200000000000003" customHeight="1">
      <c r="A52" s="433">
        <v>6</v>
      </c>
      <c r="B52" s="542" t="s">
        <v>496</v>
      </c>
      <c r="C52" s="543"/>
      <c r="D52" s="429" t="s">
        <v>107</v>
      </c>
      <c r="E52" s="430">
        <v>2224</v>
      </c>
      <c r="F52" s="429">
        <v>2224</v>
      </c>
      <c r="G52" s="481">
        <v>2224</v>
      </c>
      <c r="H52" s="431">
        <f t="shared" si="2"/>
        <v>0</v>
      </c>
      <c r="I52" s="432">
        <f t="shared" si="3"/>
        <v>0</v>
      </c>
      <c r="J52" s="546"/>
      <c r="K52" s="547"/>
    </row>
    <row r="53" spans="1:13" ht="37.200000000000003" customHeight="1">
      <c r="A53" s="433">
        <f>A52+1</f>
        <v>7</v>
      </c>
      <c r="B53" s="542" t="s">
        <v>497</v>
      </c>
      <c r="C53" s="543"/>
      <c r="D53" s="429" t="s">
        <v>107</v>
      </c>
      <c r="E53" s="430">
        <v>3781</v>
      </c>
      <c r="F53" s="429">
        <v>3781</v>
      </c>
      <c r="G53" s="481">
        <v>3781</v>
      </c>
      <c r="H53" s="431">
        <f t="shared" si="2"/>
        <v>0</v>
      </c>
      <c r="I53" s="432">
        <f t="shared" si="3"/>
        <v>0</v>
      </c>
      <c r="J53" s="546"/>
      <c r="K53" s="547"/>
    </row>
    <row r="54" spans="1:13" ht="37.200000000000003" customHeight="1">
      <c r="A54" s="433">
        <f t="shared" ref="A54:A66" si="4">A53+1</f>
        <v>8</v>
      </c>
      <c r="B54" s="542" t="s">
        <v>677</v>
      </c>
      <c r="C54" s="543"/>
      <c r="D54" s="429" t="s">
        <v>113</v>
      </c>
      <c r="E54" s="430">
        <v>50.48</v>
      </c>
      <c r="F54" s="429">
        <v>50.48</v>
      </c>
      <c r="G54" s="482">
        <v>50.223999999999997</v>
      </c>
      <c r="H54" s="431">
        <f t="shared" si="2"/>
        <v>0.25600000000000023</v>
      </c>
      <c r="I54" s="432">
        <f t="shared" si="3"/>
        <v>0.25600000000000023</v>
      </c>
      <c r="J54" s="544"/>
      <c r="K54" s="545"/>
    </row>
    <row r="55" spans="1:13" ht="35.549999999999997" customHeight="1">
      <c r="A55" s="433">
        <f t="shared" si="4"/>
        <v>9</v>
      </c>
      <c r="B55" s="542" t="s">
        <v>644</v>
      </c>
      <c r="C55" s="543"/>
      <c r="D55" s="429" t="s">
        <v>643</v>
      </c>
      <c r="E55" s="430">
        <v>468</v>
      </c>
      <c r="F55" s="429">
        <f>E55</f>
        <v>468</v>
      </c>
      <c r="G55" s="481">
        <v>468</v>
      </c>
      <c r="H55" s="431">
        <f t="shared" si="2"/>
        <v>0</v>
      </c>
      <c r="I55" s="432">
        <f t="shared" si="3"/>
        <v>0</v>
      </c>
      <c r="J55" s="546"/>
      <c r="K55" s="547"/>
      <c r="L55" s="439"/>
      <c r="M55" s="440"/>
    </row>
    <row r="56" spans="1:13" ht="37.200000000000003" customHeight="1">
      <c r="A56" s="433">
        <f t="shared" si="4"/>
        <v>10</v>
      </c>
      <c r="B56" s="542" t="s">
        <v>645</v>
      </c>
      <c r="C56" s="543"/>
      <c r="D56" s="429" t="s">
        <v>643</v>
      </c>
      <c r="E56" s="430">
        <v>528</v>
      </c>
      <c r="F56" s="429">
        <f t="shared" ref="F56:F66" si="5">E56</f>
        <v>528</v>
      </c>
      <c r="G56" s="481">
        <v>468</v>
      </c>
      <c r="H56" s="431">
        <f t="shared" si="2"/>
        <v>60</v>
      </c>
      <c r="I56" s="432">
        <f t="shared" si="3"/>
        <v>60</v>
      </c>
      <c r="J56" s="544" t="s">
        <v>761</v>
      </c>
      <c r="K56" s="545"/>
      <c r="L56" s="439"/>
      <c r="M56" s="440"/>
    </row>
    <row r="57" spans="1:13" ht="36.6" customHeight="1">
      <c r="A57" s="433">
        <f t="shared" si="4"/>
        <v>11</v>
      </c>
      <c r="B57" s="542" t="s">
        <v>648</v>
      </c>
      <c r="C57" s="543"/>
      <c r="D57" s="429" t="s">
        <v>643</v>
      </c>
      <c r="E57" s="430">
        <v>1170</v>
      </c>
      <c r="F57" s="429">
        <f t="shared" si="5"/>
        <v>1170</v>
      </c>
      <c r="G57" s="481">
        <f>735+210+225</f>
        <v>1170</v>
      </c>
      <c r="H57" s="431">
        <f t="shared" ref="H57" si="6">F57-G57</f>
        <v>0</v>
      </c>
      <c r="I57" s="432">
        <f t="shared" ref="I57" si="7">E57-G57</f>
        <v>0</v>
      </c>
      <c r="J57" s="546"/>
      <c r="K57" s="547"/>
      <c r="L57" s="439"/>
      <c r="M57" s="440"/>
    </row>
    <row r="58" spans="1:13" ht="35.549999999999997" customHeight="1">
      <c r="A58" s="433">
        <f t="shared" si="4"/>
        <v>12</v>
      </c>
      <c r="B58" s="542" t="s">
        <v>646</v>
      </c>
      <c r="C58" s="543"/>
      <c r="D58" s="429" t="s">
        <v>643</v>
      </c>
      <c r="E58" s="430">
        <v>45</v>
      </c>
      <c r="F58" s="429">
        <f t="shared" si="5"/>
        <v>45</v>
      </c>
      <c r="G58" s="481">
        <v>45</v>
      </c>
      <c r="H58" s="431">
        <f t="shared" si="2"/>
        <v>0</v>
      </c>
      <c r="I58" s="432">
        <f t="shared" si="3"/>
        <v>0</v>
      </c>
      <c r="J58" s="546"/>
      <c r="K58" s="547"/>
      <c r="L58" s="439"/>
      <c r="M58" s="440"/>
    </row>
    <row r="59" spans="1:13" ht="28.2" customHeight="1">
      <c r="A59" s="433">
        <f t="shared" si="4"/>
        <v>13</v>
      </c>
      <c r="B59" s="542" t="s">
        <v>653</v>
      </c>
      <c r="C59" s="543"/>
      <c r="D59" s="429" t="s">
        <v>643</v>
      </c>
      <c r="E59" s="430">
        <v>828</v>
      </c>
      <c r="F59" s="429">
        <f t="shared" si="5"/>
        <v>828</v>
      </c>
      <c r="G59" s="481">
        <v>828</v>
      </c>
      <c r="H59" s="431">
        <f t="shared" si="2"/>
        <v>0</v>
      </c>
      <c r="I59" s="432">
        <f t="shared" si="3"/>
        <v>0</v>
      </c>
      <c r="J59" s="546"/>
      <c r="K59" s="547"/>
      <c r="L59" s="439"/>
      <c r="M59" s="440"/>
    </row>
    <row r="60" spans="1:13" ht="28.2" customHeight="1">
      <c r="A60" s="433">
        <f t="shared" si="4"/>
        <v>14</v>
      </c>
      <c r="B60" s="542" t="s">
        <v>642</v>
      </c>
      <c r="C60" s="543"/>
      <c r="D60" s="429" t="s">
        <v>643</v>
      </c>
      <c r="E60" s="430">
        <v>5628</v>
      </c>
      <c r="F60" s="429">
        <f t="shared" si="5"/>
        <v>5628</v>
      </c>
      <c r="G60" s="481">
        <v>4992</v>
      </c>
      <c r="H60" s="431">
        <f t="shared" si="2"/>
        <v>636</v>
      </c>
      <c r="I60" s="432">
        <f t="shared" si="3"/>
        <v>636</v>
      </c>
      <c r="J60" s="544" t="s">
        <v>761</v>
      </c>
      <c r="K60" s="545"/>
      <c r="L60" s="439"/>
      <c r="M60" s="440"/>
    </row>
    <row r="61" spans="1:13" ht="37.200000000000003" customHeight="1">
      <c r="A61" s="433">
        <f t="shared" si="4"/>
        <v>15</v>
      </c>
      <c r="B61" s="542" t="s">
        <v>647</v>
      </c>
      <c r="C61" s="543"/>
      <c r="D61" s="429" t="s">
        <v>643</v>
      </c>
      <c r="E61" s="430">
        <v>338</v>
      </c>
      <c r="F61" s="429">
        <f t="shared" si="5"/>
        <v>338</v>
      </c>
      <c r="G61" s="481">
        <v>338</v>
      </c>
      <c r="H61" s="431">
        <f t="shared" si="2"/>
        <v>0</v>
      </c>
      <c r="I61" s="432">
        <f t="shared" si="3"/>
        <v>0</v>
      </c>
      <c r="J61" s="546"/>
      <c r="K61" s="547"/>
      <c r="L61" s="439"/>
      <c r="M61" s="440"/>
    </row>
    <row r="62" spans="1:13" ht="28.2" customHeight="1">
      <c r="A62" s="433">
        <f t="shared" si="4"/>
        <v>16</v>
      </c>
      <c r="B62" s="542" t="s">
        <v>649</v>
      </c>
      <c r="C62" s="543"/>
      <c r="D62" s="429" t="s">
        <v>643</v>
      </c>
      <c r="E62" s="430">
        <v>169</v>
      </c>
      <c r="F62" s="429">
        <f t="shared" si="5"/>
        <v>169</v>
      </c>
      <c r="G62" s="481">
        <v>169</v>
      </c>
      <c r="H62" s="431">
        <f t="shared" si="2"/>
        <v>0</v>
      </c>
      <c r="I62" s="432">
        <f t="shared" si="3"/>
        <v>0</v>
      </c>
      <c r="J62" s="548"/>
      <c r="K62" s="549"/>
      <c r="L62" s="439"/>
      <c r="M62" s="440"/>
    </row>
    <row r="63" spans="1:13" ht="28.2" customHeight="1">
      <c r="A63" s="433">
        <f t="shared" si="4"/>
        <v>17</v>
      </c>
      <c r="B63" s="542" t="s">
        <v>641</v>
      </c>
      <c r="C63" s="543"/>
      <c r="D63" s="429" t="s">
        <v>643</v>
      </c>
      <c r="E63" s="430">
        <v>88</v>
      </c>
      <c r="F63" s="429">
        <f t="shared" si="5"/>
        <v>88</v>
      </c>
      <c r="G63" s="481">
        <v>88</v>
      </c>
      <c r="H63" s="431">
        <f t="shared" ref="H63" si="8">F63-G63</f>
        <v>0</v>
      </c>
      <c r="I63" s="432">
        <f t="shared" ref="I63" si="9">E63-G63</f>
        <v>0</v>
      </c>
      <c r="J63" s="548"/>
      <c r="K63" s="549"/>
    </row>
    <row r="64" spans="1:13" ht="28.2" customHeight="1">
      <c r="A64" s="433">
        <f t="shared" si="4"/>
        <v>18</v>
      </c>
      <c r="B64" s="542" t="s">
        <v>650</v>
      </c>
      <c r="C64" s="543"/>
      <c r="D64" s="429" t="s">
        <v>643</v>
      </c>
      <c r="E64" s="430">
        <v>340</v>
      </c>
      <c r="F64" s="429">
        <f t="shared" si="5"/>
        <v>340</v>
      </c>
      <c r="G64" s="481">
        <v>340</v>
      </c>
      <c r="H64" s="431">
        <f t="shared" si="2"/>
        <v>0</v>
      </c>
      <c r="I64" s="432">
        <f t="shared" si="3"/>
        <v>0</v>
      </c>
      <c r="J64" s="548"/>
      <c r="K64" s="549"/>
    </row>
    <row r="65" spans="1:11" ht="28.2" customHeight="1">
      <c r="A65" s="433">
        <f t="shared" si="4"/>
        <v>19</v>
      </c>
      <c r="B65" s="542" t="s">
        <v>651</v>
      </c>
      <c r="C65" s="543"/>
      <c r="D65" s="429" t="s">
        <v>643</v>
      </c>
      <c r="E65" s="430">
        <v>81</v>
      </c>
      <c r="F65" s="429">
        <f t="shared" si="5"/>
        <v>81</v>
      </c>
      <c r="G65" s="481">
        <v>81</v>
      </c>
      <c r="H65" s="431">
        <f t="shared" si="2"/>
        <v>0</v>
      </c>
      <c r="I65" s="432">
        <f t="shared" si="3"/>
        <v>0</v>
      </c>
      <c r="J65" s="548"/>
      <c r="K65" s="549"/>
    </row>
    <row r="66" spans="1:11" ht="28.2" customHeight="1">
      <c r="A66" s="433">
        <f t="shared" si="4"/>
        <v>20</v>
      </c>
      <c r="B66" s="542" t="s">
        <v>652</v>
      </c>
      <c r="C66" s="543"/>
      <c r="D66" s="429" t="s">
        <v>643</v>
      </c>
      <c r="E66" s="430">
        <v>26</v>
      </c>
      <c r="F66" s="429">
        <f t="shared" si="5"/>
        <v>26</v>
      </c>
      <c r="G66" s="481">
        <v>26</v>
      </c>
      <c r="H66" s="431">
        <f t="shared" si="2"/>
        <v>0</v>
      </c>
      <c r="I66" s="432">
        <f t="shared" si="3"/>
        <v>0</v>
      </c>
      <c r="J66" s="548"/>
      <c r="K66" s="549"/>
    </row>
  </sheetData>
  <mergeCells count="79">
    <mergeCell ref="A8:L8"/>
    <mergeCell ref="J49:K49"/>
    <mergeCell ref="J50:K50"/>
    <mergeCell ref="B46:C46"/>
    <mergeCell ref="B39:G39"/>
    <mergeCell ref="B38:G38"/>
    <mergeCell ref="B37:G37"/>
    <mergeCell ref="F27:G27"/>
    <mergeCell ref="B40:J40"/>
    <mergeCell ref="D28:E28"/>
    <mergeCell ref="B41:J41"/>
    <mergeCell ref="J46:K46"/>
    <mergeCell ref="B49:C49"/>
    <mergeCell ref="B50:C50"/>
    <mergeCell ref="B42:J42"/>
    <mergeCell ref="M17:N17"/>
    <mergeCell ref="D29:E29"/>
    <mergeCell ref="F29:G29"/>
    <mergeCell ref="D32:E32"/>
    <mergeCell ref="F28:G28"/>
    <mergeCell ref="D27:E27"/>
    <mergeCell ref="N25:O25"/>
    <mergeCell ref="H29:I29"/>
    <mergeCell ref="H28:I28"/>
    <mergeCell ref="H27:I27"/>
    <mergeCell ref="D31:E31"/>
    <mergeCell ref="F31:G31"/>
    <mergeCell ref="H32:I32"/>
    <mergeCell ref="H31:I31"/>
    <mergeCell ref="H30:I30"/>
    <mergeCell ref="A1:A4"/>
    <mergeCell ref="C2:E2"/>
    <mergeCell ref="C3:E3"/>
    <mergeCell ref="C4:E4"/>
    <mergeCell ref="B48:C48"/>
    <mergeCell ref="A19:O19"/>
    <mergeCell ref="B47:C47"/>
    <mergeCell ref="M40:O40"/>
    <mergeCell ref="M15:N15"/>
    <mergeCell ref="A14:N14"/>
    <mergeCell ref="J48:K48"/>
    <mergeCell ref="J47:K47"/>
    <mergeCell ref="F32:G32"/>
    <mergeCell ref="D30:E30"/>
    <mergeCell ref="F30:G30"/>
    <mergeCell ref="M16:N16"/>
    <mergeCell ref="J60:K60"/>
    <mergeCell ref="B55:C55"/>
    <mergeCell ref="J55:K55"/>
    <mergeCell ref="J54:K54"/>
    <mergeCell ref="J53:K53"/>
    <mergeCell ref="B59:C59"/>
    <mergeCell ref="B58:C58"/>
    <mergeCell ref="B57:C57"/>
    <mergeCell ref="J58:K58"/>
    <mergeCell ref="J59:K59"/>
    <mergeCell ref="J52:K52"/>
    <mergeCell ref="B54:C54"/>
    <mergeCell ref="B45:C45"/>
    <mergeCell ref="B52:C52"/>
    <mergeCell ref="B53:C53"/>
    <mergeCell ref="J51:K51"/>
    <mergeCell ref="B51:C51"/>
    <mergeCell ref="B63:C63"/>
    <mergeCell ref="J56:K56"/>
    <mergeCell ref="J57:K57"/>
    <mergeCell ref="J66:K66"/>
    <mergeCell ref="J63:K63"/>
    <mergeCell ref="J61:K61"/>
    <mergeCell ref="B56:C56"/>
    <mergeCell ref="J62:K62"/>
    <mergeCell ref="J64:K64"/>
    <mergeCell ref="J65:K65"/>
    <mergeCell ref="B66:C66"/>
    <mergeCell ref="B65:C65"/>
    <mergeCell ref="B64:C64"/>
    <mergeCell ref="B62:C62"/>
    <mergeCell ref="B61:C61"/>
    <mergeCell ref="B60:C60"/>
  </mergeCells>
  <phoneticPr fontId="93" type="noConversion"/>
  <conditionalFormatting sqref="C10:K11 D34:D36">
    <cfRule type="cellIs" dxfId="34" priority="6" stopIfTrue="1" operator="greaterThan">
      <formula>600</formula>
    </cfRule>
  </conditionalFormatting>
  <conditionalFormatting sqref="D13">
    <cfRule type="cellIs" dxfId="33" priority="7" stopIfTrue="1" operator="greaterThan">
      <formula>600</formula>
    </cfRule>
  </conditionalFormatting>
  <conditionalFormatting sqref="D16:D18">
    <cfRule type="cellIs" dxfId="32" priority="3" stopIfTrue="1" operator="greaterThan">
      <formula>600</formula>
    </cfRule>
  </conditionalFormatting>
  <conditionalFormatting sqref="D25:D26 D44:D45 D67:D176">
    <cfRule type="cellIs" dxfId="31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89"/>
  <sheetViews>
    <sheetView topLeftCell="F76" workbookViewId="0">
      <selection activeCell="Q3" sqref="Q3"/>
    </sheetView>
  </sheetViews>
  <sheetFormatPr defaultRowHeight="14.4"/>
  <cols>
    <col min="5" max="5" width="10.44140625" bestFit="1" customWidth="1"/>
    <col min="11" max="11" width="11.88671875" bestFit="1" customWidth="1"/>
    <col min="12" max="12" width="32.77734375" bestFit="1" customWidth="1"/>
  </cols>
  <sheetData>
    <row r="1" spans="1:47" ht="28.2" thickBot="1">
      <c r="A1" s="163" t="s">
        <v>405</v>
      </c>
      <c r="B1" s="163" t="s">
        <v>82</v>
      </c>
      <c r="C1" s="163" t="s">
        <v>60</v>
      </c>
      <c r="D1" s="163" t="s">
        <v>239</v>
      </c>
      <c r="E1" s="163" t="s">
        <v>763</v>
      </c>
      <c r="F1" s="163" t="s">
        <v>764</v>
      </c>
      <c r="G1" s="624" t="s">
        <v>112</v>
      </c>
      <c r="H1" s="625"/>
      <c r="I1" s="625"/>
      <c r="J1" s="626"/>
      <c r="K1" s="163" t="s">
        <v>765</v>
      </c>
      <c r="L1" s="163" t="s">
        <v>400</v>
      </c>
      <c r="M1" s="163" t="s">
        <v>401</v>
      </c>
      <c r="N1" s="624" t="s">
        <v>402</v>
      </c>
      <c r="O1" s="625"/>
      <c r="P1" s="626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">
      <c r="A2" s="287">
        <v>1</v>
      </c>
      <c r="B2" s="185" t="s">
        <v>16</v>
      </c>
      <c r="C2" s="184" t="s">
        <v>403</v>
      </c>
      <c r="D2" s="287" t="s">
        <v>240</v>
      </c>
      <c r="E2" s="288">
        <v>45574</v>
      </c>
      <c r="F2" s="289">
        <v>27.96</v>
      </c>
      <c r="G2" s="608" t="s">
        <v>404</v>
      </c>
      <c r="H2" s="608"/>
      <c r="I2" s="608"/>
      <c r="J2" s="608"/>
      <c r="K2" s="288">
        <v>45592</v>
      </c>
      <c r="L2" s="287" t="s">
        <v>502</v>
      </c>
      <c r="M2" s="287"/>
      <c r="N2" s="622"/>
      <c r="O2" s="622"/>
      <c r="P2" s="622"/>
    </row>
    <row r="3" spans="1:47" ht="18">
      <c r="A3" s="287">
        <v>2</v>
      </c>
      <c r="B3" s="185" t="s">
        <v>129</v>
      </c>
      <c r="C3" s="184" t="s">
        <v>403</v>
      </c>
      <c r="D3" s="287" t="s">
        <v>240</v>
      </c>
      <c r="E3" s="288">
        <v>45593</v>
      </c>
      <c r="F3" s="289">
        <v>27.96</v>
      </c>
      <c r="G3" s="608" t="s">
        <v>404</v>
      </c>
      <c r="H3" s="608"/>
      <c r="I3" s="608"/>
      <c r="J3" s="608"/>
      <c r="K3" s="288">
        <v>45601</v>
      </c>
      <c r="L3" s="287" t="s">
        <v>502</v>
      </c>
      <c r="M3" s="287"/>
      <c r="N3" s="627"/>
      <c r="O3" s="627"/>
      <c r="P3" s="627"/>
    </row>
    <row r="4" spans="1:47" ht="18">
      <c r="A4" s="287">
        <v>3</v>
      </c>
      <c r="B4" s="290" t="s">
        <v>506</v>
      </c>
      <c r="C4" s="184" t="s">
        <v>403</v>
      </c>
      <c r="D4" s="287" t="s">
        <v>240</v>
      </c>
      <c r="E4" s="288">
        <v>45601</v>
      </c>
      <c r="F4" s="289">
        <v>27.96</v>
      </c>
      <c r="G4" s="608" t="s">
        <v>404</v>
      </c>
      <c r="H4" s="608"/>
      <c r="I4" s="608"/>
      <c r="J4" s="608"/>
      <c r="K4" s="288">
        <v>45609</v>
      </c>
      <c r="L4" s="287" t="s">
        <v>502</v>
      </c>
      <c r="M4" s="287"/>
      <c r="N4" s="622"/>
      <c r="O4" s="622"/>
      <c r="P4" s="622"/>
    </row>
    <row r="5" spans="1:47" ht="18">
      <c r="A5" s="287">
        <v>4</v>
      </c>
      <c r="B5" s="290" t="s">
        <v>18</v>
      </c>
      <c r="C5" s="184" t="s">
        <v>403</v>
      </c>
      <c r="D5" s="287" t="s">
        <v>240</v>
      </c>
      <c r="E5" s="288">
        <v>45610</v>
      </c>
      <c r="F5" s="289">
        <v>27.96</v>
      </c>
      <c r="G5" s="608" t="s">
        <v>404</v>
      </c>
      <c r="H5" s="608"/>
      <c r="I5" s="608"/>
      <c r="J5" s="608"/>
      <c r="K5" s="288">
        <v>45615</v>
      </c>
      <c r="L5" s="287" t="s">
        <v>502</v>
      </c>
      <c r="M5" s="287"/>
      <c r="N5" s="622" t="s">
        <v>513</v>
      </c>
      <c r="O5" s="622"/>
      <c r="P5" s="622"/>
    </row>
    <row r="6" spans="1:47" ht="18">
      <c r="A6" s="287">
        <v>5</v>
      </c>
      <c r="B6" s="290" t="s">
        <v>134</v>
      </c>
      <c r="C6" s="184" t="s">
        <v>403</v>
      </c>
      <c r="D6" s="287" t="s">
        <v>240</v>
      </c>
      <c r="E6" s="288">
        <v>45615</v>
      </c>
      <c r="F6" s="289">
        <v>27.96</v>
      </c>
      <c r="G6" s="608" t="s">
        <v>404</v>
      </c>
      <c r="H6" s="608"/>
      <c r="I6" s="608"/>
      <c r="J6" s="608"/>
      <c r="K6" s="288">
        <v>45620</v>
      </c>
      <c r="L6" s="287" t="s">
        <v>502</v>
      </c>
      <c r="M6" s="287"/>
      <c r="N6" s="622" t="s">
        <v>109</v>
      </c>
      <c r="O6" s="622"/>
      <c r="P6" s="622"/>
    </row>
    <row r="7" spans="1:47" ht="18">
      <c r="A7" s="287">
        <v>6</v>
      </c>
      <c r="B7" s="290" t="s">
        <v>2</v>
      </c>
      <c r="C7" s="184" t="s">
        <v>403</v>
      </c>
      <c r="D7" s="287" t="s">
        <v>240</v>
      </c>
      <c r="E7" s="288">
        <v>45622</v>
      </c>
      <c r="F7" s="289">
        <v>27.96</v>
      </c>
      <c r="G7" s="608" t="s">
        <v>404</v>
      </c>
      <c r="H7" s="608"/>
      <c r="I7" s="608"/>
      <c r="J7" s="608"/>
      <c r="K7" s="288">
        <v>45627</v>
      </c>
      <c r="L7" s="287" t="s">
        <v>502</v>
      </c>
      <c r="M7" s="287"/>
      <c r="N7" s="622"/>
      <c r="O7" s="622"/>
      <c r="P7" s="622"/>
    </row>
    <row r="8" spans="1:47" ht="18">
      <c r="A8" s="287">
        <v>7</v>
      </c>
      <c r="B8" s="290" t="s">
        <v>49</v>
      </c>
      <c r="C8" s="184" t="s">
        <v>403</v>
      </c>
      <c r="D8" s="287" t="s">
        <v>240</v>
      </c>
      <c r="E8" s="288">
        <v>45628</v>
      </c>
      <c r="F8" s="289">
        <v>27.96</v>
      </c>
      <c r="G8" s="608" t="s">
        <v>404</v>
      </c>
      <c r="H8" s="608"/>
      <c r="I8" s="608"/>
      <c r="J8" s="608"/>
      <c r="K8" s="288">
        <v>45632</v>
      </c>
      <c r="L8" s="287" t="s">
        <v>502</v>
      </c>
      <c r="M8" s="287"/>
      <c r="N8" s="622"/>
      <c r="O8" s="622"/>
      <c r="P8" s="622"/>
    </row>
    <row r="9" spans="1:47" ht="18">
      <c r="A9" s="287">
        <v>8</v>
      </c>
      <c r="B9" s="290" t="s">
        <v>52</v>
      </c>
      <c r="C9" s="184" t="s">
        <v>403</v>
      </c>
      <c r="D9" s="287" t="s">
        <v>240</v>
      </c>
      <c r="E9" s="288">
        <v>45629</v>
      </c>
      <c r="F9" s="289">
        <v>27.96</v>
      </c>
      <c r="G9" s="608" t="s">
        <v>404</v>
      </c>
      <c r="H9" s="608"/>
      <c r="I9" s="608"/>
      <c r="J9" s="608"/>
      <c r="K9" s="288">
        <v>45637</v>
      </c>
      <c r="L9" s="287" t="s">
        <v>512</v>
      </c>
      <c r="M9" s="287"/>
      <c r="N9" s="622" t="s">
        <v>513</v>
      </c>
      <c r="O9" s="622"/>
      <c r="P9" s="622"/>
    </row>
    <row r="10" spans="1:47" ht="18">
      <c r="A10" s="287">
        <v>9</v>
      </c>
      <c r="B10" s="290" t="s">
        <v>148</v>
      </c>
      <c r="C10" s="184" t="s">
        <v>403</v>
      </c>
      <c r="D10" s="287" t="s">
        <v>240</v>
      </c>
      <c r="E10" s="288">
        <v>45632</v>
      </c>
      <c r="F10" s="289">
        <v>27.96</v>
      </c>
      <c r="G10" s="608" t="s">
        <v>404</v>
      </c>
      <c r="H10" s="608"/>
      <c r="I10" s="608"/>
      <c r="J10" s="608"/>
      <c r="K10" s="288">
        <v>45637</v>
      </c>
      <c r="L10" s="287" t="s">
        <v>502</v>
      </c>
      <c r="M10" s="287"/>
      <c r="N10" s="622"/>
      <c r="O10" s="622"/>
      <c r="P10" s="622"/>
    </row>
    <row r="11" spans="1:47" ht="18">
      <c r="A11" s="287">
        <v>10</v>
      </c>
      <c r="B11" s="290" t="s">
        <v>149</v>
      </c>
      <c r="C11" s="184" t="s">
        <v>447</v>
      </c>
      <c r="D11" s="287" t="s">
        <v>240</v>
      </c>
      <c r="E11" s="288">
        <v>45638</v>
      </c>
      <c r="F11" s="289">
        <v>29.12</v>
      </c>
      <c r="G11" s="608" t="s">
        <v>404</v>
      </c>
      <c r="H11" s="608"/>
      <c r="I11" s="608"/>
      <c r="J11" s="608"/>
      <c r="K11" s="375">
        <v>45644</v>
      </c>
      <c r="L11" s="287" t="s">
        <v>502</v>
      </c>
      <c r="M11" s="287"/>
      <c r="N11" s="622"/>
      <c r="O11" s="622"/>
      <c r="P11" s="622"/>
    </row>
    <row r="12" spans="1:47" ht="18">
      <c r="A12" s="287">
        <v>11</v>
      </c>
      <c r="B12" s="290" t="s">
        <v>51</v>
      </c>
      <c r="C12" s="184" t="s">
        <v>403</v>
      </c>
      <c r="D12" s="287" t="s">
        <v>240</v>
      </c>
      <c r="E12" s="288">
        <v>45638</v>
      </c>
      <c r="F12" s="289">
        <v>27.96</v>
      </c>
      <c r="G12" s="608" t="s">
        <v>404</v>
      </c>
      <c r="H12" s="608"/>
      <c r="I12" s="608"/>
      <c r="J12" s="608"/>
      <c r="K12" s="288">
        <v>45644</v>
      </c>
      <c r="L12" s="287" t="s">
        <v>512</v>
      </c>
      <c r="M12" s="287"/>
      <c r="N12" s="622"/>
      <c r="O12" s="622"/>
      <c r="P12" s="622"/>
    </row>
    <row r="13" spans="1:47" ht="18">
      <c r="A13" s="287">
        <v>12</v>
      </c>
      <c r="B13" s="290" t="s">
        <v>141</v>
      </c>
      <c r="C13" s="184" t="s">
        <v>447</v>
      </c>
      <c r="D13" s="287" t="s">
        <v>240</v>
      </c>
      <c r="E13" s="288">
        <v>45645</v>
      </c>
      <c r="F13" s="289">
        <v>29.12</v>
      </c>
      <c r="G13" s="608" t="s">
        <v>404</v>
      </c>
      <c r="H13" s="608"/>
      <c r="I13" s="608"/>
      <c r="J13" s="608"/>
      <c r="K13" s="288">
        <v>45653</v>
      </c>
      <c r="L13" s="287" t="s">
        <v>502</v>
      </c>
      <c r="M13" s="287"/>
      <c r="N13" s="622"/>
      <c r="O13" s="622"/>
      <c r="P13" s="622"/>
    </row>
    <row r="14" spans="1:47" ht="18">
      <c r="A14" s="287">
        <v>13</v>
      </c>
      <c r="B14" s="290" t="s">
        <v>137</v>
      </c>
      <c r="C14" s="184" t="s">
        <v>456</v>
      </c>
      <c r="D14" s="287" t="s">
        <v>240</v>
      </c>
      <c r="E14" s="288">
        <v>45645</v>
      </c>
      <c r="F14" s="289">
        <v>34.630000000000003</v>
      </c>
      <c r="G14" s="608" t="s">
        <v>404</v>
      </c>
      <c r="H14" s="608"/>
      <c r="I14" s="608"/>
      <c r="J14" s="608"/>
      <c r="K14" s="288">
        <v>45655</v>
      </c>
      <c r="L14" s="287" t="s">
        <v>512</v>
      </c>
      <c r="M14" s="287"/>
      <c r="N14" s="622"/>
      <c r="O14" s="622"/>
      <c r="P14" s="622"/>
    </row>
    <row r="15" spans="1:47" ht="18">
      <c r="A15" s="287">
        <v>14</v>
      </c>
      <c r="B15" s="290" t="s">
        <v>127</v>
      </c>
      <c r="C15" s="184" t="s">
        <v>403</v>
      </c>
      <c r="D15" s="287" t="s">
        <v>240</v>
      </c>
      <c r="E15" s="288">
        <v>45655</v>
      </c>
      <c r="F15" s="289">
        <v>27.96</v>
      </c>
      <c r="G15" s="608" t="s">
        <v>404</v>
      </c>
      <c r="H15" s="608"/>
      <c r="I15" s="608"/>
      <c r="J15" s="608"/>
      <c r="K15" s="288">
        <v>45296</v>
      </c>
      <c r="L15" s="287" t="s">
        <v>502</v>
      </c>
      <c r="M15" s="287"/>
      <c r="N15" s="622"/>
      <c r="O15" s="622"/>
      <c r="P15" s="622"/>
    </row>
    <row r="16" spans="1:47" ht="18">
      <c r="A16" s="287">
        <v>15</v>
      </c>
      <c r="B16" s="290" t="s">
        <v>144</v>
      </c>
      <c r="C16" s="184" t="s">
        <v>403</v>
      </c>
      <c r="D16" s="287" t="s">
        <v>240</v>
      </c>
      <c r="E16" s="288">
        <v>45656</v>
      </c>
      <c r="F16" s="289">
        <v>27.96</v>
      </c>
      <c r="G16" s="608" t="s">
        <v>404</v>
      </c>
      <c r="H16" s="608"/>
      <c r="I16" s="608"/>
      <c r="J16" s="608"/>
      <c r="K16" s="288">
        <v>45298</v>
      </c>
      <c r="L16" s="287" t="s">
        <v>512</v>
      </c>
      <c r="M16" s="287"/>
      <c r="N16" s="622"/>
      <c r="O16" s="622"/>
      <c r="P16" s="622"/>
    </row>
    <row r="17" spans="1:16" ht="18">
      <c r="A17" s="287">
        <v>16</v>
      </c>
      <c r="B17" s="290" t="s">
        <v>167</v>
      </c>
      <c r="C17" s="184" t="s">
        <v>403</v>
      </c>
      <c r="D17" s="287" t="s">
        <v>240</v>
      </c>
      <c r="E17" s="288">
        <v>45298</v>
      </c>
      <c r="F17" s="289">
        <v>27.96</v>
      </c>
      <c r="G17" s="608" t="s">
        <v>404</v>
      </c>
      <c r="H17" s="608"/>
      <c r="I17" s="608"/>
      <c r="J17" s="608"/>
      <c r="K17" s="288">
        <v>45668</v>
      </c>
      <c r="L17" s="287" t="s">
        <v>502</v>
      </c>
      <c r="M17" s="287"/>
      <c r="N17" s="622"/>
      <c r="O17" s="622"/>
      <c r="P17" s="622"/>
    </row>
    <row r="18" spans="1:16" ht="18">
      <c r="A18" s="287">
        <f t="shared" ref="A18:A66" si="0">A17+1</f>
        <v>17</v>
      </c>
      <c r="B18" s="290" t="s">
        <v>177</v>
      </c>
      <c r="C18" s="184" t="s">
        <v>403</v>
      </c>
      <c r="D18" s="287" t="s">
        <v>240</v>
      </c>
      <c r="E18" s="288">
        <v>45300</v>
      </c>
      <c r="F18" s="289">
        <v>27.96</v>
      </c>
      <c r="G18" s="608" t="s">
        <v>404</v>
      </c>
      <c r="H18" s="608"/>
      <c r="I18" s="608"/>
      <c r="J18" s="608"/>
      <c r="K18" s="288">
        <v>45672</v>
      </c>
      <c r="L18" s="287" t="s">
        <v>512</v>
      </c>
      <c r="M18" s="287"/>
      <c r="N18" s="622"/>
      <c r="O18" s="622"/>
      <c r="P18" s="622"/>
    </row>
    <row r="19" spans="1:16" ht="18">
      <c r="A19" s="287">
        <f t="shared" si="0"/>
        <v>18</v>
      </c>
      <c r="B19" s="290" t="s">
        <v>161</v>
      </c>
      <c r="C19" s="184" t="s">
        <v>447</v>
      </c>
      <c r="D19" s="287" t="s">
        <v>240</v>
      </c>
      <c r="E19" s="288">
        <v>45670</v>
      </c>
      <c r="F19" s="289">
        <v>29</v>
      </c>
      <c r="G19" s="608" t="s">
        <v>404</v>
      </c>
      <c r="H19" s="608"/>
      <c r="I19" s="608"/>
      <c r="J19" s="608"/>
      <c r="K19" s="288">
        <v>45675</v>
      </c>
      <c r="L19" s="287" t="s">
        <v>502</v>
      </c>
      <c r="M19" s="287"/>
      <c r="N19" s="622"/>
      <c r="O19" s="622"/>
      <c r="P19" s="622"/>
    </row>
    <row r="20" spans="1:16" ht="18">
      <c r="A20" s="287">
        <f t="shared" si="0"/>
        <v>19</v>
      </c>
      <c r="B20" s="290" t="s">
        <v>178</v>
      </c>
      <c r="C20" s="184" t="s">
        <v>447</v>
      </c>
      <c r="D20" s="287" t="s">
        <v>240</v>
      </c>
      <c r="E20" s="288">
        <v>45673</v>
      </c>
      <c r="F20" s="289">
        <v>29</v>
      </c>
      <c r="G20" s="608" t="s">
        <v>404</v>
      </c>
      <c r="H20" s="608"/>
      <c r="I20" s="608"/>
      <c r="J20" s="608"/>
      <c r="K20" s="288">
        <v>45680</v>
      </c>
      <c r="L20" s="287" t="s">
        <v>512</v>
      </c>
      <c r="M20" s="287"/>
      <c r="N20" s="622"/>
      <c r="O20" s="622"/>
      <c r="P20" s="622"/>
    </row>
    <row r="21" spans="1:16" ht="18">
      <c r="A21" s="287">
        <f t="shared" si="0"/>
        <v>20</v>
      </c>
      <c r="B21" s="290" t="s">
        <v>157</v>
      </c>
      <c r="C21" s="184" t="s">
        <v>403</v>
      </c>
      <c r="D21" s="287" t="s">
        <v>240</v>
      </c>
      <c r="E21" s="288">
        <v>45673</v>
      </c>
      <c r="F21" s="289">
        <v>28</v>
      </c>
      <c r="G21" s="608" t="s">
        <v>404</v>
      </c>
      <c r="H21" s="608"/>
      <c r="I21" s="608"/>
      <c r="J21" s="608"/>
      <c r="K21" s="288">
        <v>45680</v>
      </c>
      <c r="L21" s="287" t="s">
        <v>502</v>
      </c>
      <c r="M21" s="287"/>
      <c r="N21" s="622"/>
      <c r="O21" s="622"/>
      <c r="P21" s="622"/>
    </row>
    <row r="22" spans="1:16" ht="18">
      <c r="A22" s="287">
        <f t="shared" si="0"/>
        <v>21</v>
      </c>
      <c r="B22" s="290" t="s">
        <v>180</v>
      </c>
      <c r="C22" s="184" t="s">
        <v>447</v>
      </c>
      <c r="D22" s="287" t="s">
        <v>240</v>
      </c>
      <c r="E22" s="288">
        <v>45681</v>
      </c>
      <c r="F22" s="289">
        <v>29</v>
      </c>
      <c r="G22" s="608" t="s">
        <v>404</v>
      </c>
      <c r="H22" s="608"/>
      <c r="I22" s="608"/>
      <c r="J22" s="608"/>
      <c r="K22" s="288">
        <v>45699</v>
      </c>
      <c r="L22" s="287" t="s">
        <v>512</v>
      </c>
      <c r="M22" s="287"/>
      <c r="N22" s="620"/>
      <c r="O22" s="620"/>
      <c r="P22" s="620"/>
    </row>
    <row r="23" spans="1:16" ht="18">
      <c r="A23" s="287">
        <f t="shared" si="0"/>
        <v>22</v>
      </c>
      <c r="B23" s="290" t="s">
        <v>17</v>
      </c>
      <c r="C23" s="184" t="s">
        <v>403</v>
      </c>
      <c r="D23" s="287" t="s">
        <v>240</v>
      </c>
      <c r="E23" s="288">
        <v>45681</v>
      </c>
      <c r="F23" s="289">
        <v>28</v>
      </c>
      <c r="G23" s="608" t="s">
        <v>404</v>
      </c>
      <c r="H23" s="608"/>
      <c r="I23" s="608"/>
      <c r="J23" s="608"/>
      <c r="K23" s="288">
        <v>45687</v>
      </c>
      <c r="L23" s="287" t="s">
        <v>502</v>
      </c>
      <c r="M23" s="287"/>
      <c r="N23" s="623"/>
      <c r="O23" s="623"/>
      <c r="P23" s="623"/>
    </row>
    <row r="24" spans="1:16" ht="18">
      <c r="A24" s="287">
        <f t="shared" si="0"/>
        <v>23</v>
      </c>
      <c r="B24" s="290" t="s">
        <v>179</v>
      </c>
      <c r="C24" s="184" t="s">
        <v>403</v>
      </c>
      <c r="D24" s="287" t="s">
        <v>240</v>
      </c>
      <c r="E24" s="288">
        <v>45682</v>
      </c>
      <c r="F24" s="289">
        <v>28</v>
      </c>
      <c r="G24" s="608" t="s">
        <v>404</v>
      </c>
      <c r="H24" s="608"/>
      <c r="I24" s="608"/>
      <c r="J24" s="608"/>
      <c r="K24" s="288">
        <v>45690</v>
      </c>
      <c r="L24" s="287" t="s">
        <v>512</v>
      </c>
      <c r="M24" s="287"/>
      <c r="N24" s="622"/>
      <c r="O24" s="622"/>
      <c r="P24" s="622"/>
    </row>
    <row r="25" spans="1:16" ht="18">
      <c r="A25" s="287">
        <f t="shared" si="0"/>
        <v>24</v>
      </c>
      <c r="B25" s="290" t="s">
        <v>138</v>
      </c>
      <c r="C25" s="184" t="s">
        <v>447</v>
      </c>
      <c r="D25" s="287" t="s">
        <v>240</v>
      </c>
      <c r="E25" s="288">
        <v>45688</v>
      </c>
      <c r="F25" s="289">
        <v>29</v>
      </c>
      <c r="G25" s="608" t="s">
        <v>404</v>
      </c>
      <c r="H25" s="608"/>
      <c r="I25" s="608"/>
      <c r="J25" s="608"/>
      <c r="K25" s="288">
        <v>45693</v>
      </c>
      <c r="L25" s="287" t="s">
        <v>502</v>
      </c>
      <c r="M25" s="287"/>
      <c r="N25" s="622"/>
      <c r="O25" s="622"/>
      <c r="P25" s="622"/>
    </row>
    <row r="26" spans="1:16" ht="18">
      <c r="A26" s="287">
        <f t="shared" si="0"/>
        <v>25</v>
      </c>
      <c r="B26" s="290" t="s">
        <v>146</v>
      </c>
      <c r="C26" s="184" t="s">
        <v>455</v>
      </c>
      <c r="D26" s="287" t="s">
        <v>240</v>
      </c>
      <c r="E26" s="288">
        <v>45694</v>
      </c>
      <c r="F26" s="289">
        <v>33</v>
      </c>
      <c r="G26" s="608" t="s">
        <v>404</v>
      </c>
      <c r="H26" s="608"/>
      <c r="I26" s="608"/>
      <c r="J26" s="608"/>
      <c r="K26" s="288">
        <v>45699</v>
      </c>
      <c r="L26" s="287" t="s">
        <v>502</v>
      </c>
      <c r="M26" s="287"/>
      <c r="N26" s="620"/>
      <c r="O26" s="620"/>
      <c r="P26" s="620"/>
    </row>
    <row r="27" spans="1:16" ht="18">
      <c r="A27" s="287">
        <f t="shared" si="0"/>
        <v>26</v>
      </c>
      <c r="B27" s="290" t="s">
        <v>147</v>
      </c>
      <c r="C27" s="184" t="s">
        <v>447</v>
      </c>
      <c r="D27" s="287" t="s">
        <v>240</v>
      </c>
      <c r="E27" s="288">
        <v>45700</v>
      </c>
      <c r="F27" s="289">
        <v>29</v>
      </c>
      <c r="G27" s="608" t="s">
        <v>404</v>
      </c>
      <c r="H27" s="608"/>
      <c r="I27" s="608"/>
      <c r="J27" s="608"/>
      <c r="K27" s="288">
        <v>45705</v>
      </c>
      <c r="L27" s="287" t="s">
        <v>502</v>
      </c>
      <c r="M27" s="287"/>
      <c r="N27" s="620"/>
      <c r="O27" s="620"/>
      <c r="P27" s="620"/>
    </row>
    <row r="28" spans="1:16" ht="18">
      <c r="A28" s="287">
        <f t="shared" si="0"/>
        <v>27</v>
      </c>
      <c r="B28" s="290" t="s">
        <v>176</v>
      </c>
      <c r="C28" s="184" t="s">
        <v>447</v>
      </c>
      <c r="D28" s="287" t="s">
        <v>240</v>
      </c>
      <c r="E28" s="288">
        <v>45700</v>
      </c>
      <c r="F28" s="289">
        <v>29</v>
      </c>
      <c r="G28" s="608" t="s">
        <v>404</v>
      </c>
      <c r="H28" s="608"/>
      <c r="I28" s="608"/>
      <c r="J28" s="608"/>
      <c r="K28" s="288">
        <v>45708</v>
      </c>
      <c r="L28" s="287" t="s">
        <v>502</v>
      </c>
      <c r="M28" s="287"/>
      <c r="N28" s="620"/>
      <c r="O28" s="620"/>
      <c r="P28" s="620"/>
    </row>
    <row r="29" spans="1:16" ht="18">
      <c r="A29" s="287">
        <f t="shared" si="0"/>
        <v>28</v>
      </c>
      <c r="B29" s="290" t="s">
        <v>508</v>
      </c>
      <c r="C29" s="184" t="s">
        <v>479</v>
      </c>
      <c r="D29" s="287" t="s">
        <v>240</v>
      </c>
      <c r="E29" s="288">
        <v>45709</v>
      </c>
      <c r="F29" s="289">
        <v>45</v>
      </c>
      <c r="G29" s="608" t="s">
        <v>404</v>
      </c>
      <c r="H29" s="608"/>
      <c r="I29" s="608"/>
      <c r="J29" s="608"/>
      <c r="K29" s="288">
        <v>45714</v>
      </c>
      <c r="L29" s="287" t="s">
        <v>502</v>
      </c>
      <c r="M29" s="287"/>
      <c r="N29" s="620"/>
      <c r="O29" s="620"/>
      <c r="P29" s="620"/>
    </row>
    <row r="30" spans="1:16" ht="18">
      <c r="A30" s="287">
        <f t="shared" si="0"/>
        <v>29</v>
      </c>
      <c r="B30" s="290" t="s">
        <v>509</v>
      </c>
      <c r="C30" s="184" t="s">
        <v>479</v>
      </c>
      <c r="D30" s="287" t="s">
        <v>240</v>
      </c>
      <c r="E30" s="288">
        <v>45714</v>
      </c>
      <c r="F30" s="289">
        <v>45</v>
      </c>
      <c r="G30" s="608" t="s">
        <v>404</v>
      </c>
      <c r="H30" s="608"/>
      <c r="I30" s="608"/>
      <c r="J30" s="608"/>
      <c r="K30" s="288">
        <v>45719</v>
      </c>
      <c r="L30" s="287" t="s">
        <v>502</v>
      </c>
      <c r="M30" s="287"/>
      <c r="N30" s="620"/>
      <c r="O30" s="620"/>
      <c r="P30" s="620"/>
    </row>
    <row r="31" spans="1:16" ht="18">
      <c r="A31" s="287">
        <f t="shared" si="0"/>
        <v>30</v>
      </c>
      <c r="B31" s="290" t="s">
        <v>517</v>
      </c>
      <c r="C31" s="184" t="s">
        <v>479</v>
      </c>
      <c r="D31" s="287" t="s">
        <v>240</v>
      </c>
      <c r="E31" s="288">
        <v>45719</v>
      </c>
      <c r="F31" s="289">
        <v>45</v>
      </c>
      <c r="G31" s="608" t="s">
        <v>404</v>
      </c>
      <c r="H31" s="608"/>
      <c r="I31" s="608"/>
      <c r="J31" s="608"/>
      <c r="K31" s="288">
        <v>45724</v>
      </c>
      <c r="L31" s="287" t="s">
        <v>502</v>
      </c>
      <c r="M31" s="287"/>
      <c r="N31" s="620"/>
      <c r="O31" s="620"/>
      <c r="P31" s="620"/>
    </row>
    <row r="32" spans="1:16" ht="18">
      <c r="A32" s="287">
        <f t="shared" si="0"/>
        <v>31</v>
      </c>
      <c r="B32" s="290" t="s">
        <v>162</v>
      </c>
      <c r="C32" s="184" t="s">
        <v>403</v>
      </c>
      <c r="D32" s="287" t="s">
        <v>240</v>
      </c>
      <c r="E32" s="288">
        <v>45722</v>
      </c>
      <c r="F32" s="289">
        <v>28</v>
      </c>
      <c r="G32" s="608" t="s">
        <v>404</v>
      </c>
      <c r="H32" s="608"/>
      <c r="I32" s="608"/>
      <c r="J32" s="608"/>
      <c r="K32" s="288">
        <v>45727</v>
      </c>
      <c r="L32" s="287" t="s">
        <v>512</v>
      </c>
      <c r="M32" s="287"/>
      <c r="N32" s="620"/>
      <c r="O32" s="620"/>
      <c r="P32" s="620"/>
    </row>
    <row r="33" spans="1:16" ht="18">
      <c r="A33" s="287">
        <f t="shared" si="0"/>
        <v>32</v>
      </c>
      <c r="B33" s="290" t="s">
        <v>160</v>
      </c>
      <c r="C33" s="184" t="s">
        <v>479</v>
      </c>
      <c r="D33" s="287" t="s">
        <v>240</v>
      </c>
      <c r="E33" s="288">
        <v>45728</v>
      </c>
      <c r="F33" s="289">
        <v>45</v>
      </c>
      <c r="G33" s="608" t="s">
        <v>404</v>
      </c>
      <c r="H33" s="608"/>
      <c r="I33" s="608"/>
      <c r="J33" s="608"/>
      <c r="K33" s="288">
        <v>45733</v>
      </c>
      <c r="L33" s="287" t="s">
        <v>512</v>
      </c>
      <c r="M33" s="287"/>
      <c r="N33" s="620"/>
      <c r="O33" s="620"/>
      <c r="P33" s="620"/>
    </row>
    <row r="34" spans="1:16" ht="18">
      <c r="A34" s="287">
        <f t="shared" si="0"/>
        <v>33</v>
      </c>
      <c r="B34" s="290" t="s">
        <v>515</v>
      </c>
      <c r="C34" s="184" t="s">
        <v>516</v>
      </c>
      <c r="D34" s="287" t="s">
        <v>240</v>
      </c>
      <c r="E34" s="288">
        <v>45734</v>
      </c>
      <c r="F34" s="289">
        <v>54</v>
      </c>
      <c r="G34" s="608" t="s">
        <v>404</v>
      </c>
      <c r="H34" s="608"/>
      <c r="I34" s="608"/>
      <c r="J34" s="608"/>
      <c r="K34" s="288">
        <v>45739</v>
      </c>
      <c r="L34" s="287" t="s">
        <v>512</v>
      </c>
      <c r="M34" s="287"/>
      <c r="N34" s="620"/>
      <c r="O34" s="620"/>
      <c r="P34" s="620"/>
    </row>
    <row r="35" spans="1:16" ht="18">
      <c r="A35" s="287">
        <f t="shared" si="0"/>
        <v>34</v>
      </c>
      <c r="B35" s="290" t="s">
        <v>4</v>
      </c>
      <c r="C35" s="184" t="s">
        <v>518</v>
      </c>
      <c r="D35" s="287" t="s">
        <v>240</v>
      </c>
      <c r="E35" s="288">
        <v>45734</v>
      </c>
      <c r="F35" s="289">
        <v>52</v>
      </c>
      <c r="G35" s="608" t="s">
        <v>404</v>
      </c>
      <c r="H35" s="608"/>
      <c r="I35" s="608"/>
      <c r="J35" s="608"/>
      <c r="K35" s="288">
        <v>45744</v>
      </c>
      <c r="L35" s="287" t="s">
        <v>512</v>
      </c>
      <c r="M35" s="287"/>
      <c r="N35" s="620"/>
      <c r="O35" s="620"/>
      <c r="P35" s="620"/>
    </row>
    <row r="36" spans="1:16" ht="18">
      <c r="A36" s="287">
        <f t="shared" si="0"/>
        <v>35</v>
      </c>
      <c r="B36" s="290" t="s">
        <v>5</v>
      </c>
      <c r="C36" s="184" t="s">
        <v>403</v>
      </c>
      <c r="D36" s="287" t="s">
        <v>240</v>
      </c>
      <c r="E36" s="288">
        <v>45744</v>
      </c>
      <c r="F36" s="289">
        <v>28</v>
      </c>
      <c r="G36" s="608" t="s">
        <v>404</v>
      </c>
      <c r="H36" s="608"/>
      <c r="I36" s="608"/>
      <c r="J36" s="608"/>
      <c r="K36" s="288">
        <v>45748</v>
      </c>
      <c r="L36" s="287" t="s">
        <v>512</v>
      </c>
      <c r="M36" s="287"/>
      <c r="N36" s="620"/>
      <c r="O36" s="620"/>
      <c r="P36" s="620"/>
    </row>
    <row r="37" spans="1:16" ht="18">
      <c r="A37" s="287">
        <f t="shared" si="0"/>
        <v>36</v>
      </c>
      <c r="B37" s="290" t="s">
        <v>50</v>
      </c>
      <c r="C37" s="184" t="s">
        <v>447</v>
      </c>
      <c r="D37" s="287" t="s">
        <v>240</v>
      </c>
      <c r="E37" s="288">
        <v>45749</v>
      </c>
      <c r="F37" s="289">
        <v>29</v>
      </c>
      <c r="G37" s="608" t="s">
        <v>404</v>
      </c>
      <c r="H37" s="608"/>
      <c r="I37" s="608"/>
      <c r="J37" s="608"/>
      <c r="K37" s="288">
        <v>45752</v>
      </c>
      <c r="L37" s="287" t="s">
        <v>512</v>
      </c>
      <c r="M37" s="287"/>
      <c r="N37" s="620"/>
      <c r="O37" s="620"/>
      <c r="P37" s="620"/>
    </row>
    <row r="38" spans="1:16" ht="18">
      <c r="A38" s="287">
        <f t="shared" si="0"/>
        <v>37</v>
      </c>
      <c r="B38" s="290" t="s">
        <v>603</v>
      </c>
      <c r="C38" s="184" t="s">
        <v>602</v>
      </c>
      <c r="D38" s="287" t="s">
        <v>240</v>
      </c>
      <c r="E38" s="288">
        <v>45752</v>
      </c>
      <c r="F38" s="289">
        <v>47</v>
      </c>
      <c r="G38" s="608" t="s">
        <v>404</v>
      </c>
      <c r="H38" s="608"/>
      <c r="I38" s="608"/>
      <c r="J38" s="608"/>
      <c r="K38" s="288">
        <v>45757</v>
      </c>
      <c r="L38" s="287" t="s">
        <v>512</v>
      </c>
      <c r="M38" s="287"/>
      <c r="N38" s="620"/>
      <c r="O38" s="620"/>
      <c r="P38" s="620"/>
    </row>
    <row r="39" spans="1:16" ht="18">
      <c r="A39" s="287">
        <f t="shared" si="0"/>
        <v>38</v>
      </c>
      <c r="B39" s="290" t="s">
        <v>122</v>
      </c>
      <c r="C39" s="184" t="s">
        <v>607</v>
      </c>
      <c r="D39" s="287" t="s">
        <v>240</v>
      </c>
      <c r="E39" s="288">
        <v>45758</v>
      </c>
      <c r="F39" s="289">
        <v>54</v>
      </c>
      <c r="G39" s="608" t="s">
        <v>404</v>
      </c>
      <c r="H39" s="608"/>
      <c r="I39" s="608"/>
      <c r="J39" s="608"/>
      <c r="K39" s="288">
        <v>45768</v>
      </c>
      <c r="L39" s="287" t="s">
        <v>502</v>
      </c>
      <c r="M39" s="287"/>
      <c r="N39" s="620"/>
      <c r="O39" s="620"/>
      <c r="P39" s="620"/>
    </row>
    <row r="40" spans="1:16" ht="18">
      <c r="A40" s="287">
        <f t="shared" si="0"/>
        <v>39</v>
      </c>
      <c r="B40" s="290" t="s">
        <v>181</v>
      </c>
      <c r="C40" s="184" t="s">
        <v>447</v>
      </c>
      <c r="D40" s="287" t="s">
        <v>240</v>
      </c>
      <c r="E40" s="288">
        <v>45759</v>
      </c>
      <c r="F40" s="289">
        <v>29</v>
      </c>
      <c r="G40" s="608" t="s">
        <v>404</v>
      </c>
      <c r="H40" s="608"/>
      <c r="I40" s="608"/>
      <c r="J40" s="608"/>
      <c r="K40" s="288">
        <v>45765</v>
      </c>
      <c r="L40" s="287" t="s">
        <v>512</v>
      </c>
      <c r="M40" s="287"/>
      <c r="N40" s="620"/>
      <c r="O40" s="620"/>
      <c r="P40" s="620"/>
    </row>
    <row r="41" spans="1:16" ht="18">
      <c r="A41" s="287">
        <f t="shared" si="0"/>
        <v>40</v>
      </c>
      <c r="B41" s="290" t="s">
        <v>605</v>
      </c>
      <c r="C41" s="184" t="s">
        <v>606</v>
      </c>
      <c r="D41" s="287" t="s">
        <v>240</v>
      </c>
      <c r="E41" s="288">
        <v>45765</v>
      </c>
      <c r="F41" s="289">
        <v>45</v>
      </c>
      <c r="G41" s="608" t="s">
        <v>404</v>
      </c>
      <c r="H41" s="608"/>
      <c r="I41" s="608"/>
      <c r="J41" s="608"/>
      <c r="K41" s="288">
        <v>45773</v>
      </c>
      <c r="L41" s="287" t="s">
        <v>683</v>
      </c>
      <c r="M41" s="287"/>
      <c r="N41" s="621" t="s">
        <v>109</v>
      </c>
      <c r="O41" s="621"/>
      <c r="P41" s="621"/>
    </row>
    <row r="42" spans="1:16" ht="28.8">
      <c r="A42" s="287">
        <f t="shared" si="0"/>
        <v>41</v>
      </c>
      <c r="B42" s="290" t="s">
        <v>501</v>
      </c>
      <c r="C42" s="184" t="s">
        <v>479</v>
      </c>
      <c r="D42" s="287" t="s">
        <v>240</v>
      </c>
      <c r="E42" s="288">
        <v>45769</v>
      </c>
      <c r="F42" s="289">
        <v>45</v>
      </c>
      <c r="G42" s="608" t="s">
        <v>404</v>
      </c>
      <c r="H42" s="608"/>
      <c r="I42" s="608"/>
      <c r="J42" s="608"/>
      <c r="K42" s="288">
        <v>45776</v>
      </c>
      <c r="L42" s="287" t="s">
        <v>684</v>
      </c>
      <c r="M42" s="287"/>
      <c r="N42" s="619"/>
      <c r="O42" s="619"/>
      <c r="P42" s="619"/>
    </row>
    <row r="43" spans="1:16" ht="28.8">
      <c r="A43" s="287">
        <f t="shared" si="0"/>
        <v>42</v>
      </c>
      <c r="B43" s="290" t="s">
        <v>168</v>
      </c>
      <c r="C43" s="184" t="s">
        <v>456</v>
      </c>
      <c r="D43" s="287" t="s">
        <v>240</v>
      </c>
      <c r="E43" s="288">
        <v>45774</v>
      </c>
      <c r="F43" s="289">
        <v>34.630000000000003</v>
      </c>
      <c r="G43" s="608" t="s">
        <v>404</v>
      </c>
      <c r="H43" s="608"/>
      <c r="I43" s="608"/>
      <c r="J43" s="608"/>
      <c r="K43" s="288">
        <v>45780</v>
      </c>
      <c r="L43" s="287" t="s">
        <v>683</v>
      </c>
      <c r="M43" s="287"/>
      <c r="N43" s="619"/>
      <c r="O43" s="619"/>
      <c r="P43" s="619"/>
    </row>
    <row r="44" spans="1:16" ht="28.8">
      <c r="A44" s="287">
        <f t="shared" si="0"/>
        <v>43</v>
      </c>
      <c r="B44" s="290" t="s">
        <v>20</v>
      </c>
      <c r="C44" s="184" t="s">
        <v>447</v>
      </c>
      <c r="D44" s="287" t="s">
        <v>240</v>
      </c>
      <c r="E44" s="288">
        <v>45776</v>
      </c>
      <c r="F44" s="289">
        <v>29</v>
      </c>
      <c r="G44" s="608" t="s">
        <v>404</v>
      </c>
      <c r="H44" s="608"/>
      <c r="I44" s="608"/>
      <c r="J44" s="608"/>
      <c r="K44" s="288">
        <v>45784</v>
      </c>
      <c r="L44" s="287" t="s">
        <v>684</v>
      </c>
      <c r="M44" s="287"/>
      <c r="N44" s="619"/>
      <c r="O44" s="619"/>
      <c r="P44" s="619"/>
    </row>
    <row r="45" spans="1:16" ht="21">
      <c r="A45" s="287">
        <f t="shared" si="0"/>
        <v>44</v>
      </c>
      <c r="B45" s="290" t="s">
        <v>37</v>
      </c>
      <c r="C45" s="184" t="s">
        <v>403</v>
      </c>
      <c r="D45" s="287" t="s">
        <v>240</v>
      </c>
      <c r="E45" s="288">
        <v>45782</v>
      </c>
      <c r="F45" s="289">
        <v>28</v>
      </c>
      <c r="G45" s="608" t="s">
        <v>404</v>
      </c>
      <c r="H45" s="608"/>
      <c r="I45" s="608"/>
      <c r="J45" s="608"/>
      <c r="K45" s="288">
        <v>45787</v>
      </c>
      <c r="L45" s="287" t="s">
        <v>683</v>
      </c>
      <c r="M45" s="287"/>
      <c r="N45" s="618" t="s">
        <v>109</v>
      </c>
      <c r="O45" s="618"/>
      <c r="P45" s="618"/>
    </row>
    <row r="46" spans="1:16" ht="21">
      <c r="A46" s="287">
        <f t="shared" si="0"/>
        <v>45</v>
      </c>
      <c r="B46" s="290" t="s">
        <v>524</v>
      </c>
      <c r="C46" s="184" t="s">
        <v>479</v>
      </c>
      <c r="D46" s="287" t="s">
        <v>240</v>
      </c>
      <c r="E46" s="288">
        <v>45785</v>
      </c>
      <c r="F46" s="289">
        <v>45</v>
      </c>
      <c r="G46" s="608" t="s">
        <v>404</v>
      </c>
      <c r="H46" s="608"/>
      <c r="I46" s="608"/>
      <c r="J46" s="608"/>
      <c r="K46" s="288">
        <v>45794</v>
      </c>
      <c r="L46" s="287" t="s">
        <v>683</v>
      </c>
      <c r="M46" s="287"/>
      <c r="N46" s="618"/>
      <c r="O46" s="618"/>
      <c r="P46" s="618"/>
    </row>
    <row r="47" spans="1:16" ht="21">
      <c r="A47" s="287">
        <f t="shared" si="0"/>
        <v>46</v>
      </c>
      <c r="B47" s="290" t="s">
        <v>158</v>
      </c>
      <c r="C47" s="184" t="s">
        <v>455</v>
      </c>
      <c r="D47" s="287" t="s">
        <v>240</v>
      </c>
      <c r="E47" s="288">
        <v>45788</v>
      </c>
      <c r="F47" s="289">
        <v>33</v>
      </c>
      <c r="G47" s="608" t="s">
        <v>404</v>
      </c>
      <c r="H47" s="608"/>
      <c r="I47" s="608"/>
      <c r="J47" s="608"/>
      <c r="K47" s="288">
        <v>45796</v>
      </c>
      <c r="L47" s="287" t="s">
        <v>684</v>
      </c>
      <c r="M47" s="287"/>
      <c r="N47" s="618"/>
      <c r="O47" s="618"/>
      <c r="P47" s="618"/>
    </row>
    <row r="48" spans="1:16" ht="21">
      <c r="A48" s="287">
        <f t="shared" si="0"/>
        <v>47</v>
      </c>
      <c r="B48" s="290" t="s">
        <v>128</v>
      </c>
      <c r="C48" s="184" t="s">
        <v>451</v>
      </c>
      <c r="D48" s="287" t="s">
        <v>240</v>
      </c>
      <c r="E48" s="288">
        <v>45788</v>
      </c>
      <c r="F48" s="289">
        <v>27</v>
      </c>
      <c r="G48" s="608" t="s">
        <v>404</v>
      </c>
      <c r="H48" s="608"/>
      <c r="I48" s="608"/>
      <c r="J48" s="608"/>
      <c r="K48" s="288">
        <v>45803</v>
      </c>
      <c r="L48" s="287" t="s">
        <v>683</v>
      </c>
      <c r="M48" s="287"/>
      <c r="N48" s="618"/>
      <c r="O48" s="618"/>
      <c r="P48" s="618"/>
    </row>
    <row r="49" spans="1:16" ht="21">
      <c r="A49" s="287">
        <f t="shared" si="0"/>
        <v>48</v>
      </c>
      <c r="B49" s="290" t="s">
        <v>130</v>
      </c>
      <c r="C49" s="184" t="s">
        <v>447</v>
      </c>
      <c r="D49" s="287" t="s">
        <v>240</v>
      </c>
      <c r="E49" s="288">
        <v>45799</v>
      </c>
      <c r="F49" s="289">
        <v>29</v>
      </c>
      <c r="G49" s="608" t="s">
        <v>404</v>
      </c>
      <c r="H49" s="608"/>
      <c r="I49" s="608"/>
      <c r="J49" s="608"/>
      <c r="K49" s="288">
        <v>45805</v>
      </c>
      <c r="L49" s="287" t="s">
        <v>684</v>
      </c>
      <c r="M49" s="287"/>
      <c r="N49" s="618"/>
      <c r="O49" s="618"/>
      <c r="P49" s="618"/>
    </row>
    <row r="50" spans="1:16" ht="25.8">
      <c r="A50" s="287">
        <f t="shared" si="0"/>
        <v>49</v>
      </c>
      <c r="B50" s="290" t="s">
        <v>133</v>
      </c>
      <c r="C50" s="184" t="s">
        <v>451</v>
      </c>
      <c r="D50" s="287" t="s">
        <v>240</v>
      </c>
      <c r="E50" s="288">
        <v>45807</v>
      </c>
      <c r="F50" s="289">
        <v>27</v>
      </c>
      <c r="G50" s="608" t="s">
        <v>404</v>
      </c>
      <c r="H50" s="608"/>
      <c r="I50" s="608"/>
      <c r="J50" s="608"/>
      <c r="K50" s="288">
        <v>45812</v>
      </c>
      <c r="L50" s="287" t="s">
        <v>683</v>
      </c>
      <c r="M50" s="287"/>
      <c r="N50" s="614"/>
      <c r="O50" s="614"/>
      <c r="P50" s="614"/>
    </row>
    <row r="51" spans="1:16" ht="25.8">
      <c r="A51" s="287">
        <f t="shared" si="0"/>
        <v>50</v>
      </c>
      <c r="B51" s="290" t="s">
        <v>145</v>
      </c>
      <c r="C51" s="184" t="s">
        <v>451</v>
      </c>
      <c r="D51" s="287" t="s">
        <v>240</v>
      </c>
      <c r="E51" s="288">
        <v>45806</v>
      </c>
      <c r="F51" s="289">
        <v>27</v>
      </c>
      <c r="G51" s="608" t="s">
        <v>404</v>
      </c>
      <c r="H51" s="608"/>
      <c r="I51" s="608"/>
      <c r="J51" s="608"/>
      <c r="K51" s="288">
        <v>45810</v>
      </c>
      <c r="L51" s="287" t="s">
        <v>684</v>
      </c>
      <c r="M51" s="287"/>
      <c r="N51" s="614"/>
      <c r="O51" s="614"/>
      <c r="P51" s="614"/>
    </row>
    <row r="52" spans="1:16" ht="25.8">
      <c r="A52" s="287">
        <f t="shared" si="0"/>
        <v>51</v>
      </c>
      <c r="B52" s="290" t="s">
        <v>124</v>
      </c>
      <c r="C52" s="184" t="s">
        <v>451</v>
      </c>
      <c r="D52" s="287" t="s">
        <v>240</v>
      </c>
      <c r="E52" s="288">
        <v>45811</v>
      </c>
      <c r="F52" s="289">
        <v>27</v>
      </c>
      <c r="G52" s="608" t="s">
        <v>404</v>
      </c>
      <c r="H52" s="608"/>
      <c r="I52" s="608"/>
      <c r="J52" s="608"/>
      <c r="K52" s="288">
        <v>45816</v>
      </c>
      <c r="L52" s="287" t="s">
        <v>683</v>
      </c>
      <c r="M52" s="287"/>
      <c r="N52" s="614"/>
      <c r="O52" s="614"/>
      <c r="P52" s="614"/>
    </row>
    <row r="53" spans="1:16" ht="25.8">
      <c r="A53" s="287">
        <f t="shared" si="0"/>
        <v>52</v>
      </c>
      <c r="B53" s="290" t="s">
        <v>125</v>
      </c>
      <c r="C53" s="184" t="s">
        <v>451</v>
      </c>
      <c r="D53" s="287" t="s">
        <v>240</v>
      </c>
      <c r="E53" s="288">
        <v>45817</v>
      </c>
      <c r="F53" s="289">
        <v>27</v>
      </c>
      <c r="G53" s="608" t="s">
        <v>404</v>
      </c>
      <c r="H53" s="608"/>
      <c r="I53" s="608"/>
      <c r="J53" s="608"/>
      <c r="K53" s="288">
        <v>45820</v>
      </c>
      <c r="L53" s="287" t="s">
        <v>683</v>
      </c>
      <c r="M53" s="287"/>
      <c r="N53" s="614"/>
      <c r="O53" s="614"/>
      <c r="P53" s="614"/>
    </row>
    <row r="54" spans="1:16" ht="25.8">
      <c r="A54" s="287">
        <f t="shared" si="0"/>
        <v>53</v>
      </c>
      <c r="B54" s="290" t="s">
        <v>126</v>
      </c>
      <c r="C54" s="184" t="s">
        <v>451</v>
      </c>
      <c r="D54" s="287" t="s">
        <v>240</v>
      </c>
      <c r="E54" s="288">
        <v>45820</v>
      </c>
      <c r="F54" s="289">
        <v>27</v>
      </c>
      <c r="G54" s="608" t="s">
        <v>404</v>
      </c>
      <c r="H54" s="608"/>
      <c r="I54" s="608"/>
      <c r="J54" s="608"/>
      <c r="K54" s="288">
        <v>45825</v>
      </c>
      <c r="L54" s="287" t="s">
        <v>684</v>
      </c>
      <c r="M54" s="287"/>
      <c r="N54" s="614"/>
      <c r="O54" s="614"/>
      <c r="P54" s="614"/>
    </row>
    <row r="55" spans="1:16" ht="25.8">
      <c r="A55" s="287">
        <f t="shared" si="0"/>
        <v>54</v>
      </c>
      <c r="B55" s="483" t="s">
        <v>123</v>
      </c>
      <c r="C55" s="184" t="s">
        <v>696</v>
      </c>
      <c r="D55" s="287" t="s">
        <v>240</v>
      </c>
      <c r="E55" s="288">
        <v>45822</v>
      </c>
      <c r="F55" s="289">
        <v>56</v>
      </c>
      <c r="G55" s="608" t="s">
        <v>404</v>
      </c>
      <c r="H55" s="608"/>
      <c r="I55" s="608"/>
      <c r="J55" s="608"/>
      <c r="K55" s="186">
        <v>45832</v>
      </c>
      <c r="L55" s="287" t="s">
        <v>683</v>
      </c>
      <c r="M55" s="287"/>
      <c r="N55" s="614"/>
      <c r="O55" s="614"/>
      <c r="P55" s="614"/>
    </row>
    <row r="56" spans="1:16" ht="25.8">
      <c r="A56" s="287">
        <f t="shared" si="0"/>
        <v>55</v>
      </c>
      <c r="B56" s="483" t="s">
        <v>655</v>
      </c>
      <c r="C56" s="184" t="s">
        <v>656</v>
      </c>
      <c r="D56" s="287" t="s">
        <v>240</v>
      </c>
      <c r="E56" s="288">
        <v>45827</v>
      </c>
      <c r="F56" s="289">
        <v>47</v>
      </c>
      <c r="G56" s="608" t="s">
        <v>404</v>
      </c>
      <c r="H56" s="608"/>
      <c r="I56" s="608"/>
      <c r="J56" s="608"/>
      <c r="K56" s="186">
        <v>45839</v>
      </c>
      <c r="L56" s="287" t="s">
        <v>684</v>
      </c>
      <c r="M56" s="287"/>
      <c r="N56" s="614"/>
      <c r="O56" s="614"/>
      <c r="P56" s="614"/>
    </row>
    <row r="57" spans="1:16" ht="25.8">
      <c r="A57" s="287">
        <f t="shared" si="0"/>
        <v>56</v>
      </c>
      <c r="B57" s="483" t="s">
        <v>627</v>
      </c>
      <c r="C57" s="184" t="s">
        <v>403</v>
      </c>
      <c r="D57" s="287" t="s">
        <v>240</v>
      </c>
      <c r="E57" s="288">
        <v>45841</v>
      </c>
      <c r="F57" s="289">
        <v>28</v>
      </c>
      <c r="G57" s="608" t="s">
        <v>404</v>
      </c>
      <c r="H57" s="608"/>
      <c r="I57" s="608"/>
      <c r="J57" s="608"/>
      <c r="K57" s="186">
        <v>45850</v>
      </c>
      <c r="L57" s="287" t="s">
        <v>722</v>
      </c>
      <c r="M57" s="287"/>
      <c r="N57" s="614"/>
      <c r="O57" s="614"/>
      <c r="P57" s="614"/>
    </row>
    <row r="58" spans="1:16" ht="25.8">
      <c r="A58" s="287">
        <f t="shared" si="0"/>
        <v>57</v>
      </c>
      <c r="B58" s="483" t="s">
        <v>608</v>
      </c>
      <c r="C58" s="184" t="s">
        <v>607</v>
      </c>
      <c r="D58" s="287" t="s">
        <v>240</v>
      </c>
      <c r="E58" s="288">
        <v>45841</v>
      </c>
      <c r="F58" s="289">
        <v>54</v>
      </c>
      <c r="G58" s="608" t="s">
        <v>404</v>
      </c>
      <c r="H58" s="608"/>
      <c r="I58" s="608"/>
      <c r="J58" s="608"/>
      <c r="K58" s="186">
        <v>45859</v>
      </c>
      <c r="L58" s="287" t="s">
        <v>683</v>
      </c>
      <c r="M58" s="287"/>
      <c r="N58" s="614"/>
      <c r="O58" s="614"/>
      <c r="P58" s="614"/>
    </row>
    <row r="59" spans="1:16" ht="25.8">
      <c r="A59" s="287">
        <f t="shared" si="0"/>
        <v>58</v>
      </c>
      <c r="B59" s="483" t="s">
        <v>530</v>
      </c>
      <c r="C59" s="184" t="s">
        <v>602</v>
      </c>
      <c r="D59" s="287" t="s">
        <v>240</v>
      </c>
      <c r="E59" s="288">
        <v>45841</v>
      </c>
      <c r="F59" s="289">
        <v>47</v>
      </c>
      <c r="G59" s="608" t="s">
        <v>404</v>
      </c>
      <c r="H59" s="608"/>
      <c r="I59" s="608"/>
      <c r="J59" s="608"/>
      <c r="K59" s="186">
        <v>45852</v>
      </c>
      <c r="L59" s="287" t="s">
        <v>723</v>
      </c>
      <c r="M59" s="287"/>
      <c r="N59" s="614"/>
      <c r="O59" s="614"/>
      <c r="P59" s="614"/>
    </row>
    <row r="60" spans="1:16" ht="25.8">
      <c r="A60" s="287">
        <f t="shared" si="0"/>
        <v>59</v>
      </c>
      <c r="B60" s="483" t="s">
        <v>21</v>
      </c>
      <c r="C60" s="184" t="s">
        <v>403</v>
      </c>
      <c r="D60" s="287" t="s">
        <v>240</v>
      </c>
      <c r="E60" s="288">
        <v>45852</v>
      </c>
      <c r="F60" s="289">
        <v>28</v>
      </c>
      <c r="G60" s="608" t="s">
        <v>404</v>
      </c>
      <c r="H60" s="608"/>
      <c r="I60" s="608"/>
      <c r="J60" s="608"/>
      <c r="K60" s="186">
        <v>45858</v>
      </c>
      <c r="L60" s="287" t="s">
        <v>722</v>
      </c>
      <c r="M60" s="287"/>
      <c r="N60" s="614"/>
      <c r="O60" s="614"/>
      <c r="P60" s="614"/>
    </row>
    <row r="61" spans="1:16" ht="25.8">
      <c r="A61" s="287">
        <f t="shared" si="0"/>
        <v>60</v>
      </c>
      <c r="B61" s="483" t="s">
        <v>143</v>
      </c>
      <c r="C61" s="184" t="s">
        <v>456</v>
      </c>
      <c r="D61" s="287" t="s">
        <v>240</v>
      </c>
      <c r="E61" s="288">
        <v>45853</v>
      </c>
      <c r="F61" s="289">
        <v>34.6</v>
      </c>
      <c r="G61" s="608" t="s">
        <v>404</v>
      </c>
      <c r="H61" s="608"/>
      <c r="I61" s="608"/>
      <c r="J61" s="608"/>
      <c r="K61" s="186">
        <v>45861</v>
      </c>
      <c r="L61" s="287" t="s">
        <v>723</v>
      </c>
      <c r="M61" s="287"/>
      <c r="N61" s="614"/>
      <c r="O61" s="614"/>
      <c r="P61" s="614"/>
    </row>
    <row r="62" spans="1:16" ht="25.8">
      <c r="A62" s="287">
        <f t="shared" si="0"/>
        <v>61</v>
      </c>
      <c r="B62" s="483" t="s">
        <v>139</v>
      </c>
      <c r="C62" s="184" t="s">
        <v>456</v>
      </c>
      <c r="D62" s="287" t="s">
        <v>240</v>
      </c>
      <c r="E62" s="288">
        <v>45859</v>
      </c>
      <c r="F62" s="289">
        <v>34.6</v>
      </c>
      <c r="G62" s="608" t="s">
        <v>404</v>
      </c>
      <c r="H62" s="608"/>
      <c r="I62" s="608"/>
      <c r="J62" s="608"/>
      <c r="K62" s="186">
        <v>45869</v>
      </c>
      <c r="L62" s="287" t="s">
        <v>723</v>
      </c>
      <c r="M62" s="287"/>
      <c r="N62" s="614"/>
      <c r="O62" s="614"/>
      <c r="P62" s="614"/>
    </row>
    <row r="63" spans="1:16" ht="25.8">
      <c r="A63" s="287">
        <f t="shared" si="0"/>
        <v>62</v>
      </c>
      <c r="B63" s="483" t="s">
        <v>135</v>
      </c>
      <c r="C63" s="184" t="s">
        <v>403</v>
      </c>
      <c r="D63" s="287" t="s">
        <v>240</v>
      </c>
      <c r="E63" s="288">
        <v>45860</v>
      </c>
      <c r="F63" s="289">
        <v>28</v>
      </c>
      <c r="G63" s="608" t="s">
        <v>404</v>
      </c>
      <c r="H63" s="608"/>
      <c r="I63" s="608"/>
      <c r="J63" s="608"/>
      <c r="K63" s="186">
        <v>45868</v>
      </c>
      <c r="L63" s="287" t="s">
        <v>722</v>
      </c>
      <c r="M63" s="287"/>
      <c r="N63" s="614"/>
      <c r="O63" s="614"/>
      <c r="P63" s="614"/>
    </row>
    <row r="64" spans="1:16" ht="25.8">
      <c r="A64" s="287">
        <f t="shared" si="0"/>
        <v>63</v>
      </c>
      <c r="B64" s="483" t="s">
        <v>131</v>
      </c>
      <c r="C64" s="184" t="s">
        <v>447</v>
      </c>
      <c r="D64" s="287" t="s">
        <v>240</v>
      </c>
      <c r="E64" s="288">
        <v>45859</v>
      </c>
      <c r="F64" s="289">
        <v>29</v>
      </c>
      <c r="G64" s="608" t="s">
        <v>404</v>
      </c>
      <c r="H64" s="608"/>
      <c r="I64" s="608"/>
      <c r="J64" s="608"/>
      <c r="K64" s="186">
        <v>45876</v>
      </c>
      <c r="L64" s="287" t="s">
        <v>721</v>
      </c>
      <c r="M64" s="287"/>
      <c r="N64" s="614"/>
      <c r="O64" s="614"/>
      <c r="P64" s="614"/>
    </row>
    <row r="65" spans="1:47" ht="18">
      <c r="A65" s="287">
        <f t="shared" si="0"/>
        <v>64</v>
      </c>
      <c r="B65" s="483" t="s">
        <v>150</v>
      </c>
      <c r="C65" s="184" t="s">
        <v>447</v>
      </c>
      <c r="D65" s="287" t="s">
        <v>240</v>
      </c>
      <c r="E65" s="288">
        <v>45862</v>
      </c>
      <c r="F65" s="289">
        <v>29</v>
      </c>
      <c r="G65" s="608" t="s">
        <v>404</v>
      </c>
      <c r="H65" s="608"/>
      <c r="I65" s="608"/>
      <c r="J65" s="608"/>
      <c r="K65" s="186">
        <v>45875</v>
      </c>
      <c r="L65" s="287" t="s">
        <v>724</v>
      </c>
      <c r="M65" s="287"/>
      <c r="N65" s="617"/>
      <c r="O65" s="617"/>
      <c r="P65" s="617"/>
    </row>
    <row r="66" spans="1:47" ht="18">
      <c r="A66" s="287">
        <f t="shared" si="0"/>
        <v>65</v>
      </c>
      <c r="B66" s="483" t="s">
        <v>132</v>
      </c>
      <c r="C66" s="184" t="s">
        <v>447</v>
      </c>
      <c r="D66" s="287" t="s">
        <v>240</v>
      </c>
      <c r="E66" s="288">
        <v>45837</v>
      </c>
      <c r="F66" s="289">
        <v>29</v>
      </c>
      <c r="G66" s="608" t="s">
        <v>404</v>
      </c>
      <c r="H66" s="608"/>
      <c r="I66" s="608"/>
      <c r="J66" s="608"/>
      <c r="K66" s="186">
        <v>45876</v>
      </c>
      <c r="L66" s="287" t="s">
        <v>722</v>
      </c>
      <c r="M66" s="287"/>
      <c r="N66" s="617"/>
      <c r="O66" s="617"/>
      <c r="P66" s="617"/>
    </row>
    <row r="67" spans="1:47" ht="25.8">
      <c r="A67" s="287">
        <f>A66+1</f>
        <v>66</v>
      </c>
      <c r="B67" s="483" t="s">
        <v>19</v>
      </c>
      <c r="C67" s="447" t="s">
        <v>601</v>
      </c>
      <c r="D67" s="287" t="s">
        <v>240</v>
      </c>
      <c r="E67" s="288">
        <v>45875</v>
      </c>
      <c r="F67" s="289">
        <v>54</v>
      </c>
      <c r="G67" s="608" t="s">
        <v>404</v>
      </c>
      <c r="H67" s="608"/>
      <c r="I67" s="608"/>
      <c r="J67" s="608"/>
      <c r="K67" s="186">
        <v>45888</v>
      </c>
      <c r="L67" s="287" t="s">
        <v>723</v>
      </c>
      <c r="M67" s="287"/>
      <c r="N67" s="614"/>
      <c r="O67" s="614"/>
      <c r="P67" s="614"/>
    </row>
    <row r="68" spans="1:47" ht="25.8">
      <c r="A68" s="287">
        <f t="shared" ref="A68:A89" si="1">A67+1</f>
        <v>67</v>
      </c>
      <c r="B68" s="483" t="s">
        <v>140</v>
      </c>
      <c r="C68" s="184" t="s">
        <v>456</v>
      </c>
      <c r="D68" s="287" t="s">
        <v>240</v>
      </c>
      <c r="E68" s="288">
        <v>45876</v>
      </c>
      <c r="F68" s="289">
        <v>34.630000000000003</v>
      </c>
      <c r="G68" s="608" t="s">
        <v>404</v>
      </c>
      <c r="H68" s="608"/>
      <c r="I68" s="608"/>
      <c r="J68" s="608"/>
      <c r="K68" s="186">
        <v>45886</v>
      </c>
      <c r="L68" s="287" t="s">
        <v>722</v>
      </c>
      <c r="M68" s="287"/>
      <c r="N68" s="614"/>
      <c r="O68" s="614"/>
      <c r="P68" s="614"/>
    </row>
    <row r="69" spans="1:47" ht="25.8">
      <c r="A69" s="287">
        <f t="shared" si="1"/>
        <v>68</v>
      </c>
      <c r="B69" s="483" t="s">
        <v>617</v>
      </c>
      <c r="C69" s="184" t="s">
        <v>654</v>
      </c>
      <c r="D69" s="287" t="s">
        <v>240</v>
      </c>
      <c r="E69" s="288">
        <v>45876</v>
      </c>
      <c r="F69" s="289">
        <v>51.6</v>
      </c>
      <c r="G69" s="608" t="s">
        <v>404</v>
      </c>
      <c r="H69" s="608"/>
      <c r="I69" s="608"/>
      <c r="J69" s="608"/>
      <c r="K69" s="186">
        <v>45885</v>
      </c>
      <c r="L69" s="287" t="s">
        <v>720</v>
      </c>
      <c r="M69" s="287"/>
      <c r="N69" s="614"/>
      <c r="O69" s="614"/>
      <c r="P69" s="614"/>
    </row>
    <row r="70" spans="1:47" ht="25.8">
      <c r="A70" s="287">
        <f t="shared" si="1"/>
        <v>69</v>
      </c>
      <c r="B70" s="483" t="s">
        <v>166</v>
      </c>
      <c r="C70" s="184" t="s">
        <v>403</v>
      </c>
      <c r="D70" s="287" t="s">
        <v>240</v>
      </c>
      <c r="E70" s="288">
        <v>45878</v>
      </c>
      <c r="F70" s="289">
        <v>28</v>
      </c>
      <c r="G70" s="608" t="s">
        <v>404</v>
      </c>
      <c r="H70" s="608"/>
      <c r="I70" s="608"/>
      <c r="J70" s="608"/>
      <c r="K70" s="186">
        <v>45891</v>
      </c>
      <c r="L70" s="287" t="s">
        <v>721</v>
      </c>
      <c r="M70" s="287"/>
      <c r="N70" s="614"/>
      <c r="O70" s="614"/>
      <c r="P70" s="614"/>
    </row>
    <row r="71" spans="1:47" ht="25.8">
      <c r="A71" s="287">
        <f t="shared" si="1"/>
        <v>70</v>
      </c>
      <c r="B71" s="483" t="s">
        <v>8</v>
      </c>
      <c r="C71" s="184" t="s">
        <v>455</v>
      </c>
      <c r="D71" s="287" t="s">
        <v>240</v>
      </c>
      <c r="E71" s="288">
        <v>45885</v>
      </c>
      <c r="F71" s="289">
        <v>33</v>
      </c>
      <c r="G71" s="608" t="s">
        <v>404</v>
      </c>
      <c r="H71" s="608"/>
      <c r="I71" s="608"/>
      <c r="J71" s="608"/>
      <c r="K71" s="186">
        <v>45901</v>
      </c>
      <c r="L71" s="287" t="s">
        <v>720</v>
      </c>
      <c r="M71" s="287"/>
      <c r="N71" s="503"/>
      <c r="O71" s="503"/>
      <c r="P71" s="503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5.8">
      <c r="A72" s="287">
        <f t="shared" si="1"/>
        <v>71</v>
      </c>
      <c r="B72" s="483" t="s">
        <v>151</v>
      </c>
      <c r="C72" s="184" t="s">
        <v>403</v>
      </c>
      <c r="D72" s="287" t="s">
        <v>240</v>
      </c>
      <c r="E72" s="288">
        <v>45887</v>
      </c>
      <c r="F72" s="289">
        <v>28</v>
      </c>
      <c r="G72" s="608" t="s">
        <v>404</v>
      </c>
      <c r="H72" s="608"/>
      <c r="I72" s="608"/>
      <c r="J72" s="608"/>
      <c r="K72" s="186">
        <v>45895</v>
      </c>
      <c r="L72" s="287" t="s">
        <v>722</v>
      </c>
      <c r="M72" s="287"/>
      <c r="N72" s="503"/>
      <c r="O72" s="503"/>
      <c r="P72" s="503"/>
    </row>
    <row r="73" spans="1:47" ht="25.8">
      <c r="A73" s="287">
        <f t="shared" si="1"/>
        <v>72</v>
      </c>
      <c r="B73" s="483" t="s">
        <v>688</v>
      </c>
      <c r="C73" s="184" t="s">
        <v>676</v>
      </c>
      <c r="D73" s="287" t="s">
        <v>240</v>
      </c>
      <c r="E73" s="288">
        <v>45888</v>
      </c>
      <c r="F73" s="289">
        <v>51.6</v>
      </c>
      <c r="G73" s="608" t="s">
        <v>404</v>
      </c>
      <c r="H73" s="608"/>
      <c r="I73" s="608"/>
      <c r="J73" s="608"/>
      <c r="K73" s="186">
        <v>45895</v>
      </c>
      <c r="L73" s="287" t="s">
        <v>720</v>
      </c>
      <c r="M73" s="287"/>
      <c r="N73" s="614"/>
      <c r="O73" s="614"/>
      <c r="P73" s="614"/>
    </row>
    <row r="74" spans="1:47" ht="25.8">
      <c r="A74" s="287">
        <f t="shared" si="1"/>
        <v>73</v>
      </c>
      <c r="B74" s="483" t="s">
        <v>156</v>
      </c>
      <c r="C74" s="184" t="s">
        <v>403</v>
      </c>
      <c r="D74" s="287" t="s">
        <v>240</v>
      </c>
      <c r="E74" s="288">
        <v>45891</v>
      </c>
      <c r="F74" s="289">
        <v>28</v>
      </c>
      <c r="G74" s="608" t="s">
        <v>404</v>
      </c>
      <c r="H74" s="608"/>
      <c r="I74" s="608"/>
      <c r="J74" s="608"/>
      <c r="K74" s="186">
        <v>45895</v>
      </c>
      <c r="L74" s="287" t="s">
        <v>723</v>
      </c>
      <c r="M74" s="287"/>
      <c r="N74" s="614"/>
      <c r="O74" s="614"/>
      <c r="P74" s="614"/>
    </row>
    <row r="75" spans="1:47" ht="28.8">
      <c r="A75" s="501">
        <f t="shared" si="1"/>
        <v>74</v>
      </c>
      <c r="B75" s="479" t="s">
        <v>571</v>
      </c>
      <c r="C75" s="502" t="s">
        <v>403</v>
      </c>
      <c r="D75" s="501" t="s">
        <v>240</v>
      </c>
      <c r="E75" s="437">
        <v>45895</v>
      </c>
      <c r="F75" s="436">
        <v>28</v>
      </c>
      <c r="G75" s="615" t="s">
        <v>742</v>
      </c>
      <c r="H75" s="616"/>
      <c r="I75" s="616"/>
      <c r="J75" s="616"/>
      <c r="K75" s="469"/>
      <c r="L75" s="501" t="s">
        <v>721</v>
      </c>
      <c r="M75" s="501"/>
      <c r="N75" s="499"/>
      <c r="O75" s="499"/>
      <c r="P75" s="499"/>
    </row>
    <row r="76" spans="1:47" ht="25.8">
      <c r="A76" s="287">
        <f t="shared" si="1"/>
        <v>75</v>
      </c>
      <c r="B76" s="483" t="s">
        <v>120</v>
      </c>
      <c r="C76" s="184" t="s">
        <v>456</v>
      </c>
      <c r="D76" s="287" t="s">
        <v>240</v>
      </c>
      <c r="E76" s="288">
        <v>45900</v>
      </c>
      <c r="F76" s="289">
        <v>35</v>
      </c>
      <c r="G76" s="608" t="s">
        <v>404</v>
      </c>
      <c r="H76" s="608"/>
      <c r="I76" s="608"/>
      <c r="J76" s="608"/>
      <c r="K76" s="186">
        <v>45910</v>
      </c>
      <c r="L76" s="287" t="s">
        <v>722</v>
      </c>
      <c r="M76" s="287"/>
      <c r="N76" s="503"/>
      <c r="O76" s="503"/>
      <c r="P76" s="503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5.8">
      <c r="A77" s="287">
        <f t="shared" si="1"/>
        <v>76</v>
      </c>
      <c r="B77" s="483" t="s">
        <v>619</v>
      </c>
      <c r="C77" s="184" t="s">
        <v>735</v>
      </c>
      <c r="D77" s="287" t="s">
        <v>240</v>
      </c>
      <c r="E77" s="288">
        <v>45901</v>
      </c>
      <c r="F77" s="289">
        <v>63</v>
      </c>
      <c r="G77" s="608" t="s">
        <v>404</v>
      </c>
      <c r="H77" s="608"/>
      <c r="I77" s="608"/>
      <c r="J77" s="608"/>
      <c r="K77" s="186">
        <v>45912</v>
      </c>
      <c r="L77" s="287" t="s">
        <v>723</v>
      </c>
      <c r="M77" s="287"/>
      <c r="N77" s="503"/>
      <c r="O77" s="503"/>
      <c r="P77" s="503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5.8">
      <c r="A78" s="287">
        <f t="shared" si="1"/>
        <v>77</v>
      </c>
      <c r="B78" s="483" t="s">
        <v>165</v>
      </c>
      <c r="C78" s="184" t="s">
        <v>403</v>
      </c>
      <c r="D78" s="287" t="s">
        <v>240</v>
      </c>
      <c r="E78" s="288">
        <v>45903</v>
      </c>
      <c r="F78" s="289">
        <v>27.9</v>
      </c>
      <c r="G78" s="608" t="s">
        <v>404</v>
      </c>
      <c r="H78" s="608"/>
      <c r="I78" s="608"/>
      <c r="J78" s="608"/>
      <c r="K78" s="186">
        <v>45907</v>
      </c>
      <c r="L78" s="287" t="s">
        <v>720</v>
      </c>
      <c r="M78" s="287"/>
      <c r="N78" s="503"/>
      <c r="O78" s="503"/>
      <c r="P78" s="503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8">
      <c r="A79" s="501">
        <f t="shared" si="1"/>
        <v>78</v>
      </c>
      <c r="B79" s="479" t="s">
        <v>679</v>
      </c>
      <c r="C79" s="502" t="s">
        <v>479</v>
      </c>
      <c r="D79" s="501" t="s">
        <v>240</v>
      </c>
      <c r="E79" s="437">
        <v>45905</v>
      </c>
      <c r="F79" s="436">
        <v>45</v>
      </c>
      <c r="G79" s="604" t="s">
        <v>753</v>
      </c>
      <c r="H79" s="605"/>
      <c r="I79" s="605"/>
      <c r="J79" s="605"/>
      <c r="K79" s="469"/>
      <c r="L79" s="501" t="s">
        <v>721</v>
      </c>
      <c r="M79" s="501">
        <v>27</v>
      </c>
      <c r="N79" s="606"/>
      <c r="O79" s="607"/>
      <c r="P79" s="607"/>
    </row>
    <row r="80" spans="1:47" ht="28.8">
      <c r="A80" s="501">
        <f t="shared" si="1"/>
        <v>79</v>
      </c>
      <c r="B80" s="479" t="s">
        <v>164</v>
      </c>
      <c r="C80" s="502" t="s">
        <v>703</v>
      </c>
      <c r="D80" s="501" t="s">
        <v>240</v>
      </c>
      <c r="E80" s="437">
        <v>45908</v>
      </c>
      <c r="F80" s="436">
        <v>33</v>
      </c>
      <c r="G80" s="611" t="s">
        <v>745</v>
      </c>
      <c r="H80" s="612"/>
      <c r="I80" s="612"/>
      <c r="J80" s="613"/>
      <c r="K80" s="469"/>
      <c r="L80" s="501" t="s">
        <v>720</v>
      </c>
      <c r="M80" s="501"/>
      <c r="N80" s="606"/>
      <c r="O80" s="607"/>
      <c r="P80" s="607"/>
    </row>
    <row r="81" spans="1:41" ht="25.8">
      <c r="A81" s="287">
        <f t="shared" si="1"/>
        <v>80</v>
      </c>
      <c r="B81" s="483" t="s">
        <v>40</v>
      </c>
      <c r="C81" s="184" t="s">
        <v>447</v>
      </c>
      <c r="D81" s="287" t="s">
        <v>240</v>
      </c>
      <c r="E81" s="288">
        <v>45909</v>
      </c>
      <c r="F81" s="289">
        <v>29</v>
      </c>
      <c r="G81" s="608" t="s">
        <v>404</v>
      </c>
      <c r="H81" s="608"/>
      <c r="I81" s="608"/>
      <c r="J81" s="608"/>
      <c r="K81" s="186">
        <v>45913</v>
      </c>
      <c r="L81" s="287" t="s">
        <v>720</v>
      </c>
      <c r="M81" s="287"/>
      <c r="N81" s="503"/>
      <c r="O81" s="503"/>
      <c r="P81" s="503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8">
      <c r="A82" s="501">
        <f t="shared" si="1"/>
        <v>81</v>
      </c>
      <c r="B82" s="479" t="s">
        <v>155</v>
      </c>
      <c r="C82" s="502" t="s">
        <v>455</v>
      </c>
      <c r="D82" s="501" t="s">
        <v>240</v>
      </c>
      <c r="E82" s="437">
        <v>45909</v>
      </c>
      <c r="F82" s="436">
        <v>33.299999999999997</v>
      </c>
      <c r="G82" s="604" t="s">
        <v>755</v>
      </c>
      <c r="H82" s="605"/>
      <c r="I82" s="605"/>
      <c r="J82" s="605"/>
      <c r="K82" s="469"/>
      <c r="L82" s="501" t="s">
        <v>737</v>
      </c>
      <c r="M82" s="501">
        <v>23</v>
      </c>
      <c r="N82" s="499"/>
      <c r="O82" s="499"/>
      <c r="P82" s="499"/>
    </row>
    <row r="83" spans="1:41" ht="25.8">
      <c r="A83" s="287">
        <f t="shared" si="1"/>
        <v>82</v>
      </c>
      <c r="B83" s="483" t="s">
        <v>119</v>
      </c>
      <c r="C83" s="184" t="s">
        <v>455</v>
      </c>
      <c r="D83" s="287" t="s">
        <v>240</v>
      </c>
      <c r="E83" s="288">
        <v>45912</v>
      </c>
      <c r="F83" s="289">
        <v>33.299999999999997</v>
      </c>
      <c r="G83" s="608" t="s">
        <v>404</v>
      </c>
      <c r="H83" s="608"/>
      <c r="I83" s="608"/>
      <c r="J83" s="608"/>
      <c r="K83" s="186">
        <v>45922</v>
      </c>
      <c r="L83" s="287" t="s">
        <v>743</v>
      </c>
      <c r="M83" s="287"/>
      <c r="N83" s="503"/>
      <c r="O83" s="503"/>
      <c r="P83" s="503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5.8">
      <c r="A84" s="287">
        <f t="shared" si="1"/>
        <v>83</v>
      </c>
      <c r="B84" s="483" t="s">
        <v>574</v>
      </c>
      <c r="C84" s="184" t="s">
        <v>676</v>
      </c>
      <c r="D84" s="287" t="s">
        <v>240</v>
      </c>
      <c r="E84" s="288">
        <v>45914</v>
      </c>
      <c r="F84" s="289">
        <v>51.7</v>
      </c>
      <c r="G84" s="608" t="s">
        <v>404</v>
      </c>
      <c r="H84" s="608"/>
      <c r="I84" s="608"/>
      <c r="J84" s="608"/>
      <c r="K84" s="186">
        <v>45925</v>
      </c>
      <c r="L84" s="287" t="s">
        <v>723</v>
      </c>
      <c r="M84" s="287"/>
      <c r="N84" s="503"/>
      <c r="O84" s="503"/>
      <c r="P84" s="503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8">
      <c r="A85" s="287">
        <f t="shared" si="1"/>
        <v>84</v>
      </c>
      <c r="B85" s="483" t="s">
        <v>715</v>
      </c>
      <c r="C85" s="184" t="s">
        <v>610</v>
      </c>
      <c r="D85" s="287" t="s">
        <v>240</v>
      </c>
      <c r="E85" s="288">
        <v>45916</v>
      </c>
      <c r="F85" s="289">
        <v>60</v>
      </c>
      <c r="G85" s="608" t="s">
        <v>404</v>
      </c>
      <c r="H85" s="608"/>
      <c r="I85" s="608"/>
      <c r="J85" s="608"/>
      <c r="K85" s="186">
        <v>45923</v>
      </c>
      <c r="L85" s="287" t="s">
        <v>720</v>
      </c>
      <c r="M85" s="287"/>
      <c r="N85" s="609"/>
      <c r="O85" s="610"/>
      <c r="P85" s="610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8">
      <c r="A86" s="501">
        <f t="shared" si="1"/>
        <v>85</v>
      </c>
      <c r="B86" s="479" t="s">
        <v>118</v>
      </c>
      <c r="C86" s="502" t="s">
        <v>451</v>
      </c>
      <c r="D86" s="501" t="s">
        <v>240</v>
      </c>
      <c r="E86" s="437">
        <v>45922</v>
      </c>
      <c r="F86" s="436">
        <v>27</v>
      </c>
      <c r="G86" s="604" t="s">
        <v>751</v>
      </c>
      <c r="H86" s="605"/>
      <c r="I86" s="605"/>
      <c r="J86" s="605"/>
      <c r="K86" s="469"/>
      <c r="L86" s="501" t="s">
        <v>743</v>
      </c>
      <c r="M86" s="501">
        <v>29</v>
      </c>
      <c r="N86" s="606"/>
      <c r="O86" s="607"/>
      <c r="P86" s="607"/>
    </row>
    <row r="87" spans="1:41" ht="28.8">
      <c r="A87" s="501">
        <f t="shared" si="1"/>
        <v>86</v>
      </c>
      <c r="B87" s="479" t="s">
        <v>699</v>
      </c>
      <c r="C87" s="502" t="s">
        <v>700</v>
      </c>
      <c r="D87" s="501" t="s">
        <v>240</v>
      </c>
      <c r="E87" s="437">
        <v>45925</v>
      </c>
      <c r="F87" s="436">
        <v>50</v>
      </c>
      <c r="G87" s="604" t="s">
        <v>754</v>
      </c>
      <c r="H87" s="605"/>
      <c r="I87" s="605"/>
      <c r="J87" s="605"/>
      <c r="K87" s="469"/>
      <c r="L87" s="501" t="s">
        <v>720</v>
      </c>
      <c r="M87" s="501">
        <v>26</v>
      </c>
      <c r="N87" s="606"/>
      <c r="O87" s="607"/>
      <c r="P87" s="607"/>
    </row>
    <row r="88" spans="1:41" ht="28.8">
      <c r="A88" s="501">
        <f t="shared" si="1"/>
        <v>87</v>
      </c>
      <c r="B88" s="479" t="s">
        <v>174</v>
      </c>
      <c r="C88" s="502" t="s">
        <v>451</v>
      </c>
      <c r="D88" s="501" t="s">
        <v>240</v>
      </c>
      <c r="E88" s="437">
        <v>45928</v>
      </c>
      <c r="F88" s="436">
        <v>27</v>
      </c>
      <c r="G88" s="604" t="s">
        <v>752</v>
      </c>
      <c r="H88" s="605"/>
      <c r="I88" s="605"/>
      <c r="J88" s="605"/>
      <c r="K88" s="469"/>
      <c r="L88" s="501" t="s">
        <v>723</v>
      </c>
      <c r="M88" s="501">
        <v>34</v>
      </c>
      <c r="N88" s="606"/>
      <c r="O88" s="607"/>
      <c r="P88" s="607"/>
    </row>
    <row r="89" spans="1:41" ht="28.8">
      <c r="A89" s="501">
        <f t="shared" si="1"/>
        <v>88</v>
      </c>
      <c r="B89" s="479" t="s">
        <v>728</v>
      </c>
      <c r="C89" s="502" t="s">
        <v>729</v>
      </c>
      <c r="D89" s="501" t="s">
        <v>240</v>
      </c>
      <c r="E89" s="437">
        <v>45929</v>
      </c>
      <c r="F89" s="436">
        <v>60</v>
      </c>
      <c r="G89" s="604" t="s">
        <v>756</v>
      </c>
      <c r="H89" s="605"/>
      <c r="I89" s="605"/>
      <c r="J89" s="605"/>
      <c r="K89" s="469"/>
      <c r="L89" s="501" t="s">
        <v>737</v>
      </c>
      <c r="M89" s="501">
        <v>2</v>
      </c>
      <c r="N89" s="606"/>
      <c r="O89" s="607"/>
      <c r="P89" s="607"/>
    </row>
  </sheetData>
  <mergeCells count="168"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87:J87"/>
    <mergeCell ref="N87:P87"/>
    <mergeCell ref="G88:J88"/>
    <mergeCell ref="N88:P88"/>
    <mergeCell ref="G89:J89"/>
    <mergeCell ref="N89:P89"/>
    <mergeCell ref="G83:J83"/>
    <mergeCell ref="G84:J84"/>
    <mergeCell ref="G85:J85"/>
    <mergeCell ref="N85:P85"/>
    <mergeCell ref="G86:J86"/>
    <mergeCell ref="N86:P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34"/>
  <sheetViews>
    <sheetView view="pageBreakPreview" topLeftCell="A216" zoomScale="65" zoomScaleNormal="70" zoomScaleSheetLayoutView="40" workbookViewId="0">
      <selection activeCell="A131" sqref="A131:P219"/>
    </sheetView>
  </sheetViews>
  <sheetFormatPr defaultColWidth="9.21875" defaultRowHeight="14.4"/>
  <cols>
    <col min="1" max="1" width="17.44140625" customWidth="1"/>
    <col min="2" max="2" width="12.109375" customWidth="1"/>
    <col min="3" max="3" width="16.88671875" bestFit="1" customWidth="1"/>
    <col min="4" max="4" width="16.6640625" customWidth="1"/>
    <col min="5" max="5" width="15.77734375" style="2" customWidth="1"/>
    <col min="6" max="6" width="13.77734375" customWidth="1"/>
    <col min="7" max="7" width="13.5546875" customWidth="1"/>
    <col min="8" max="8" width="14" customWidth="1"/>
    <col min="9" max="9" width="14.88671875" customWidth="1"/>
    <col min="10" max="10" width="19" bestFit="1" customWidth="1"/>
    <col min="11" max="11" width="30.88671875" customWidth="1"/>
    <col min="12" max="12" width="42.6640625" customWidth="1"/>
    <col min="13" max="13" width="35.21875" customWidth="1"/>
    <col min="14" max="14" width="11.44140625" customWidth="1"/>
    <col min="15" max="15" width="11.5546875" customWidth="1"/>
    <col min="16" max="16" width="37.77734375" customWidth="1"/>
    <col min="257" max="257" width="17.44140625" customWidth="1"/>
    <col min="258" max="258" width="12.109375" customWidth="1"/>
    <col min="259" max="259" width="16.88671875" bestFit="1" customWidth="1"/>
    <col min="260" max="260" width="15.6640625" customWidth="1"/>
    <col min="261" max="261" width="13.5546875" customWidth="1"/>
    <col min="262" max="262" width="13.77734375" customWidth="1"/>
    <col min="263" max="263" width="11.5546875" customWidth="1"/>
    <col min="264" max="264" width="14" customWidth="1"/>
    <col min="265" max="265" width="14.88671875" customWidth="1"/>
    <col min="266" max="266" width="19" bestFit="1" customWidth="1"/>
    <col min="267" max="267" width="30.88671875" customWidth="1"/>
    <col min="268" max="268" width="42.6640625" customWidth="1"/>
    <col min="269" max="269" width="13" customWidth="1"/>
    <col min="270" max="270" width="11.44140625" customWidth="1"/>
    <col min="271" max="271" width="11.5546875" customWidth="1"/>
    <col min="272" max="272" width="24.6640625" customWidth="1"/>
    <col min="513" max="513" width="17.44140625" customWidth="1"/>
    <col min="514" max="514" width="12.109375" customWidth="1"/>
    <col min="515" max="515" width="16.88671875" bestFit="1" customWidth="1"/>
    <col min="516" max="516" width="15.6640625" customWidth="1"/>
    <col min="517" max="517" width="13.5546875" customWidth="1"/>
    <col min="518" max="518" width="13.77734375" customWidth="1"/>
    <col min="519" max="519" width="11.5546875" customWidth="1"/>
    <col min="520" max="520" width="14" customWidth="1"/>
    <col min="521" max="521" width="14.88671875" customWidth="1"/>
    <col min="522" max="522" width="19" bestFit="1" customWidth="1"/>
    <col min="523" max="523" width="30.88671875" customWidth="1"/>
    <col min="524" max="524" width="42.6640625" customWidth="1"/>
    <col min="525" max="525" width="13" customWidth="1"/>
    <col min="526" max="526" width="11.44140625" customWidth="1"/>
    <col min="527" max="527" width="11.5546875" customWidth="1"/>
    <col min="528" max="528" width="24.6640625" customWidth="1"/>
    <col min="769" max="769" width="17.44140625" customWidth="1"/>
    <col min="770" max="770" width="12.109375" customWidth="1"/>
    <col min="771" max="771" width="16.88671875" bestFit="1" customWidth="1"/>
    <col min="772" max="772" width="15.6640625" customWidth="1"/>
    <col min="773" max="773" width="13.5546875" customWidth="1"/>
    <col min="774" max="774" width="13.77734375" customWidth="1"/>
    <col min="775" max="775" width="11.5546875" customWidth="1"/>
    <col min="776" max="776" width="14" customWidth="1"/>
    <col min="777" max="777" width="14.88671875" customWidth="1"/>
    <col min="778" max="778" width="19" bestFit="1" customWidth="1"/>
    <col min="779" max="779" width="30.88671875" customWidth="1"/>
    <col min="780" max="780" width="42.6640625" customWidth="1"/>
    <col min="781" max="781" width="13" customWidth="1"/>
    <col min="782" max="782" width="11.44140625" customWidth="1"/>
    <col min="783" max="783" width="11.5546875" customWidth="1"/>
    <col min="784" max="784" width="24.6640625" customWidth="1"/>
    <col min="1025" max="1025" width="17.44140625" customWidth="1"/>
    <col min="1026" max="1026" width="12.109375" customWidth="1"/>
    <col min="1027" max="1027" width="16.88671875" bestFit="1" customWidth="1"/>
    <col min="1028" max="1028" width="15.6640625" customWidth="1"/>
    <col min="1029" max="1029" width="13.5546875" customWidth="1"/>
    <col min="1030" max="1030" width="13.77734375" customWidth="1"/>
    <col min="1031" max="1031" width="11.5546875" customWidth="1"/>
    <col min="1032" max="1032" width="14" customWidth="1"/>
    <col min="1033" max="1033" width="14.88671875" customWidth="1"/>
    <col min="1034" max="1034" width="19" bestFit="1" customWidth="1"/>
    <col min="1035" max="1035" width="30.88671875" customWidth="1"/>
    <col min="1036" max="1036" width="42.6640625" customWidth="1"/>
    <col min="1037" max="1037" width="13" customWidth="1"/>
    <col min="1038" max="1038" width="11.44140625" customWidth="1"/>
    <col min="1039" max="1039" width="11.5546875" customWidth="1"/>
    <col min="1040" max="1040" width="24.6640625" customWidth="1"/>
    <col min="1281" max="1281" width="17.44140625" customWidth="1"/>
    <col min="1282" max="1282" width="12.109375" customWidth="1"/>
    <col min="1283" max="1283" width="16.88671875" bestFit="1" customWidth="1"/>
    <col min="1284" max="1284" width="15.6640625" customWidth="1"/>
    <col min="1285" max="1285" width="13.5546875" customWidth="1"/>
    <col min="1286" max="1286" width="13.77734375" customWidth="1"/>
    <col min="1287" max="1287" width="11.5546875" customWidth="1"/>
    <col min="1288" max="1288" width="14" customWidth="1"/>
    <col min="1289" max="1289" width="14.88671875" customWidth="1"/>
    <col min="1290" max="1290" width="19" bestFit="1" customWidth="1"/>
    <col min="1291" max="1291" width="30.88671875" customWidth="1"/>
    <col min="1292" max="1292" width="42.6640625" customWidth="1"/>
    <col min="1293" max="1293" width="13" customWidth="1"/>
    <col min="1294" max="1294" width="11.44140625" customWidth="1"/>
    <col min="1295" max="1295" width="11.5546875" customWidth="1"/>
    <col min="1296" max="1296" width="24.6640625" customWidth="1"/>
    <col min="1537" max="1537" width="17.44140625" customWidth="1"/>
    <col min="1538" max="1538" width="12.109375" customWidth="1"/>
    <col min="1539" max="1539" width="16.88671875" bestFit="1" customWidth="1"/>
    <col min="1540" max="1540" width="15.6640625" customWidth="1"/>
    <col min="1541" max="1541" width="13.5546875" customWidth="1"/>
    <col min="1542" max="1542" width="13.77734375" customWidth="1"/>
    <col min="1543" max="1543" width="11.5546875" customWidth="1"/>
    <col min="1544" max="1544" width="14" customWidth="1"/>
    <col min="1545" max="1545" width="14.88671875" customWidth="1"/>
    <col min="1546" max="1546" width="19" bestFit="1" customWidth="1"/>
    <col min="1547" max="1547" width="30.88671875" customWidth="1"/>
    <col min="1548" max="1548" width="42.6640625" customWidth="1"/>
    <col min="1549" max="1549" width="13" customWidth="1"/>
    <col min="1550" max="1550" width="11.44140625" customWidth="1"/>
    <col min="1551" max="1551" width="11.5546875" customWidth="1"/>
    <col min="1552" max="1552" width="24.6640625" customWidth="1"/>
    <col min="1793" max="1793" width="17.44140625" customWidth="1"/>
    <col min="1794" max="1794" width="12.109375" customWidth="1"/>
    <col min="1795" max="1795" width="16.88671875" bestFit="1" customWidth="1"/>
    <col min="1796" max="1796" width="15.6640625" customWidth="1"/>
    <col min="1797" max="1797" width="13.5546875" customWidth="1"/>
    <col min="1798" max="1798" width="13.77734375" customWidth="1"/>
    <col min="1799" max="1799" width="11.5546875" customWidth="1"/>
    <col min="1800" max="1800" width="14" customWidth="1"/>
    <col min="1801" max="1801" width="14.88671875" customWidth="1"/>
    <col min="1802" max="1802" width="19" bestFit="1" customWidth="1"/>
    <col min="1803" max="1803" width="30.88671875" customWidth="1"/>
    <col min="1804" max="1804" width="42.6640625" customWidth="1"/>
    <col min="1805" max="1805" width="13" customWidth="1"/>
    <col min="1806" max="1806" width="11.44140625" customWidth="1"/>
    <col min="1807" max="1807" width="11.5546875" customWidth="1"/>
    <col min="1808" max="1808" width="24.6640625" customWidth="1"/>
    <col min="2049" max="2049" width="17.44140625" customWidth="1"/>
    <col min="2050" max="2050" width="12.109375" customWidth="1"/>
    <col min="2051" max="2051" width="16.88671875" bestFit="1" customWidth="1"/>
    <col min="2052" max="2052" width="15.6640625" customWidth="1"/>
    <col min="2053" max="2053" width="13.5546875" customWidth="1"/>
    <col min="2054" max="2054" width="13.77734375" customWidth="1"/>
    <col min="2055" max="2055" width="11.5546875" customWidth="1"/>
    <col min="2056" max="2056" width="14" customWidth="1"/>
    <col min="2057" max="2057" width="14.88671875" customWidth="1"/>
    <col min="2058" max="2058" width="19" bestFit="1" customWidth="1"/>
    <col min="2059" max="2059" width="30.88671875" customWidth="1"/>
    <col min="2060" max="2060" width="42.6640625" customWidth="1"/>
    <col min="2061" max="2061" width="13" customWidth="1"/>
    <col min="2062" max="2062" width="11.44140625" customWidth="1"/>
    <col min="2063" max="2063" width="11.5546875" customWidth="1"/>
    <col min="2064" max="2064" width="24.6640625" customWidth="1"/>
    <col min="2305" max="2305" width="17.44140625" customWidth="1"/>
    <col min="2306" max="2306" width="12.109375" customWidth="1"/>
    <col min="2307" max="2307" width="16.88671875" bestFit="1" customWidth="1"/>
    <col min="2308" max="2308" width="15.6640625" customWidth="1"/>
    <col min="2309" max="2309" width="13.5546875" customWidth="1"/>
    <col min="2310" max="2310" width="13.77734375" customWidth="1"/>
    <col min="2311" max="2311" width="11.5546875" customWidth="1"/>
    <col min="2312" max="2312" width="14" customWidth="1"/>
    <col min="2313" max="2313" width="14.88671875" customWidth="1"/>
    <col min="2314" max="2314" width="19" bestFit="1" customWidth="1"/>
    <col min="2315" max="2315" width="30.88671875" customWidth="1"/>
    <col min="2316" max="2316" width="42.6640625" customWidth="1"/>
    <col min="2317" max="2317" width="13" customWidth="1"/>
    <col min="2318" max="2318" width="11.44140625" customWidth="1"/>
    <col min="2319" max="2319" width="11.5546875" customWidth="1"/>
    <col min="2320" max="2320" width="24.6640625" customWidth="1"/>
    <col min="2561" max="2561" width="17.44140625" customWidth="1"/>
    <col min="2562" max="2562" width="12.109375" customWidth="1"/>
    <col min="2563" max="2563" width="16.88671875" bestFit="1" customWidth="1"/>
    <col min="2564" max="2564" width="15.6640625" customWidth="1"/>
    <col min="2565" max="2565" width="13.5546875" customWidth="1"/>
    <col min="2566" max="2566" width="13.77734375" customWidth="1"/>
    <col min="2567" max="2567" width="11.5546875" customWidth="1"/>
    <col min="2568" max="2568" width="14" customWidth="1"/>
    <col min="2569" max="2569" width="14.88671875" customWidth="1"/>
    <col min="2570" max="2570" width="19" bestFit="1" customWidth="1"/>
    <col min="2571" max="2571" width="30.88671875" customWidth="1"/>
    <col min="2572" max="2572" width="42.6640625" customWidth="1"/>
    <col min="2573" max="2573" width="13" customWidth="1"/>
    <col min="2574" max="2574" width="11.44140625" customWidth="1"/>
    <col min="2575" max="2575" width="11.5546875" customWidth="1"/>
    <col min="2576" max="2576" width="24.6640625" customWidth="1"/>
    <col min="2817" max="2817" width="17.44140625" customWidth="1"/>
    <col min="2818" max="2818" width="12.109375" customWidth="1"/>
    <col min="2819" max="2819" width="16.88671875" bestFit="1" customWidth="1"/>
    <col min="2820" max="2820" width="15.6640625" customWidth="1"/>
    <col min="2821" max="2821" width="13.5546875" customWidth="1"/>
    <col min="2822" max="2822" width="13.77734375" customWidth="1"/>
    <col min="2823" max="2823" width="11.5546875" customWidth="1"/>
    <col min="2824" max="2824" width="14" customWidth="1"/>
    <col min="2825" max="2825" width="14.88671875" customWidth="1"/>
    <col min="2826" max="2826" width="19" bestFit="1" customWidth="1"/>
    <col min="2827" max="2827" width="30.88671875" customWidth="1"/>
    <col min="2828" max="2828" width="42.6640625" customWidth="1"/>
    <col min="2829" max="2829" width="13" customWidth="1"/>
    <col min="2830" max="2830" width="11.44140625" customWidth="1"/>
    <col min="2831" max="2831" width="11.5546875" customWidth="1"/>
    <col min="2832" max="2832" width="24.6640625" customWidth="1"/>
    <col min="3073" max="3073" width="17.44140625" customWidth="1"/>
    <col min="3074" max="3074" width="12.109375" customWidth="1"/>
    <col min="3075" max="3075" width="16.88671875" bestFit="1" customWidth="1"/>
    <col min="3076" max="3076" width="15.6640625" customWidth="1"/>
    <col min="3077" max="3077" width="13.5546875" customWidth="1"/>
    <col min="3078" max="3078" width="13.77734375" customWidth="1"/>
    <col min="3079" max="3079" width="11.5546875" customWidth="1"/>
    <col min="3080" max="3080" width="14" customWidth="1"/>
    <col min="3081" max="3081" width="14.88671875" customWidth="1"/>
    <col min="3082" max="3082" width="19" bestFit="1" customWidth="1"/>
    <col min="3083" max="3083" width="30.88671875" customWidth="1"/>
    <col min="3084" max="3084" width="42.6640625" customWidth="1"/>
    <col min="3085" max="3085" width="13" customWidth="1"/>
    <col min="3086" max="3086" width="11.44140625" customWidth="1"/>
    <col min="3087" max="3087" width="11.5546875" customWidth="1"/>
    <col min="3088" max="3088" width="24.6640625" customWidth="1"/>
    <col min="3329" max="3329" width="17.44140625" customWidth="1"/>
    <col min="3330" max="3330" width="12.109375" customWidth="1"/>
    <col min="3331" max="3331" width="16.88671875" bestFit="1" customWidth="1"/>
    <col min="3332" max="3332" width="15.6640625" customWidth="1"/>
    <col min="3333" max="3333" width="13.5546875" customWidth="1"/>
    <col min="3334" max="3334" width="13.77734375" customWidth="1"/>
    <col min="3335" max="3335" width="11.5546875" customWidth="1"/>
    <col min="3336" max="3336" width="14" customWidth="1"/>
    <col min="3337" max="3337" width="14.88671875" customWidth="1"/>
    <col min="3338" max="3338" width="19" bestFit="1" customWidth="1"/>
    <col min="3339" max="3339" width="30.88671875" customWidth="1"/>
    <col min="3340" max="3340" width="42.6640625" customWidth="1"/>
    <col min="3341" max="3341" width="13" customWidth="1"/>
    <col min="3342" max="3342" width="11.44140625" customWidth="1"/>
    <col min="3343" max="3343" width="11.5546875" customWidth="1"/>
    <col min="3344" max="3344" width="24.6640625" customWidth="1"/>
    <col min="3585" max="3585" width="17.44140625" customWidth="1"/>
    <col min="3586" max="3586" width="12.109375" customWidth="1"/>
    <col min="3587" max="3587" width="16.88671875" bestFit="1" customWidth="1"/>
    <col min="3588" max="3588" width="15.6640625" customWidth="1"/>
    <col min="3589" max="3589" width="13.5546875" customWidth="1"/>
    <col min="3590" max="3590" width="13.77734375" customWidth="1"/>
    <col min="3591" max="3591" width="11.5546875" customWidth="1"/>
    <col min="3592" max="3592" width="14" customWidth="1"/>
    <col min="3593" max="3593" width="14.88671875" customWidth="1"/>
    <col min="3594" max="3594" width="19" bestFit="1" customWidth="1"/>
    <col min="3595" max="3595" width="30.88671875" customWidth="1"/>
    <col min="3596" max="3596" width="42.6640625" customWidth="1"/>
    <col min="3597" max="3597" width="13" customWidth="1"/>
    <col min="3598" max="3598" width="11.44140625" customWidth="1"/>
    <col min="3599" max="3599" width="11.5546875" customWidth="1"/>
    <col min="3600" max="3600" width="24.6640625" customWidth="1"/>
    <col min="3841" max="3841" width="17.44140625" customWidth="1"/>
    <col min="3842" max="3842" width="12.109375" customWidth="1"/>
    <col min="3843" max="3843" width="16.88671875" bestFit="1" customWidth="1"/>
    <col min="3844" max="3844" width="15.6640625" customWidth="1"/>
    <col min="3845" max="3845" width="13.5546875" customWidth="1"/>
    <col min="3846" max="3846" width="13.77734375" customWidth="1"/>
    <col min="3847" max="3847" width="11.5546875" customWidth="1"/>
    <col min="3848" max="3848" width="14" customWidth="1"/>
    <col min="3849" max="3849" width="14.88671875" customWidth="1"/>
    <col min="3850" max="3850" width="19" bestFit="1" customWidth="1"/>
    <col min="3851" max="3851" width="30.88671875" customWidth="1"/>
    <col min="3852" max="3852" width="42.6640625" customWidth="1"/>
    <col min="3853" max="3853" width="13" customWidth="1"/>
    <col min="3854" max="3854" width="11.44140625" customWidth="1"/>
    <col min="3855" max="3855" width="11.5546875" customWidth="1"/>
    <col min="3856" max="3856" width="24.6640625" customWidth="1"/>
    <col min="4097" max="4097" width="17.44140625" customWidth="1"/>
    <col min="4098" max="4098" width="12.109375" customWidth="1"/>
    <col min="4099" max="4099" width="16.88671875" bestFit="1" customWidth="1"/>
    <col min="4100" max="4100" width="15.6640625" customWidth="1"/>
    <col min="4101" max="4101" width="13.5546875" customWidth="1"/>
    <col min="4102" max="4102" width="13.77734375" customWidth="1"/>
    <col min="4103" max="4103" width="11.5546875" customWidth="1"/>
    <col min="4104" max="4104" width="14" customWidth="1"/>
    <col min="4105" max="4105" width="14.88671875" customWidth="1"/>
    <col min="4106" max="4106" width="19" bestFit="1" customWidth="1"/>
    <col min="4107" max="4107" width="30.88671875" customWidth="1"/>
    <col min="4108" max="4108" width="42.6640625" customWidth="1"/>
    <col min="4109" max="4109" width="13" customWidth="1"/>
    <col min="4110" max="4110" width="11.44140625" customWidth="1"/>
    <col min="4111" max="4111" width="11.5546875" customWidth="1"/>
    <col min="4112" max="4112" width="24.6640625" customWidth="1"/>
    <col min="4353" max="4353" width="17.44140625" customWidth="1"/>
    <col min="4354" max="4354" width="12.109375" customWidth="1"/>
    <col min="4355" max="4355" width="16.88671875" bestFit="1" customWidth="1"/>
    <col min="4356" max="4356" width="15.6640625" customWidth="1"/>
    <col min="4357" max="4357" width="13.5546875" customWidth="1"/>
    <col min="4358" max="4358" width="13.77734375" customWidth="1"/>
    <col min="4359" max="4359" width="11.5546875" customWidth="1"/>
    <col min="4360" max="4360" width="14" customWidth="1"/>
    <col min="4361" max="4361" width="14.88671875" customWidth="1"/>
    <col min="4362" max="4362" width="19" bestFit="1" customWidth="1"/>
    <col min="4363" max="4363" width="30.88671875" customWidth="1"/>
    <col min="4364" max="4364" width="42.6640625" customWidth="1"/>
    <col min="4365" max="4365" width="13" customWidth="1"/>
    <col min="4366" max="4366" width="11.44140625" customWidth="1"/>
    <col min="4367" max="4367" width="11.5546875" customWidth="1"/>
    <col min="4368" max="4368" width="24.6640625" customWidth="1"/>
    <col min="4609" max="4609" width="17.44140625" customWidth="1"/>
    <col min="4610" max="4610" width="12.109375" customWidth="1"/>
    <col min="4611" max="4611" width="16.88671875" bestFit="1" customWidth="1"/>
    <col min="4612" max="4612" width="15.6640625" customWidth="1"/>
    <col min="4613" max="4613" width="13.5546875" customWidth="1"/>
    <col min="4614" max="4614" width="13.77734375" customWidth="1"/>
    <col min="4615" max="4615" width="11.5546875" customWidth="1"/>
    <col min="4616" max="4616" width="14" customWidth="1"/>
    <col min="4617" max="4617" width="14.88671875" customWidth="1"/>
    <col min="4618" max="4618" width="19" bestFit="1" customWidth="1"/>
    <col min="4619" max="4619" width="30.88671875" customWidth="1"/>
    <col min="4620" max="4620" width="42.6640625" customWidth="1"/>
    <col min="4621" max="4621" width="13" customWidth="1"/>
    <col min="4622" max="4622" width="11.44140625" customWidth="1"/>
    <col min="4623" max="4623" width="11.5546875" customWidth="1"/>
    <col min="4624" max="4624" width="24.6640625" customWidth="1"/>
    <col min="4865" max="4865" width="17.44140625" customWidth="1"/>
    <col min="4866" max="4866" width="12.109375" customWidth="1"/>
    <col min="4867" max="4867" width="16.88671875" bestFit="1" customWidth="1"/>
    <col min="4868" max="4868" width="15.6640625" customWidth="1"/>
    <col min="4869" max="4869" width="13.5546875" customWidth="1"/>
    <col min="4870" max="4870" width="13.77734375" customWidth="1"/>
    <col min="4871" max="4871" width="11.5546875" customWidth="1"/>
    <col min="4872" max="4872" width="14" customWidth="1"/>
    <col min="4873" max="4873" width="14.88671875" customWidth="1"/>
    <col min="4874" max="4874" width="19" bestFit="1" customWidth="1"/>
    <col min="4875" max="4875" width="30.88671875" customWidth="1"/>
    <col min="4876" max="4876" width="42.6640625" customWidth="1"/>
    <col min="4877" max="4877" width="13" customWidth="1"/>
    <col min="4878" max="4878" width="11.44140625" customWidth="1"/>
    <col min="4879" max="4879" width="11.5546875" customWidth="1"/>
    <col min="4880" max="4880" width="24.6640625" customWidth="1"/>
    <col min="5121" max="5121" width="17.44140625" customWidth="1"/>
    <col min="5122" max="5122" width="12.109375" customWidth="1"/>
    <col min="5123" max="5123" width="16.88671875" bestFit="1" customWidth="1"/>
    <col min="5124" max="5124" width="15.6640625" customWidth="1"/>
    <col min="5125" max="5125" width="13.5546875" customWidth="1"/>
    <col min="5126" max="5126" width="13.77734375" customWidth="1"/>
    <col min="5127" max="5127" width="11.5546875" customWidth="1"/>
    <col min="5128" max="5128" width="14" customWidth="1"/>
    <col min="5129" max="5129" width="14.88671875" customWidth="1"/>
    <col min="5130" max="5130" width="19" bestFit="1" customWidth="1"/>
    <col min="5131" max="5131" width="30.88671875" customWidth="1"/>
    <col min="5132" max="5132" width="42.6640625" customWidth="1"/>
    <col min="5133" max="5133" width="13" customWidth="1"/>
    <col min="5134" max="5134" width="11.44140625" customWidth="1"/>
    <col min="5135" max="5135" width="11.5546875" customWidth="1"/>
    <col min="5136" max="5136" width="24.6640625" customWidth="1"/>
    <col min="5377" max="5377" width="17.44140625" customWidth="1"/>
    <col min="5378" max="5378" width="12.109375" customWidth="1"/>
    <col min="5379" max="5379" width="16.88671875" bestFit="1" customWidth="1"/>
    <col min="5380" max="5380" width="15.6640625" customWidth="1"/>
    <col min="5381" max="5381" width="13.5546875" customWidth="1"/>
    <col min="5382" max="5382" width="13.77734375" customWidth="1"/>
    <col min="5383" max="5383" width="11.5546875" customWidth="1"/>
    <col min="5384" max="5384" width="14" customWidth="1"/>
    <col min="5385" max="5385" width="14.88671875" customWidth="1"/>
    <col min="5386" max="5386" width="19" bestFit="1" customWidth="1"/>
    <col min="5387" max="5387" width="30.88671875" customWidth="1"/>
    <col min="5388" max="5388" width="42.6640625" customWidth="1"/>
    <col min="5389" max="5389" width="13" customWidth="1"/>
    <col min="5390" max="5390" width="11.44140625" customWidth="1"/>
    <col min="5391" max="5391" width="11.5546875" customWidth="1"/>
    <col min="5392" max="5392" width="24.6640625" customWidth="1"/>
    <col min="5633" max="5633" width="17.44140625" customWidth="1"/>
    <col min="5634" max="5634" width="12.109375" customWidth="1"/>
    <col min="5635" max="5635" width="16.88671875" bestFit="1" customWidth="1"/>
    <col min="5636" max="5636" width="15.6640625" customWidth="1"/>
    <col min="5637" max="5637" width="13.5546875" customWidth="1"/>
    <col min="5638" max="5638" width="13.77734375" customWidth="1"/>
    <col min="5639" max="5639" width="11.5546875" customWidth="1"/>
    <col min="5640" max="5640" width="14" customWidth="1"/>
    <col min="5641" max="5641" width="14.88671875" customWidth="1"/>
    <col min="5642" max="5642" width="19" bestFit="1" customWidth="1"/>
    <col min="5643" max="5643" width="30.88671875" customWidth="1"/>
    <col min="5644" max="5644" width="42.6640625" customWidth="1"/>
    <col min="5645" max="5645" width="13" customWidth="1"/>
    <col min="5646" max="5646" width="11.44140625" customWidth="1"/>
    <col min="5647" max="5647" width="11.5546875" customWidth="1"/>
    <col min="5648" max="5648" width="24.6640625" customWidth="1"/>
    <col min="5889" max="5889" width="17.44140625" customWidth="1"/>
    <col min="5890" max="5890" width="12.109375" customWidth="1"/>
    <col min="5891" max="5891" width="16.88671875" bestFit="1" customWidth="1"/>
    <col min="5892" max="5892" width="15.6640625" customWidth="1"/>
    <col min="5893" max="5893" width="13.5546875" customWidth="1"/>
    <col min="5894" max="5894" width="13.77734375" customWidth="1"/>
    <col min="5895" max="5895" width="11.5546875" customWidth="1"/>
    <col min="5896" max="5896" width="14" customWidth="1"/>
    <col min="5897" max="5897" width="14.88671875" customWidth="1"/>
    <col min="5898" max="5898" width="19" bestFit="1" customWidth="1"/>
    <col min="5899" max="5899" width="30.88671875" customWidth="1"/>
    <col min="5900" max="5900" width="42.6640625" customWidth="1"/>
    <col min="5901" max="5901" width="13" customWidth="1"/>
    <col min="5902" max="5902" width="11.44140625" customWidth="1"/>
    <col min="5903" max="5903" width="11.5546875" customWidth="1"/>
    <col min="5904" max="5904" width="24.6640625" customWidth="1"/>
    <col min="6145" max="6145" width="17.44140625" customWidth="1"/>
    <col min="6146" max="6146" width="12.109375" customWidth="1"/>
    <col min="6147" max="6147" width="16.88671875" bestFit="1" customWidth="1"/>
    <col min="6148" max="6148" width="15.6640625" customWidth="1"/>
    <col min="6149" max="6149" width="13.5546875" customWidth="1"/>
    <col min="6150" max="6150" width="13.77734375" customWidth="1"/>
    <col min="6151" max="6151" width="11.5546875" customWidth="1"/>
    <col min="6152" max="6152" width="14" customWidth="1"/>
    <col min="6153" max="6153" width="14.88671875" customWidth="1"/>
    <col min="6154" max="6154" width="19" bestFit="1" customWidth="1"/>
    <col min="6155" max="6155" width="30.88671875" customWidth="1"/>
    <col min="6156" max="6156" width="42.6640625" customWidth="1"/>
    <col min="6157" max="6157" width="13" customWidth="1"/>
    <col min="6158" max="6158" width="11.44140625" customWidth="1"/>
    <col min="6159" max="6159" width="11.5546875" customWidth="1"/>
    <col min="6160" max="6160" width="24.6640625" customWidth="1"/>
    <col min="6401" max="6401" width="17.44140625" customWidth="1"/>
    <col min="6402" max="6402" width="12.109375" customWidth="1"/>
    <col min="6403" max="6403" width="16.88671875" bestFit="1" customWidth="1"/>
    <col min="6404" max="6404" width="15.6640625" customWidth="1"/>
    <col min="6405" max="6405" width="13.5546875" customWidth="1"/>
    <col min="6406" max="6406" width="13.77734375" customWidth="1"/>
    <col min="6407" max="6407" width="11.5546875" customWidth="1"/>
    <col min="6408" max="6408" width="14" customWidth="1"/>
    <col min="6409" max="6409" width="14.88671875" customWidth="1"/>
    <col min="6410" max="6410" width="19" bestFit="1" customWidth="1"/>
    <col min="6411" max="6411" width="30.88671875" customWidth="1"/>
    <col min="6412" max="6412" width="42.6640625" customWidth="1"/>
    <col min="6413" max="6413" width="13" customWidth="1"/>
    <col min="6414" max="6414" width="11.44140625" customWidth="1"/>
    <col min="6415" max="6415" width="11.5546875" customWidth="1"/>
    <col min="6416" max="6416" width="24.6640625" customWidth="1"/>
    <col min="6657" max="6657" width="17.44140625" customWidth="1"/>
    <col min="6658" max="6658" width="12.109375" customWidth="1"/>
    <col min="6659" max="6659" width="16.88671875" bestFit="1" customWidth="1"/>
    <col min="6660" max="6660" width="15.6640625" customWidth="1"/>
    <col min="6661" max="6661" width="13.5546875" customWidth="1"/>
    <col min="6662" max="6662" width="13.77734375" customWidth="1"/>
    <col min="6663" max="6663" width="11.5546875" customWidth="1"/>
    <col min="6664" max="6664" width="14" customWidth="1"/>
    <col min="6665" max="6665" width="14.88671875" customWidth="1"/>
    <col min="6666" max="6666" width="19" bestFit="1" customWidth="1"/>
    <col min="6667" max="6667" width="30.88671875" customWidth="1"/>
    <col min="6668" max="6668" width="42.6640625" customWidth="1"/>
    <col min="6669" max="6669" width="13" customWidth="1"/>
    <col min="6670" max="6670" width="11.44140625" customWidth="1"/>
    <col min="6671" max="6671" width="11.5546875" customWidth="1"/>
    <col min="6672" max="6672" width="24.6640625" customWidth="1"/>
    <col min="6913" max="6913" width="17.44140625" customWidth="1"/>
    <col min="6914" max="6914" width="12.109375" customWidth="1"/>
    <col min="6915" max="6915" width="16.88671875" bestFit="1" customWidth="1"/>
    <col min="6916" max="6916" width="15.6640625" customWidth="1"/>
    <col min="6917" max="6917" width="13.5546875" customWidth="1"/>
    <col min="6918" max="6918" width="13.77734375" customWidth="1"/>
    <col min="6919" max="6919" width="11.5546875" customWidth="1"/>
    <col min="6920" max="6920" width="14" customWidth="1"/>
    <col min="6921" max="6921" width="14.88671875" customWidth="1"/>
    <col min="6922" max="6922" width="19" bestFit="1" customWidth="1"/>
    <col min="6923" max="6923" width="30.88671875" customWidth="1"/>
    <col min="6924" max="6924" width="42.6640625" customWidth="1"/>
    <col min="6925" max="6925" width="13" customWidth="1"/>
    <col min="6926" max="6926" width="11.44140625" customWidth="1"/>
    <col min="6927" max="6927" width="11.5546875" customWidth="1"/>
    <col min="6928" max="6928" width="24.6640625" customWidth="1"/>
    <col min="7169" max="7169" width="17.44140625" customWidth="1"/>
    <col min="7170" max="7170" width="12.109375" customWidth="1"/>
    <col min="7171" max="7171" width="16.88671875" bestFit="1" customWidth="1"/>
    <col min="7172" max="7172" width="15.6640625" customWidth="1"/>
    <col min="7173" max="7173" width="13.5546875" customWidth="1"/>
    <col min="7174" max="7174" width="13.77734375" customWidth="1"/>
    <col min="7175" max="7175" width="11.5546875" customWidth="1"/>
    <col min="7176" max="7176" width="14" customWidth="1"/>
    <col min="7177" max="7177" width="14.88671875" customWidth="1"/>
    <col min="7178" max="7178" width="19" bestFit="1" customWidth="1"/>
    <col min="7179" max="7179" width="30.88671875" customWidth="1"/>
    <col min="7180" max="7180" width="42.6640625" customWidth="1"/>
    <col min="7181" max="7181" width="13" customWidth="1"/>
    <col min="7182" max="7182" width="11.44140625" customWidth="1"/>
    <col min="7183" max="7183" width="11.5546875" customWidth="1"/>
    <col min="7184" max="7184" width="24.6640625" customWidth="1"/>
    <col min="7425" max="7425" width="17.44140625" customWidth="1"/>
    <col min="7426" max="7426" width="12.109375" customWidth="1"/>
    <col min="7427" max="7427" width="16.88671875" bestFit="1" customWidth="1"/>
    <col min="7428" max="7428" width="15.6640625" customWidth="1"/>
    <col min="7429" max="7429" width="13.5546875" customWidth="1"/>
    <col min="7430" max="7430" width="13.77734375" customWidth="1"/>
    <col min="7431" max="7431" width="11.5546875" customWidth="1"/>
    <col min="7432" max="7432" width="14" customWidth="1"/>
    <col min="7433" max="7433" width="14.88671875" customWidth="1"/>
    <col min="7434" max="7434" width="19" bestFit="1" customWidth="1"/>
    <col min="7435" max="7435" width="30.88671875" customWidth="1"/>
    <col min="7436" max="7436" width="42.6640625" customWidth="1"/>
    <col min="7437" max="7437" width="13" customWidth="1"/>
    <col min="7438" max="7438" width="11.44140625" customWidth="1"/>
    <col min="7439" max="7439" width="11.5546875" customWidth="1"/>
    <col min="7440" max="7440" width="24.6640625" customWidth="1"/>
    <col min="7681" max="7681" width="17.44140625" customWidth="1"/>
    <col min="7682" max="7682" width="12.109375" customWidth="1"/>
    <col min="7683" max="7683" width="16.88671875" bestFit="1" customWidth="1"/>
    <col min="7684" max="7684" width="15.6640625" customWidth="1"/>
    <col min="7685" max="7685" width="13.5546875" customWidth="1"/>
    <col min="7686" max="7686" width="13.77734375" customWidth="1"/>
    <col min="7687" max="7687" width="11.5546875" customWidth="1"/>
    <col min="7688" max="7688" width="14" customWidth="1"/>
    <col min="7689" max="7689" width="14.88671875" customWidth="1"/>
    <col min="7690" max="7690" width="19" bestFit="1" customWidth="1"/>
    <col min="7691" max="7691" width="30.88671875" customWidth="1"/>
    <col min="7692" max="7692" width="42.6640625" customWidth="1"/>
    <col min="7693" max="7693" width="13" customWidth="1"/>
    <col min="7694" max="7694" width="11.44140625" customWidth="1"/>
    <col min="7695" max="7695" width="11.5546875" customWidth="1"/>
    <col min="7696" max="7696" width="24.6640625" customWidth="1"/>
    <col min="7937" max="7937" width="17.44140625" customWidth="1"/>
    <col min="7938" max="7938" width="12.109375" customWidth="1"/>
    <col min="7939" max="7939" width="16.88671875" bestFit="1" customWidth="1"/>
    <col min="7940" max="7940" width="15.6640625" customWidth="1"/>
    <col min="7941" max="7941" width="13.5546875" customWidth="1"/>
    <col min="7942" max="7942" width="13.77734375" customWidth="1"/>
    <col min="7943" max="7943" width="11.5546875" customWidth="1"/>
    <col min="7944" max="7944" width="14" customWidth="1"/>
    <col min="7945" max="7945" width="14.88671875" customWidth="1"/>
    <col min="7946" max="7946" width="19" bestFit="1" customWidth="1"/>
    <col min="7947" max="7947" width="30.88671875" customWidth="1"/>
    <col min="7948" max="7948" width="42.6640625" customWidth="1"/>
    <col min="7949" max="7949" width="13" customWidth="1"/>
    <col min="7950" max="7950" width="11.44140625" customWidth="1"/>
    <col min="7951" max="7951" width="11.5546875" customWidth="1"/>
    <col min="7952" max="7952" width="24.6640625" customWidth="1"/>
    <col min="8193" max="8193" width="17.44140625" customWidth="1"/>
    <col min="8194" max="8194" width="12.109375" customWidth="1"/>
    <col min="8195" max="8195" width="16.88671875" bestFit="1" customWidth="1"/>
    <col min="8196" max="8196" width="15.6640625" customWidth="1"/>
    <col min="8197" max="8197" width="13.5546875" customWidth="1"/>
    <col min="8198" max="8198" width="13.77734375" customWidth="1"/>
    <col min="8199" max="8199" width="11.5546875" customWidth="1"/>
    <col min="8200" max="8200" width="14" customWidth="1"/>
    <col min="8201" max="8201" width="14.88671875" customWidth="1"/>
    <col min="8202" max="8202" width="19" bestFit="1" customWidth="1"/>
    <col min="8203" max="8203" width="30.88671875" customWidth="1"/>
    <col min="8204" max="8204" width="42.6640625" customWidth="1"/>
    <col min="8205" max="8205" width="13" customWidth="1"/>
    <col min="8206" max="8206" width="11.44140625" customWidth="1"/>
    <col min="8207" max="8207" width="11.5546875" customWidth="1"/>
    <col min="8208" max="8208" width="24.6640625" customWidth="1"/>
    <col min="8449" max="8449" width="17.44140625" customWidth="1"/>
    <col min="8450" max="8450" width="12.109375" customWidth="1"/>
    <col min="8451" max="8451" width="16.88671875" bestFit="1" customWidth="1"/>
    <col min="8452" max="8452" width="15.6640625" customWidth="1"/>
    <col min="8453" max="8453" width="13.5546875" customWidth="1"/>
    <col min="8454" max="8454" width="13.77734375" customWidth="1"/>
    <col min="8455" max="8455" width="11.5546875" customWidth="1"/>
    <col min="8456" max="8456" width="14" customWidth="1"/>
    <col min="8457" max="8457" width="14.88671875" customWidth="1"/>
    <col min="8458" max="8458" width="19" bestFit="1" customWidth="1"/>
    <col min="8459" max="8459" width="30.88671875" customWidth="1"/>
    <col min="8460" max="8460" width="42.6640625" customWidth="1"/>
    <col min="8461" max="8461" width="13" customWidth="1"/>
    <col min="8462" max="8462" width="11.44140625" customWidth="1"/>
    <col min="8463" max="8463" width="11.5546875" customWidth="1"/>
    <col min="8464" max="8464" width="24.6640625" customWidth="1"/>
    <col min="8705" max="8705" width="17.44140625" customWidth="1"/>
    <col min="8706" max="8706" width="12.109375" customWidth="1"/>
    <col min="8707" max="8707" width="16.88671875" bestFit="1" customWidth="1"/>
    <col min="8708" max="8708" width="15.6640625" customWidth="1"/>
    <col min="8709" max="8709" width="13.5546875" customWidth="1"/>
    <col min="8710" max="8710" width="13.77734375" customWidth="1"/>
    <col min="8711" max="8711" width="11.5546875" customWidth="1"/>
    <col min="8712" max="8712" width="14" customWidth="1"/>
    <col min="8713" max="8713" width="14.88671875" customWidth="1"/>
    <col min="8714" max="8714" width="19" bestFit="1" customWidth="1"/>
    <col min="8715" max="8715" width="30.88671875" customWidth="1"/>
    <col min="8716" max="8716" width="42.6640625" customWidth="1"/>
    <col min="8717" max="8717" width="13" customWidth="1"/>
    <col min="8718" max="8718" width="11.44140625" customWidth="1"/>
    <col min="8719" max="8719" width="11.5546875" customWidth="1"/>
    <col min="8720" max="8720" width="24.6640625" customWidth="1"/>
    <col min="8961" max="8961" width="17.44140625" customWidth="1"/>
    <col min="8962" max="8962" width="12.109375" customWidth="1"/>
    <col min="8963" max="8963" width="16.88671875" bestFit="1" customWidth="1"/>
    <col min="8964" max="8964" width="15.6640625" customWidth="1"/>
    <col min="8965" max="8965" width="13.5546875" customWidth="1"/>
    <col min="8966" max="8966" width="13.77734375" customWidth="1"/>
    <col min="8967" max="8967" width="11.5546875" customWidth="1"/>
    <col min="8968" max="8968" width="14" customWidth="1"/>
    <col min="8969" max="8969" width="14.88671875" customWidth="1"/>
    <col min="8970" max="8970" width="19" bestFit="1" customWidth="1"/>
    <col min="8971" max="8971" width="30.88671875" customWidth="1"/>
    <col min="8972" max="8972" width="42.6640625" customWidth="1"/>
    <col min="8973" max="8973" width="13" customWidth="1"/>
    <col min="8974" max="8974" width="11.44140625" customWidth="1"/>
    <col min="8975" max="8975" width="11.5546875" customWidth="1"/>
    <col min="8976" max="8976" width="24.6640625" customWidth="1"/>
    <col min="9217" max="9217" width="17.44140625" customWidth="1"/>
    <col min="9218" max="9218" width="12.109375" customWidth="1"/>
    <col min="9219" max="9219" width="16.88671875" bestFit="1" customWidth="1"/>
    <col min="9220" max="9220" width="15.6640625" customWidth="1"/>
    <col min="9221" max="9221" width="13.5546875" customWidth="1"/>
    <col min="9222" max="9222" width="13.77734375" customWidth="1"/>
    <col min="9223" max="9223" width="11.5546875" customWidth="1"/>
    <col min="9224" max="9224" width="14" customWidth="1"/>
    <col min="9225" max="9225" width="14.88671875" customWidth="1"/>
    <col min="9226" max="9226" width="19" bestFit="1" customWidth="1"/>
    <col min="9227" max="9227" width="30.88671875" customWidth="1"/>
    <col min="9228" max="9228" width="42.6640625" customWidth="1"/>
    <col min="9229" max="9229" width="13" customWidth="1"/>
    <col min="9230" max="9230" width="11.44140625" customWidth="1"/>
    <col min="9231" max="9231" width="11.5546875" customWidth="1"/>
    <col min="9232" max="9232" width="24.6640625" customWidth="1"/>
    <col min="9473" max="9473" width="17.44140625" customWidth="1"/>
    <col min="9474" max="9474" width="12.109375" customWidth="1"/>
    <col min="9475" max="9475" width="16.88671875" bestFit="1" customWidth="1"/>
    <col min="9476" max="9476" width="15.6640625" customWidth="1"/>
    <col min="9477" max="9477" width="13.5546875" customWidth="1"/>
    <col min="9478" max="9478" width="13.77734375" customWidth="1"/>
    <col min="9479" max="9479" width="11.5546875" customWidth="1"/>
    <col min="9480" max="9480" width="14" customWidth="1"/>
    <col min="9481" max="9481" width="14.88671875" customWidth="1"/>
    <col min="9482" max="9482" width="19" bestFit="1" customWidth="1"/>
    <col min="9483" max="9483" width="30.88671875" customWidth="1"/>
    <col min="9484" max="9484" width="42.6640625" customWidth="1"/>
    <col min="9485" max="9485" width="13" customWidth="1"/>
    <col min="9486" max="9486" width="11.44140625" customWidth="1"/>
    <col min="9487" max="9487" width="11.5546875" customWidth="1"/>
    <col min="9488" max="9488" width="24.6640625" customWidth="1"/>
    <col min="9729" max="9729" width="17.44140625" customWidth="1"/>
    <col min="9730" max="9730" width="12.109375" customWidth="1"/>
    <col min="9731" max="9731" width="16.88671875" bestFit="1" customWidth="1"/>
    <col min="9732" max="9732" width="15.6640625" customWidth="1"/>
    <col min="9733" max="9733" width="13.5546875" customWidth="1"/>
    <col min="9734" max="9734" width="13.77734375" customWidth="1"/>
    <col min="9735" max="9735" width="11.5546875" customWidth="1"/>
    <col min="9736" max="9736" width="14" customWidth="1"/>
    <col min="9737" max="9737" width="14.88671875" customWidth="1"/>
    <col min="9738" max="9738" width="19" bestFit="1" customWidth="1"/>
    <col min="9739" max="9739" width="30.88671875" customWidth="1"/>
    <col min="9740" max="9740" width="42.6640625" customWidth="1"/>
    <col min="9741" max="9741" width="13" customWidth="1"/>
    <col min="9742" max="9742" width="11.44140625" customWidth="1"/>
    <col min="9743" max="9743" width="11.5546875" customWidth="1"/>
    <col min="9744" max="9744" width="24.6640625" customWidth="1"/>
    <col min="9985" max="9985" width="17.44140625" customWidth="1"/>
    <col min="9986" max="9986" width="12.109375" customWidth="1"/>
    <col min="9987" max="9987" width="16.88671875" bestFit="1" customWidth="1"/>
    <col min="9988" max="9988" width="15.6640625" customWidth="1"/>
    <col min="9989" max="9989" width="13.5546875" customWidth="1"/>
    <col min="9990" max="9990" width="13.77734375" customWidth="1"/>
    <col min="9991" max="9991" width="11.5546875" customWidth="1"/>
    <col min="9992" max="9992" width="14" customWidth="1"/>
    <col min="9993" max="9993" width="14.88671875" customWidth="1"/>
    <col min="9994" max="9994" width="19" bestFit="1" customWidth="1"/>
    <col min="9995" max="9995" width="30.88671875" customWidth="1"/>
    <col min="9996" max="9996" width="42.6640625" customWidth="1"/>
    <col min="9997" max="9997" width="13" customWidth="1"/>
    <col min="9998" max="9998" width="11.44140625" customWidth="1"/>
    <col min="9999" max="9999" width="11.5546875" customWidth="1"/>
    <col min="10000" max="10000" width="24.6640625" customWidth="1"/>
    <col min="10241" max="10241" width="17.44140625" customWidth="1"/>
    <col min="10242" max="10242" width="12.109375" customWidth="1"/>
    <col min="10243" max="10243" width="16.88671875" bestFit="1" customWidth="1"/>
    <col min="10244" max="10244" width="15.6640625" customWidth="1"/>
    <col min="10245" max="10245" width="13.5546875" customWidth="1"/>
    <col min="10246" max="10246" width="13.77734375" customWidth="1"/>
    <col min="10247" max="10247" width="11.5546875" customWidth="1"/>
    <col min="10248" max="10248" width="14" customWidth="1"/>
    <col min="10249" max="10249" width="14.88671875" customWidth="1"/>
    <col min="10250" max="10250" width="19" bestFit="1" customWidth="1"/>
    <col min="10251" max="10251" width="30.88671875" customWidth="1"/>
    <col min="10252" max="10252" width="42.6640625" customWidth="1"/>
    <col min="10253" max="10253" width="13" customWidth="1"/>
    <col min="10254" max="10254" width="11.44140625" customWidth="1"/>
    <col min="10255" max="10255" width="11.5546875" customWidth="1"/>
    <col min="10256" max="10256" width="24.6640625" customWidth="1"/>
    <col min="10497" max="10497" width="17.44140625" customWidth="1"/>
    <col min="10498" max="10498" width="12.109375" customWidth="1"/>
    <col min="10499" max="10499" width="16.88671875" bestFit="1" customWidth="1"/>
    <col min="10500" max="10500" width="15.6640625" customWidth="1"/>
    <col min="10501" max="10501" width="13.5546875" customWidth="1"/>
    <col min="10502" max="10502" width="13.77734375" customWidth="1"/>
    <col min="10503" max="10503" width="11.5546875" customWidth="1"/>
    <col min="10504" max="10504" width="14" customWidth="1"/>
    <col min="10505" max="10505" width="14.88671875" customWidth="1"/>
    <col min="10506" max="10506" width="19" bestFit="1" customWidth="1"/>
    <col min="10507" max="10507" width="30.88671875" customWidth="1"/>
    <col min="10508" max="10508" width="42.6640625" customWidth="1"/>
    <col min="10509" max="10509" width="13" customWidth="1"/>
    <col min="10510" max="10510" width="11.44140625" customWidth="1"/>
    <col min="10511" max="10511" width="11.5546875" customWidth="1"/>
    <col min="10512" max="10512" width="24.6640625" customWidth="1"/>
    <col min="10753" max="10753" width="17.44140625" customWidth="1"/>
    <col min="10754" max="10754" width="12.109375" customWidth="1"/>
    <col min="10755" max="10755" width="16.88671875" bestFit="1" customWidth="1"/>
    <col min="10756" max="10756" width="15.6640625" customWidth="1"/>
    <col min="10757" max="10757" width="13.5546875" customWidth="1"/>
    <col min="10758" max="10758" width="13.77734375" customWidth="1"/>
    <col min="10759" max="10759" width="11.5546875" customWidth="1"/>
    <col min="10760" max="10760" width="14" customWidth="1"/>
    <col min="10761" max="10761" width="14.88671875" customWidth="1"/>
    <col min="10762" max="10762" width="19" bestFit="1" customWidth="1"/>
    <col min="10763" max="10763" width="30.88671875" customWidth="1"/>
    <col min="10764" max="10764" width="42.6640625" customWidth="1"/>
    <col min="10765" max="10765" width="13" customWidth="1"/>
    <col min="10766" max="10766" width="11.44140625" customWidth="1"/>
    <col min="10767" max="10767" width="11.5546875" customWidth="1"/>
    <col min="10768" max="10768" width="24.6640625" customWidth="1"/>
    <col min="11009" max="11009" width="17.44140625" customWidth="1"/>
    <col min="11010" max="11010" width="12.109375" customWidth="1"/>
    <col min="11011" max="11011" width="16.88671875" bestFit="1" customWidth="1"/>
    <col min="11012" max="11012" width="15.6640625" customWidth="1"/>
    <col min="11013" max="11013" width="13.5546875" customWidth="1"/>
    <col min="11014" max="11014" width="13.77734375" customWidth="1"/>
    <col min="11015" max="11015" width="11.5546875" customWidth="1"/>
    <col min="11016" max="11016" width="14" customWidth="1"/>
    <col min="11017" max="11017" width="14.88671875" customWidth="1"/>
    <col min="11018" max="11018" width="19" bestFit="1" customWidth="1"/>
    <col min="11019" max="11019" width="30.88671875" customWidth="1"/>
    <col min="11020" max="11020" width="42.6640625" customWidth="1"/>
    <col min="11021" max="11021" width="13" customWidth="1"/>
    <col min="11022" max="11022" width="11.44140625" customWidth="1"/>
    <col min="11023" max="11023" width="11.5546875" customWidth="1"/>
    <col min="11024" max="11024" width="24.6640625" customWidth="1"/>
    <col min="11265" max="11265" width="17.44140625" customWidth="1"/>
    <col min="11266" max="11266" width="12.109375" customWidth="1"/>
    <col min="11267" max="11267" width="16.88671875" bestFit="1" customWidth="1"/>
    <col min="11268" max="11268" width="15.6640625" customWidth="1"/>
    <col min="11269" max="11269" width="13.5546875" customWidth="1"/>
    <col min="11270" max="11270" width="13.77734375" customWidth="1"/>
    <col min="11271" max="11271" width="11.5546875" customWidth="1"/>
    <col min="11272" max="11272" width="14" customWidth="1"/>
    <col min="11273" max="11273" width="14.88671875" customWidth="1"/>
    <col min="11274" max="11274" width="19" bestFit="1" customWidth="1"/>
    <col min="11275" max="11275" width="30.88671875" customWidth="1"/>
    <col min="11276" max="11276" width="42.6640625" customWidth="1"/>
    <col min="11277" max="11277" width="13" customWidth="1"/>
    <col min="11278" max="11278" width="11.44140625" customWidth="1"/>
    <col min="11279" max="11279" width="11.5546875" customWidth="1"/>
    <col min="11280" max="11280" width="24.6640625" customWidth="1"/>
    <col min="11521" max="11521" width="17.44140625" customWidth="1"/>
    <col min="11522" max="11522" width="12.109375" customWidth="1"/>
    <col min="11523" max="11523" width="16.88671875" bestFit="1" customWidth="1"/>
    <col min="11524" max="11524" width="15.6640625" customWidth="1"/>
    <col min="11525" max="11525" width="13.5546875" customWidth="1"/>
    <col min="11526" max="11526" width="13.77734375" customWidth="1"/>
    <col min="11527" max="11527" width="11.5546875" customWidth="1"/>
    <col min="11528" max="11528" width="14" customWidth="1"/>
    <col min="11529" max="11529" width="14.88671875" customWidth="1"/>
    <col min="11530" max="11530" width="19" bestFit="1" customWidth="1"/>
    <col min="11531" max="11531" width="30.88671875" customWidth="1"/>
    <col min="11532" max="11532" width="42.6640625" customWidth="1"/>
    <col min="11533" max="11533" width="13" customWidth="1"/>
    <col min="11534" max="11534" width="11.44140625" customWidth="1"/>
    <col min="11535" max="11535" width="11.5546875" customWidth="1"/>
    <col min="11536" max="11536" width="24.6640625" customWidth="1"/>
    <col min="11777" max="11777" width="17.44140625" customWidth="1"/>
    <col min="11778" max="11778" width="12.109375" customWidth="1"/>
    <col min="11779" max="11779" width="16.88671875" bestFit="1" customWidth="1"/>
    <col min="11780" max="11780" width="15.6640625" customWidth="1"/>
    <col min="11781" max="11781" width="13.5546875" customWidth="1"/>
    <col min="11782" max="11782" width="13.77734375" customWidth="1"/>
    <col min="11783" max="11783" width="11.5546875" customWidth="1"/>
    <col min="11784" max="11784" width="14" customWidth="1"/>
    <col min="11785" max="11785" width="14.88671875" customWidth="1"/>
    <col min="11786" max="11786" width="19" bestFit="1" customWidth="1"/>
    <col min="11787" max="11787" width="30.88671875" customWidth="1"/>
    <col min="11788" max="11788" width="42.6640625" customWidth="1"/>
    <col min="11789" max="11789" width="13" customWidth="1"/>
    <col min="11790" max="11790" width="11.44140625" customWidth="1"/>
    <col min="11791" max="11791" width="11.5546875" customWidth="1"/>
    <col min="11792" max="11792" width="24.6640625" customWidth="1"/>
    <col min="12033" max="12033" width="17.44140625" customWidth="1"/>
    <col min="12034" max="12034" width="12.109375" customWidth="1"/>
    <col min="12035" max="12035" width="16.88671875" bestFit="1" customWidth="1"/>
    <col min="12036" max="12036" width="15.6640625" customWidth="1"/>
    <col min="12037" max="12037" width="13.5546875" customWidth="1"/>
    <col min="12038" max="12038" width="13.77734375" customWidth="1"/>
    <col min="12039" max="12039" width="11.5546875" customWidth="1"/>
    <col min="12040" max="12040" width="14" customWidth="1"/>
    <col min="12041" max="12041" width="14.88671875" customWidth="1"/>
    <col min="12042" max="12042" width="19" bestFit="1" customWidth="1"/>
    <col min="12043" max="12043" width="30.88671875" customWidth="1"/>
    <col min="12044" max="12044" width="42.6640625" customWidth="1"/>
    <col min="12045" max="12045" width="13" customWidth="1"/>
    <col min="12046" max="12046" width="11.44140625" customWidth="1"/>
    <col min="12047" max="12047" width="11.5546875" customWidth="1"/>
    <col min="12048" max="12048" width="24.6640625" customWidth="1"/>
    <col min="12289" max="12289" width="17.44140625" customWidth="1"/>
    <col min="12290" max="12290" width="12.109375" customWidth="1"/>
    <col min="12291" max="12291" width="16.88671875" bestFit="1" customWidth="1"/>
    <col min="12292" max="12292" width="15.6640625" customWidth="1"/>
    <col min="12293" max="12293" width="13.5546875" customWidth="1"/>
    <col min="12294" max="12294" width="13.77734375" customWidth="1"/>
    <col min="12295" max="12295" width="11.5546875" customWidth="1"/>
    <col min="12296" max="12296" width="14" customWidth="1"/>
    <col min="12297" max="12297" width="14.88671875" customWidth="1"/>
    <col min="12298" max="12298" width="19" bestFit="1" customWidth="1"/>
    <col min="12299" max="12299" width="30.88671875" customWidth="1"/>
    <col min="12300" max="12300" width="42.6640625" customWidth="1"/>
    <col min="12301" max="12301" width="13" customWidth="1"/>
    <col min="12302" max="12302" width="11.44140625" customWidth="1"/>
    <col min="12303" max="12303" width="11.5546875" customWidth="1"/>
    <col min="12304" max="12304" width="24.6640625" customWidth="1"/>
    <col min="12545" max="12545" width="17.44140625" customWidth="1"/>
    <col min="12546" max="12546" width="12.109375" customWidth="1"/>
    <col min="12547" max="12547" width="16.88671875" bestFit="1" customWidth="1"/>
    <col min="12548" max="12548" width="15.6640625" customWidth="1"/>
    <col min="12549" max="12549" width="13.5546875" customWidth="1"/>
    <col min="12550" max="12550" width="13.77734375" customWidth="1"/>
    <col min="12551" max="12551" width="11.5546875" customWidth="1"/>
    <col min="12552" max="12552" width="14" customWidth="1"/>
    <col min="12553" max="12553" width="14.88671875" customWidth="1"/>
    <col min="12554" max="12554" width="19" bestFit="1" customWidth="1"/>
    <col min="12555" max="12555" width="30.88671875" customWidth="1"/>
    <col min="12556" max="12556" width="42.6640625" customWidth="1"/>
    <col min="12557" max="12557" width="13" customWidth="1"/>
    <col min="12558" max="12558" width="11.44140625" customWidth="1"/>
    <col min="12559" max="12559" width="11.5546875" customWidth="1"/>
    <col min="12560" max="12560" width="24.6640625" customWidth="1"/>
    <col min="12801" max="12801" width="17.44140625" customWidth="1"/>
    <col min="12802" max="12802" width="12.109375" customWidth="1"/>
    <col min="12803" max="12803" width="16.88671875" bestFit="1" customWidth="1"/>
    <col min="12804" max="12804" width="15.6640625" customWidth="1"/>
    <col min="12805" max="12805" width="13.5546875" customWidth="1"/>
    <col min="12806" max="12806" width="13.77734375" customWidth="1"/>
    <col min="12807" max="12807" width="11.5546875" customWidth="1"/>
    <col min="12808" max="12808" width="14" customWidth="1"/>
    <col min="12809" max="12809" width="14.88671875" customWidth="1"/>
    <col min="12810" max="12810" width="19" bestFit="1" customWidth="1"/>
    <col min="12811" max="12811" width="30.88671875" customWidth="1"/>
    <col min="12812" max="12812" width="42.6640625" customWidth="1"/>
    <col min="12813" max="12813" width="13" customWidth="1"/>
    <col min="12814" max="12814" width="11.44140625" customWidth="1"/>
    <col min="12815" max="12815" width="11.5546875" customWidth="1"/>
    <col min="12816" max="12816" width="24.6640625" customWidth="1"/>
    <col min="13057" max="13057" width="17.44140625" customWidth="1"/>
    <col min="13058" max="13058" width="12.109375" customWidth="1"/>
    <col min="13059" max="13059" width="16.88671875" bestFit="1" customWidth="1"/>
    <col min="13060" max="13060" width="15.6640625" customWidth="1"/>
    <col min="13061" max="13061" width="13.5546875" customWidth="1"/>
    <col min="13062" max="13062" width="13.77734375" customWidth="1"/>
    <col min="13063" max="13063" width="11.5546875" customWidth="1"/>
    <col min="13064" max="13064" width="14" customWidth="1"/>
    <col min="13065" max="13065" width="14.88671875" customWidth="1"/>
    <col min="13066" max="13066" width="19" bestFit="1" customWidth="1"/>
    <col min="13067" max="13067" width="30.88671875" customWidth="1"/>
    <col min="13068" max="13068" width="42.6640625" customWidth="1"/>
    <col min="13069" max="13069" width="13" customWidth="1"/>
    <col min="13070" max="13070" width="11.44140625" customWidth="1"/>
    <col min="13071" max="13071" width="11.5546875" customWidth="1"/>
    <col min="13072" max="13072" width="24.6640625" customWidth="1"/>
    <col min="13313" max="13313" width="17.44140625" customWidth="1"/>
    <col min="13314" max="13314" width="12.109375" customWidth="1"/>
    <col min="13315" max="13315" width="16.88671875" bestFit="1" customWidth="1"/>
    <col min="13316" max="13316" width="15.6640625" customWidth="1"/>
    <col min="13317" max="13317" width="13.5546875" customWidth="1"/>
    <col min="13318" max="13318" width="13.77734375" customWidth="1"/>
    <col min="13319" max="13319" width="11.5546875" customWidth="1"/>
    <col min="13320" max="13320" width="14" customWidth="1"/>
    <col min="13321" max="13321" width="14.88671875" customWidth="1"/>
    <col min="13322" max="13322" width="19" bestFit="1" customWidth="1"/>
    <col min="13323" max="13323" width="30.88671875" customWidth="1"/>
    <col min="13324" max="13324" width="42.6640625" customWidth="1"/>
    <col min="13325" max="13325" width="13" customWidth="1"/>
    <col min="13326" max="13326" width="11.44140625" customWidth="1"/>
    <col min="13327" max="13327" width="11.5546875" customWidth="1"/>
    <col min="13328" max="13328" width="24.6640625" customWidth="1"/>
    <col min="13569" max="13569" width="17.44140625" customWidth="1"/>
    <col min="13570" max="13570" width="12.109375" customWidth="1"/>
    <col min="13571" max="13571" width="16.88671875" bestFit="1" customWidth="1"/>
    <col min="13572" max="13572" width="15.6640625" customWidth="1"/>
    <col min="13573" max="13573" width="13.5546875" customWidth="1"/>
    <col min="13574" max="13574" width="13.77734375" customWidth="1"/>
    <col min="13575" max="13575" width="11.5546875" customWidth="1"/>
    <col min="13576" max="13576" width="14" customWidth="1"/>
    <col min="13577" max="13577" width="14.88671875" customWidth="1"/>
    <col min="13578" max="13578" width="19" bestFit="1" customWidth="1"/>
    <col min="13579" max="13579" width="30.88671875" customWidth="1"/>
    <col min="13580" max="13580" width="42.6640625" customWidth="1"/>
    <col min="13581" max="13581" width="13" customWidth="1"/>
    <col min="13582" max="13582" width="11.44140625" customWidth="1"/>
    <col min="13583" max="13583" width="11.5546875" customWidth="1"/>
    <col min="13584" max="13584" width="24.6640625" customWidth="1"/>
    <col min="13825" max="13825" width="17.44140625" customWidth="1"/>
    <col min="13826" max="13826" width="12.109375" customWidth="1"/>
    <col min="13827" max="13827" width="16.88671875" bestFit="1" customWidth="1"/>
    <col min="13828" max="13828" width="15.6640625" customWidth="1"/>
    <col min="13829" max="13829" width="13.5546875" customWidth="1"/>
    <col min="13830" max="13830" width="13.77734375" customWidth="1"/>
    <col min="13831" max="13831" width="11.5546875" customWidth="1"/>
    <col min="13832" max="13832" width="14" customWidth="1"/>
    <col min="13833" max="13833" width="14.88671875" customWidth="1"/>
    <col min="13834" max="13834" width="19" bestFit="1" customWidth="1"/>
    <col min="13835" max="13835" width="30.88671875" customWidth="1"/>
    <col min="13836" max="13836" width="42.6640625" customWidth="1"/>
    <col min="13837" max="13837" width="13" customWidth="1"/>
    <col min="13838" max="13838" width="11.44140625" customWidth="1"/>
    <col min="13839" max="13839" width="11.5546875" customWidth="1"/>
    <col min="13840" max="13840" width="24.6640625" customWidth="1"/>
    <col min="14081" max="14081" width="17.44140625" customWidth="1"/>
    <col min="14082" max="14082" width="12.109375" customWidth="1"/>
    <col min="14083" max="14083" width="16.88671875" bestFit="1" customWidth="1"/>
    <col min="14084" max="14084" width="15.6640625" customWidth="1"/>
    <col min="14085" max="14085" width="13.5546875" customWidth="1"/>
    <col min="14086" max="14086" width="13.77734375" customWidth="1"/>
    <col min="14087" max="14087" width="11.5546875" customWidth="1"/>
    <col min="14088" max="14088" width="14" customWidth="1"/>
    <col min="14089" max="14089" width="14.88671875" customWidth="1"/>
    <col min="14090" max="14090" width="19" bestFit="1" customWidth="1"/>
    <col min="14091" max="14091" width="30.88671875" customWidth="1"/>
    <col min="14092" max="14092" width="42.6640625" customWidth="1"/>
    <col min="14093" max="14093" width="13" customWidth="1"/>
    <col min="14094" max="14094" width="11.44140625" customWidth="1"/>
    <col min="14095" max="14095" width="11.5546875" customWidth="1"/>
    <col min="14096" max="14096" width="24.6640625" customWidth="1"/>
    <col min="14337" max="14337" width="17.44140625" customWidth="1"/>
    <col min="14338" max="14338" width="12.109375" customWidth="1"/>
    <col min="14339" max="14339" width="16.88671875" bestFit="1" customWidth="1"/>
    <col min="14340" max="14340" width="15.6640625" customWidth="1"/>
    <col min="14341" max="14341" width="13.5546875" customWidth="1"/>
    <col min="14342" max="14342" width="13.77734375" customWidth="1"/>
    <col min="14343" max="14343" width="11.5546875" customWidth="1"/>
    <col min="14344" max="14344" width="14" customWidth="1"/>
    <col min="14345" max="14345" width="14.88671875" customWidth="1"/>
    <col min="14346" max="14346" width="19" bestFit="1" customWidth="1"/>
    <col min="14347" max="14347" width="30.88671875" customWidth="1"/>
    <col min="14348" max="14348" width="42.6640625" customWidth="1"/>
    <col min="14349" max="14349" width="13" customWidth="1"/>
    <col min="14350" max="14350" width="11.44140625" customWidth="1"/>
    <col min="14351" max="14351" width="11.5546875" customWidth="1"/>
    <col min="14352" max="14352" width="24.6640625" customWidth="1"/>
    <col min="14593" max="14593" width="17.44140625" customWidth="1"/>
    <col min="14594" max="14594" width="12.109375" customWidth="1"/>
    <col min="14595" max="14595" width="16.88671875" bestFit="1" customWidth="1"/>
    <col min="14596" max="14596" width="15.6640625" customWidth="1"/>
    <col min="14597" max="14597" width="13.5546875" customWidth="1"/>
    <col min="14598" max="14598" width="13.77734375" customWidth="1"/>
    <col min="14599" max="14599" width="11.5546875" customWidth="1"/>
    <col min="14600" max="14600" width="14" customWidth="1"/>
    <col min="14601" max="14601" width="14.88671875" customWidth="1"/>
    <col min="14602" max="14602" width="19" bestFit="1" customWidth="1"/>
    <col min="14603" max="14603" width="30.88671875" customWidth="1"/>
    <col min="14604" max="14604" width="42.6640625" customWidth="1"/>
    <col min="14605" max="14605" width="13" customWidth="1"/>
    <col min="14606" max="14606" width="11.44140625" customWidth="1"/>
    <col min="14607" max="14607" width="11.5546875" customWidth="1"/>
    <col min="14608" max="14608" width="24.6640625" customWidth="1"/>
    <col min="14849" max="14849" width="17.44140625" customWidth="1"/>
    <col min="14850" max="14850" width="12.109375" customWidth="1"/>
    <col min="14851" max="14851" width="16.88671875" bestFit="1" customWidth="1"/>
    <col min="14852" max="14852" width="15.6640625" customWidth="1"/>
    <col min="14853" max="14853" width="13.5546875" customWidth="1"/>
    <col min="14854" max="14854" width="13.77734375" customWidth="1"/>
    <col min="14855" max="14855" width="11.5546875" customWidth="1"/>
    <col min="14856" max="14856" width="14" customWidth="1"/>
    <col min="14857" max="14857" width="14.88671875" customWidth="1"/>
    <col min="14858" max="14858" width="19" bestFit="1" customWidth="1"/>
    <col min="14859" max="14859" width="30.88671875" customWidth="1"/>
    <col min="14860" max="14860" width="42.6640625" customWidth="1"/>
    <col min="14861" max="14861" width="13" customWidth="1"/>
    <col min="14862" max="14862" width="11.44140625" customWidth="1"/>
    <col min="14863" max="14863" width="11.5546875" customWidth="1"/>
    <col min="14864" max="14864" width="24.6640625" customWidth="1"/>
    <col min="15105" max="15105" width="17.44140625" customWidth="1"/>
    <col min="15106" max="15106" width="12.109375" customWidth="1"/>
    <col min="15107" max="15107" width="16.88671875" bestFit="1" customWidth="1"/>
    <col min="15108" max="15108" width="15.6640625" customWidth="1"/>
    <col min="15109" max="15109" width="13.5546875" customWidth="1"/>
    <col min="15110" max="15110" width="13.77734375" customWidth="1"/>
    <col min="15111" max="15111" width="11.5546875" customWidth="1"/>
    <col min="15112" max="15112" width="14" customWidth="1"/>
    <col min="15113" max="15113" width="14.88671875" customWidth="1"/>
    <col min="15114" max="15114" width="19" bestFit="1" customWidth="1"/>
    <col min="15115" max="15115" width="30.88671875" customWidth="1"/>
    <col min="15116" max="15116" width="42.6640625" customWidth="1"/>
    <col min="15117" max="15117" width="13" customWidth="1"/>
    <col min="15118" max="15118" width="11.44140625" customWidth="1"/>
    <col min="15119" max="15119" width="11.5546875" customWidth="1"/>
    <col min="15120" max="15120" width="24.6640625" customWidth="1"/>
    <col min="15361" max="15361" width="17.44140625" customWidth="1"/>
    <col min="15362" max="15362" width="12.109375" customWidth="1"/>
    <col min="15363" max="15363" width="16.88671875" bestFit="1" customWidth="1"/>
    <col min="15364" max="15364" width="15.6640625" customWidth="1"/>
    <col min="15365" max="15365" width="13.5546875" customWidth="1"/>
    <col min="15366" max="15366" width="13.77734375" customWidth="1"/>
    <col min="15367" max="15367" width="11.5546875" customWidth="1"/>
    <col min="15368" max="15368" width="14" customWidth="1"/>
    <col min="15369" max="15369" width="14.88671875" customWidth="1"/>
    <col min="15370" max="15370" width="19" bestFit="1" customWidth="1"/>
    <col min="15371" max="15371" width="30.88671875" customWidth="1"/>
    <col min="15372" max="15372" width="42.6640625" customWidth="1"/>
    <col min="15373" max="15373" width="13" customWidth="1"/>
    <col min="15374" max="15374" width="11.44140625" customWidth="1"/>
    <col min="15375" max="15375" width="11.5546875" customWidth="1"/>
    <col min="15376" max="15376" width="24.6640625" customWidth="1"/>
    <col min="15617" max="15617" width="17.44140625" customWidth="1"/>
    <col min="15618" max="15618" width="12.109375" customWidth="1"/>
    <col min="15619" max="15619" width="16.88671875" bestFit="1" customWidth="1"/>
    <col min="15620" max="15620" width="15.6640625" customWidth="1"/>
    <col min="15621" max="15621" width="13.5546875" customWidth="1"/>
    <col min="15622" max="15622" width="13.77734375" customWidth="1"/>
    <col min="15623" max="15623" width="11.5546875" customWidth="1"/>
    <col min="15624" max="15624" width="14" customWidth="1"/>
    <col min="15625" max="15625" width="14.88671875" customWidth="1"/>
    <col min="15626" max="15626" width="19" bestFit="1" customWidth="1"/>
    <col min="15627" max="15627" width="30.88671875" customWidth="1"/>
    <col min="15628" max="15628" width="42.6640625" customWidth="1"/>
    <col min="15629" max="15629" width="13" customWidth="1"/>
    <col min="15630" max="15630" width="11.44140625" customWidth="1"/>
    <col min="15631" max="15631" width="11.5546875" customWidth="1"/>
    <col min="15632" max="15632" width="24.6640625" customWidth="1"/>
    <col min="15873" max="15873" width="17.44140625" customWidth="1"/>
    <col min="15874" max="15874" width="12.109375" customWidth="1"/>
    <col min="15875" max="15875" width="16.88671875" bestFit="1" customWidth="1"/>
    <col min="15876" max="15876" width="15.6640625" customWidth="1"/>
    <col min="15877" max="15877" width="13.5546875" customWidth="1"/>
    <col min="15878" max="15878" width="13.77734375" customWidth="1"/>
    <col min="15879" max="15879" width="11.5546875" customWidth="1"/>
    <col min="15880" max="15880" width="14" customWidth="1"/>
    <col min="15881" max="15881" width="14.88671875" customWidth="1"/>
    <col min="15882" max="15882" width="19" bestFit="1" customWidth="1"/>
    <col min="15883" max="15883" width="30.88671875" customWidth="1"/>
    <col min="15884" max="15884" width="42.6640625" customWidth="1"/>
    <col min="15885" max="15885" width="13" customWidth="1"/>
    <col min="15886" max="15886" width="11.44140625" customWidth="1"/>
    <col min="15887" max="15887" width="11.5546875" customWidth="1"/>
    <col min="15888" max="15888" width="24.6640625" customWidth="1"/>
    <col min="16129" max="16129" width="17.44140625" customWidth="1"/>
    <col min="16130" max="16130" width="12.109375" customWidth="1"/>
    <col min="16131" max="16131" width="16.88671875" bestFit="1" customWidth="1"/>
    <col min="16132" max="16132" width="15.6640625" customWidth="1"/>
    <col min="16133" max="16133" width="13.5546875" customWidth="1"/>
    <col min="16134" max="16134" width="13.77734375" customWidth="1"/>
    <col min="16135" max="16135" width="11.5546875" customWidth="1"/>
    <col min="16136" max="16136" width="14" customWidth="1"/>
    <col min="16137" max="16137" width="14.88671875" customWidth="1"/>
    <col min="16138" max="16138" width="19" bestFit="1" customWidth="1"/>
    <col min="16139" max="16139" width="30.88671875" customWidth="1"/>
    <col min="16140" max="16140" width="42.6640625" customWidth="1"/>
    <col min="16141" max="16141" width="13" customWidth="1"/>
    <col min="16142" max="16142" width="11.44140625" customWidth="1"/>
    <col min="16143" max="16143" width="11.5546875" customWidth="1"/>
    <col min="16144" max="16144" width="24.6640625" customWidth="1"/>
  </cols>
  <sheetData>
    <row r="1" spans="1:16" s="165" customFormat="1" ht="22.2" customHeight="1" thickTop="1" thickBot="1">
      <c r="A1" s="595" t="s">
        <v>372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597"/>
      <c r="O1" s="168"/>
      <c r="P1" s="168"/>
    </row>
    <row r="2" spans="1:16" s="165" customFormat="1" ht="42.6" thickTop="1" thickBot="1">
      <c r="A2" s="174" t="s">
        <v>373</v>
      </c>
      <c r="B2" s="174" t="s">
        <v>374</v>
      </c>
      <c r="C2" s="174" t="s">
        <v>375</v>
      </c>
      <c r="D2" s="174" t="s">
        <v>376</v>
      </c>
      <c r="E2" s="174" t="s">
        <v>377</v>
      </c>
      <c r="F2" s="174" t="s">
        <v>511</v>
      </c>
      <c r="G2" s="174" t="s">
        <v>378</v>
      </c>
      <c r="H2" s="174" t="s">
        <v>379</v>
      </c>
      <c r="I2" s="174" t="s">
        <v>380</v>
      </c>
      <c r="J2" s="174" t="s">
        <v>381</v>
      </c>
      <c r="K2" s="174" t="s">
        <v>382</v>
      </c>
      <c r="L2" s="174" t="s">
        <v>114</v>
      </c>
      <c r="O2" s="389"/>
      <c r="P2" s="168"/>
    </row>
    <row r="3" spans="1:16" s="165" customFormat="1" ht="30.6" customHeight="1" thickTop="1" thickBot="1">
      <c r="A3" s="386" t="s">
        <v>383</v>
      </c>
      <c r="B3" s="386" t="s">
        <v>384</v>
      </c>
      <c r="C3" s="387">
        <v>127</v>
      </c>
      <c r="D3" s="387">
        <v>127</v>
      </c>
      <c r="E3" s="387">
        <v>127</v>
      </c>
      <c r="F3" s="387">
        <f>C3-D3</f>
        <v>0</v>
      </c>
      <c r="G3" s="387">
        <v>0</v>
      </c>
      <c r="H3" s="387">
        <v>0</v>
      </c>
      <c r="I3" s="387">
        <v>0</v>
      </c>
      <c r="J3" s="387">
        <f>E3+I3</f>
        <v>127</v>
      </c>
      <c r="K3" s="387">
        <f>D3+G3-J3</f>
        <v>0</v>
      </c>
      <c r="L3" s="454"/>
      <c r="M3" s="179"/>
      <c r="O3" s="168"/>
      <c r="P3" s="168"/>
    </row>
    <row r="4" spans="1:16" s="165" customFormat="1" ht="43.95" customHeight="1" thickTop="1" thickBot="1">
      <c r="A4" s="386" t="s">
        <v>10</v>
      </c>
      <c r="B4" s="386" t="s">
        <v>384</v>
      </c>
      <c r="C4" s="387">
        <v>127</v>
      </c>
      <c r="D4" s="387">
        <v>127</v>
      </c>
      <c r="E4" s="387">
        <v>122</v>
      </c>
      <c r="F4" s="387">
        <f>C4-D4</f>
        <v>0</v>
      </c>
      <c r="G4" s="387">
        <v>0</v>
      </c>
      <c r="H4" s="387">
        <v>5</v>
      </c>
      <c r="I4" s="387">
        <v>3</v>
      </c>
      <c r="J4" s="387">
        <f>E4+I4</f>
        <v>125</v>
      </c>
      <c r="K4" s="387">
        <f>D4+G4-J4</f>
        <v>2</v>
      </c>
      <c r="L4" s="454" t="s">
        <v>739</v>
      </c>
      <c r="M4" s="179"/>
      <c r="O4" s="168"/>
      <c r="P4" s="168"/>
    </row>
    <row r="5" spans="1:16" s="165" customFormat="1" ht="15" thickTop="1">
      <c r="M5" s="179"/>
      <c r="O5" s="168"/>
      <c r="P5" s="168"/>
    </row>
    <row r="6" spans="1:16" s="165" customFormat="1">
      <c r="O6" s="168"/>
      <c r="P6" s="168"/>
    </row>
    <row r="7" spans="1:16" s="165" customFormat="1" ht="22.2" customHeight="1">
      <c r="A7" s="649" t="s">
        <v>385</v>
      </c>
      <c r="B7" s="650"/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1"/>
      <c r="O7" s="168"/>
      <c r="P7" s="168"/>
    </row>
    <row r="8" spans="1:16" s="165" customFormat="1" ht="43.2" customHeight="1" thickBot="1">
      <c r="A8" s="358" t="s">
        <v>373</v>
      </c>
      <c r="B8" s="358" t="s">
        <v>374</v>
      </c>
      <c r="C8" s="358" t="s">
        <v>375</v>
      </c>
      <c r="D8" s="358" t="s">
        <v>376</v>
      </c>
      <c r="E8" s="358" t="s">
        <v>386</v>
      </c>
      <c r="F8" s="358" t="s">
        <v>387</v>
      </c>
      <c r="G8" s="358" t="s">
        <v>388</v>
      </c>
      <c r="H8" s="358" t="s">
        <v>389</v>
      </c>
      <c r="I8" s="358" t="s">
        <v>390</v>
      </c>
      <c r="J8" s="358" t="s">
        <v>391</v>
      </c>
      <c r="K8" s="358" t="s">
        <v>392</v>
      </c>
      <c r="L8" s="359" t="s">
        <v>393</v>
      </c>
      <c r="M8" s="652" t="s">
        <v>114</v>
      </c>
      <c r="N8" s="653"/>
      <c r="O8" s="168"/>
      <c r="P8" s="168"/>
    </row>
    <row r="9" spans="1:16" s="165" customFormat="1" ht="66.599999999999994" customHeight="1" thickTop="1" thickBot="1">
      <c r="A9" s="382" t="s">
        <v>394</v>
      </c>
      <c r="B9" s="382" t="s">
        <v>395</v>
      </c>
      <c r="C9" s="383">
        <v>47.84</v>
      </c>
      <c r="D9" s="384">
        <v>47.84</v>
      </c>
      <c r="E9" s="385">
        <v>47.84</v>
      </c>
      <c r="F9" s="385">
        <f>43.9+3.94</f>
        <v>47.839999999999996</v>
      </c>
      <c r="G9" s="383">
        <v>0</v>
      </c>
      <c r="H9" s="383">
        <v>0</v>
      </c>
      <c r="I9" s="383">
        <v>0</v>
      </c>
      <c r="J9" s="384">
        <v>0</v>
      </c>
      <c r="K9" s="385">
        <v>0</v>
      </c>
      <c r="L9" s="385">
        <f>E9+K9</f>
        <v>47.84</v>
      </c>
      <c r="M9" s="577"/>
      <c r="N9" s="578"/>
      <c r="O9" s="167"/>
    </row>
    <row r="10" spans="1:16" s="165" customFormat="1" ht="39.6" customHeight="1" thickTop="1" thickBot="1">
      <c r="A10" s="382" t="s">
        <v>238</v>
      </c>
      <c r="B10" s="382" t="s">
        <v>395</v>
      </c>
      <c r="C10" s="383">
        <v>47.84</v>
      </c>
      <c r="D10" s="384">
        <v>47.84</v>
      </c>
      <c r="E10" s="385">
        <v>47.84</v>
      </c>
      <c r="F10" s="385">
        <f>43.9+3.94</f>
        <v>47.839999999999996</v>
      </c>
      <c r="G10" s="383">
        <v>0</v>
      </c>
      <c r="H10" s="383">
        <v>0</v>
      </c>
      <c r="I10" s="383">
        <v>0</v>
      </c>
      <c r="J10" s="384">
        <v>0</v>
      </c>
      <c r="K10" s="385">
        <v>0</v>
      </c>
      <c r="L10" s="385">
        <f>E10+K10</f>
        <v>47.84</v>
      </c>
      <c r="M10" s="577"/>
      <c r="N10" s="578"/>
    </row>
    <row r="11" spans="1:16" ht="21" customHeight="1" thickTop="1">
      <c r="A11" s="648" t="s">
        <v>101</v>
      </c>
      <c r="B11" s="648"/>
      <c r="C11" s="648"/>
      <c r="D11" s="648"/>
      <c r="E11" s="648"/>
      <c r="F11" s="648"/>
      <c r="G11" s="648"/>
      <c r="H11" s="648"/>
      <c r="I11" s="648"/>
      <c r="J11" s="648"/>
      <c r="K11" s="648"/>
      <c r="L11" s="648"/>
      <c r="M11" s="648"/>
      <c r="N11" s="648"/>
      <c r="O11" s="648"/>
      <c r="P11" s="648"/>
    </row>
    <row r="12" spans="1:16" s="2" customFormat="1" ht="33" customHeight="1" thickBot="1">
      <c r="A12" s="163" t="s">
        <v>396</v>
      </c>
      <c r="B12" s="163" t="s">
        <v>82</v>
      </c>
      <c r="C12" s="163" t="s">
        <v>60</v>
      </c>
      <c r="D12" s="163" t="s">
        <v>239</v>
      </c>
      <c r="E12" s="163" t="s">
        <v>397</v>
      </c>
      <c r="F12" s="163" t="s">
        <v>398</v>
      </c>
      <c r="G12" s="624" t="s">
        <v>112</v>
      </c>
      <c r="H12" s="625"/>
      <c r="I12" s="625"/>
      <c r="J12" s="626"/>
      <c r="K12" s="163" t="s">
        <v>399</v>
      </c>
      <c r="L12" s="163" t="s">
        <v>400</v>
      </c>
      <c r="M12" s="163" t="s">
        <v>401</v>
      </c>
      <c r="N12" s="624" t="s">
        <v>402</v>
      </c>
      <c r="O12" s="625"/>
      <c r="P12" s="626"/>
    </row>
    <row r="13" spans="1:16" s="32" customFormat="1" ht="33" customHeight="1">
      <c r="A13" s="180">
        <f>1</f>
        <v>1</v>
      </c>
      <c r="B13" s="181" t="s">
        <v>51</v>
      </c>
      <c r="C13" s="180" t="s">
        <v>403</v>
      </c>
      <c r="D13" s="180" t="s">
        <v>240</v>
      </c>
      <c r="E13" s="182">
        <v>45452</v>
      </c>
      <c r="F13" s="183">
        <v>11.42</v>
      </c>
      <c r="G13" s="643" t="s">
        <v>404</v>
      </c>
      <c r="H13" s="644"/>
      <c r="I13" s="644"/>
      <c r="J13" s="644"/>
      <c r="K13" s="182">
        <v>45465</v>
      </c>
      <c r="L13" s="184" t="s">
        <v>449</v>
      </c>
      <c r="M13" s="180"/>
      <c r="N13" s="627"/>
      <c r="O13" s="627"/>
      <c r="P13" s="627"/>
    </row>
    <row r="14" spans="1:16" s="32" customFormat="1" ht="33" customHeight="1">
      <c r="A14" s="180">
        <f t="shared" ref="A14:A64" si="0">A13+1</f>
        <v>2</v>
      </c>
      <c r="B14" s="183" t="s">
        <v>52</v>
      </c>
      <c r="C14" s="183" t="s">
        <v>403</v>
      </c>
      <c r="D14" s="183" t="s">
        <v>240</v>
      </c>
      <c r="E14" s="182">
        <v>45453</v>
      </c>
      <c r="F14" s="183">
        <v>11.42</v>
      </c>
      <c r="G14" s="643" t="s">
        <v>404</v>
      </c>
      <c r="H14" s="644"/>
      <c r="I14" s="644"/>
      <c r="J14" s="644"/>
      <c r="K14" s="182">
        <v>45472</v>
      </c>
      <c r="L14" s="184" t="s">
        <v>449</v>
      </c>
      <c r="M14" s="180"/>
      <c r="N14" s="627"/>
      <c r="O14" s="627"/>
      <c r="P14" s="627"/>
    </row>
    <row r="15" spans="1:16" s="32" customFormat="1" ht="33" customHeight="1">
      <c r="A15" s="180">
        <f t="shared" si="0"/>
        <v>3</v>
      </c>
      <c r="B15" s="185" t="s">
        <v>177</v>
      </c>
      <c r="C15" s="184" t="s">
        <v>403</v>
      </c>
      <c r="D15" s="184" t="s">
        <v>448</v>
      </c>
      <c r="E15" s="186">
        <v>45472</v>
      </c>
      <c r="F15" s="187">
        <v>16.7</v>
      </c>
      <c r="G15" s="643" t="s">
        <v>404</v>
      </c>
      <c r="H15" s="644"/>
      <c r="I15" s="644"/>
      <c r="J15" s="644"/>
      <c r="K15" s="182">
        <v>45484</v>
      </c>
      <c r="L15" s="184" t="s">
        <v>449</v>
      </c>
      <c r="M15" s="180"/>
      <c r="N15" s="627"/>
      <c r="O15" s="627"/>
      <c r="P15" s="627"/>
    </row>
    <row r="16" spans="1:16" s="32" customFormat="1" ht="33" customHeight="1">
      <c r="A16" s="180">
        <f t="shared" si="0"/>
        <v>4</v>
      </c>
      <c r="B16" s="185" t="s">
        <v>178</v>
      </c>
      <c r="C16" s="184" t="s">
        <v>447</v>
      </c>
      <c r="D16" s="184" t="s">
        <v>240</v>
      </c>
      <c r="E16" s="186">
        <v>45472</v>
      </c>
      <c r="F16" s="187">
        <v>11.73</v>
      </c>
      <c r="G16" s="643" t="s">
        <v>404</v>
      </c>
      <c r="H16" s="644"/>
      <c r="I16" s="644"/>
      <c r="J16" s="644"/>
      <c r="K16" s="186">
        <v>45489</v>
      </c>
      <c r="L16" s="184" t="s">
        <v>450</v>
      </c>
      <c r="M16" s="184"/>
      <c r="N16" s="627"/>
      <c r="O16" s="627"/>
      <c r="P16" s="627"/>
    </row>
    <row r="17" spans="1:16" s="32" customFormat="1" ht="33" customHeight="1">
      <c r="A17" s="180">
        <f t="shared" si="0"/>
        <v>5</v>
      </c>
      <c r="B17" s="185" t="s">
        <v>2</v>
      </c>
      <c r="C17" s="184" t="s">
        <v>403</v>
      </c>
      <c r="D17" s="184" t="s">
        <v>240</v>
      </c>
      <c r="E17" s="186">
        <v>45474</v>
      </c>
      <c r="F17" s="187">
        <v>11.42</v>
      </c>
      <c r="G17" s="643" t="s">
        <v>404</v>
      </c>
      <c r="H17" s="644"/>
      <c r="I17" s="644"/>
      <c r="J17" s="644"/>
      <c r="K17" s="186">
        <v>45489</v>
      </c>
      <c r="L17" s="184" t="s">
        <v>446</v>
      </c>
      <c r="M17" s="184"/>
      <c r="N17" s="627"/>
      <c r="O17" s="627"/>
      <c r="P17" s="627"/>
    </row>
    <row r="18" spans="1:16" s="32" customFormat="1" ht="35.549999999999997" customHeight="1">
      <c r="A18" s="180">
        <f t="shared" si="0"/>
        <v>6</v>
      </c>
      <c r="B18" s="185" t="s">
        <v>179</v>
      </c>
      <c r="C18" s="184" t="s">
        <v>403</v>
      </c>
      <c r="D18" s="184" t="s">
        <v>240</v>
      </c>
      <c r="E18" s="186">
        <v>45475</v>
      </c>
      <c r="F18" s="187">
        <v>11.42</v>
      </c>
      <c r="G18" s="643" t="s">
        <v>404</v>
      </c>
      <c r="H18" s="644"/>
      <c r="I18" s="644"/>
      <c r="J18" s="644"/>
      <c r="K18" s="186">
        <v>45496</v>
      </c>
      <c r="L18" s="184" t="s">
        <v>452</v>
      </c>
      <c r="M18" s="184"/>
      <c r="N18" s="627"/>
      <c r="O18" s="627"/>
      <c r="P18" s="627"/>
    </row>
    <row r="19" spans="1:16" s="32" customFormat="1" ht="35.549999999999997" customHeight="1">
      <c r="A19" s="180">
        <f t="shared" si="0"/>
        <v>7</v>
      </c>
      <c r="B19" s="185" t="s">
        <v>148</v>
      </c>
      <c r="C19" s="184" t="s">
        <v>403</v>
      </c>
      <c r="D19" s="184" t="s">
        <v>240</v>
      </c>
      <c r="E19" s="186">
        <v>45476</v>
      </c>
      <c r="F19" s="187">
        <v>11.42</v>
      </c>
      <c r="G19" s="643" t="s">
        <v>404</v>
      </c>
      <c r="H19" s="644"/>
      <c r="I19" s="644"/>
      <c r="J19" s="644"/>
      <c r="K19" s="186">
        <v>45485</v>
      </c>
      <c r="L19" s="184" t="s">
        <v>446</v>
      </c>
      <c r="M19" s="184"/>
      <c r="N19" s="627"/>
      <c r="O19" s="627"/>
      <c r="P19" s="627"/>
    </row>
    <row r="20" spans="1:16" s="32" customFormat="1" ht="35.549999999999997" customHeight="1">
      <c r="A20" s="180">
        <f t="shared" si="0"/>
        <v>8</v>
      </c>
      <c r="B20" s="185" t="s">
        <v>147</v>
      </c>
      <c r="C20" s="184" t="s">
        <v>447</v>
      </c>
      <c r="D20" s="184" t="s">
        <v>240</v>
      </c>
      <c r="E20" s="186">
        <v>45480</v>
      </c>
      <c r="F20" s="187">
        <v>11.73</v>
      </c>
      <c r="G20" s="643" t="s">
        <v>404</v>
      </c>
      <c r="H20" s="644"/>
      <c r="I20" s="644"/>
      <c r="J20" s="644"/>
      <c r="K20" s="186">
        <v>45496</v>
      </c>
      <c r="L20" s="184" t="s">
        <v>446</v>
      </c>
      <c r="M20" s="184"/>
      <c r="N20" s="627"/>
      <c r="O20" s="627"/>
      <c r="P20" s="627"/>
    </row>
    <row r="21" spans="1:16" s="32" customFormat="1" ht="35.549999999999997" customHeight="1">
      <c r="A21" s="180">
        <f t="shared" si="0"/>
        <v>9</v>
      </c>
      <c r="B21" s="185" t="s">
        <v>145</v>
      </c>
      <c r="C21" s="184" t="s">
        <v>451</v>
      </c>
      <c r="D21" s="184" t="s">
        <v>240</v>
      </c>
      <c r="E21" s="186">
        <v>45483</v>
      </c>
      <c r="F21" s="187">
        <v>11.42</v>
      </c>
      <c r="G21" s="643" t="s">
        <v>404</v>
      </c>
      <c r="H21" s="644"/>
      <c r="I21" s="644"/>
      <c r="J21" s="644"/>
      <c r="K21" s="186">
        <v>45499</v>
      </c>
      <c r="L21" s="184" t="s">
        <v>453</v>
      </c>
      <c r="M21" s="184"/>
      <c r="N21" s="627"/>
      <c r="O21" s="627"/>
      <c r="P21" s="627"/>
    </row>
    <row r="22" spans="1:16" s="32" customFormat="1" ht="35.549999999999997" customHeight="1">
      <c r="A22" s="180">
        <f t="shared" si="0"/>
        <v>10</v>
      </c>
      <c r="B22" s="185" t="s">
        <v>49</v>
      </c>
      <c r="C22" s="184" t="s">
        <v>403</v>
      </c>
      <c r="D22" s="184" t="s">
        <v>240</v>
      </c>
      <c r="E22" s="186">
        <v>45487</v>
      </c>
      <c r="F22" s="187">
        <v>11.42</v>
      </c>
      <c r="G22" s="643" t="s">
        <v>404</v>
      </c>
      <c r="H22" s="644"/>
      <c r="I22" s="644"/>
      <c r="J22" s="644"/>
      <c r="K22" s="186">
        <v>45504</v>
      </c>
      <c r="L22" s="184" t="s">
        <v>454</v>
      </c>
      <c r="M22" s="184"/>
      <c r="N22" s="627"/>
      <c r="O22" s="627"/>
      <c r="P22" s="627"/>
    </row>
    <row r="23" spans="1:16" s="32" customFormat="1" ht="35.549999999999997" customHeight="1">
      <c r="A23" s="180">
        <f t="shared" si="0"/>
        <v>11</v>
      </c>
      <c r="B23" s="185" t="s">
        <v>133</v>
      </c>
      <c r="C23" s="184" t="s">
        <v>451</v>
      </c>
      <c r="D23" s="184" t="s">
        <v>240</v>
      </c>
      <c r="E23" s="186">
        <v>45491</v>
      </c>
      <c r="F23" s="187">
        <v>11.42</v>
      </c>
      <c r="G23" s="645" t="s">
        <v>404</v>
      </c>
      <c r="H23" s="646"/>
      <c r="I23" s="646"/>
      <c r="J23" s="646"/>
      <c r="K23" s="186">
        <v>45515</v>
      </c>
      <c r="L23" s="184" t="s">
        <v>453</v>
      </c>
      <c r="M23" s="184"/>
      <c r="N23" s="647"/>
      <c r="O23" s="627"/>
      <c r="P23" s="627"/>
    </row>
    <row r="24" spans="1:16" s="32" customFormat="1" ht="35.549999999999997" customHeight="1">
      <c r="A24" s="180">
        <f t="shared" si="0"/>
        <v>12</v>
      </c>
      <c r="B24" s="185" t="s">
        <v>134</v>
      </c>
      <c r="C24" s="184" t="s">
        <v>403</v>
      </c>
      <c r="D24" s="184" t="s">
        <v>240</v>
      </c>
      <c r="E24" s="186">
        <v>45491</v>
      </c>
      <c r="F24" s="187">
        <v>11.42</v>
      </c>
      <c r="G24" s="645" t="s">
        <v>404</v>
      </c>
      <c r="H24" s="646"/>
      <c r="I24" s="646"/>
      <c r="J24" s="646"/>
      <c r="K24" s="186">
        <v>45510</v>
      </c>
      <c r="L24" s="184" t="s">
        <v>453</v>
      </c>
      <c r="M24" s="184"/>
      <c r="N24" s="627"/>
      <c r="O24" s="627"/>
      <c r="P24" s="627"/>
    </row>
    <row r="25" spans="1:16" s="32" customFormat="1" ht="33" customHeight="1">
      <c r="A25" s="180">
        <f t="shared" si="0"/>
        <v>13</v>
      </c>
      <c r="B25" s="185" t="s">
        <v>50</v>
      </c>
      <c r="C25" s="184" t="s">
        <v>447</v>
      </c>
      <c r="D25" s="184" t="s">
        <v>240</v>
      </c>
      <c r="E25" s="186">
        <v>45493</v>
      </c>
      <c r="F25" s="187">
        <v>11.73</v>
      </c>
      <c r="G25" s="645" t="s">
        <v>404</v>
      </c>
      <c r="H25" s="646"/>
      <c r="I25" s="646"/>
      <c r="J25" s="646"/>
      <c r="K25" s="186">
        <v>45507</v>
      </c>
      <c r="L25" s="184" t="s">
        <v>454</v>
      </c>
      <c r="M25" s="184"/>
      <c r="N25" s="627"/>
      <c r="O25" s="627"/>
      <c r="P25" s="627"/>
    </row>
    <row r="26" spans="1:16" s="32" customFormat="1" ht="33" customHeight="1">
      <c r="A26" s="180">
        <f t="shared" si="0"/>
        <v>14</v>
      </c>
      <c r="B26" s="185" t="s">
        <v>176</v>
      </c>
      <c r="C26" s="184" t="s">
        <v>447</v>
      </c>
      <c r="D26" s="184" t="s">
        <v>240</v>
      </c>
      <c r="E26" s="186">
        <v>45497</v>
      </c>
      <c r="F26" s="187">
        <v>11.73</v>
      </c>
      <c r="G26" s="645" t="s">
        <v>404</v>
      </c>
      <c r="H26" s="646"/>
      <c r="I26" s="646"/>
      <c r="J26" s="646"/>
      <c r="K26" s="186">
        <v>45506</v>
      </c>
      <c r="L26" s="184" t="s">
        <v>452</v>
      </c>
      <c r="M26" s="184"/>
      <c r="N26" s="627"/>
      <c r="O26" s="627"/>
      <c r="P26" s="627"/>
    </row>
    <row r="27" spans="1:16" s="32" customFormat="1" ht="33" customHeight="1">
      <c r="A27" s="180">
        <f t="shared" si="0"/>
        <v>15</v>
      </c>
      <c r="B27" s="185" t="s">
        <v>149</v>
      </c>
      <c r="C27" s="184" t="s">
        <v>447</v>
      </c>
      <c r="D27" s="184" t="s">
        <v>240</v>
      </c>
      <c r="E27" s="186">
        <v>45500</v>
      </c>
      <c r="F27" s="187">
        <v>11.73</v>
      </c>
      <c r="G27" s="645" t="s">
        <v>404</v>
      </c>
      <c r="H27" s="646"/>
      <c r="I27" s="646"/>
      <c r="J27" s="646"/>
      <c r="K27" s="186">
        <v>45514</v>
      </c>
      <c r="L27" s="184" t="s">
        <v>454</v>
      </c>
      <c r="M27" s="184"/>
      <c r="N27" s="627"/>
      <c r="O27" s="627"/>
      <c r="P27" s="627"/>
    </row>
    <row r="28" spans="1:16" s="32" customFormat="1" ht="33" customHeight="1">
      <c r="A28" s="180">
        <f t="shared" si="0"/>
        <v>16</v>
      </c>
      <c r="B28" s="185" t="s">
        <v>180</v>
      </c>
      <c r="C28" s="184" t="s">
        <v>447</v>
      </c>
      <c r="D28" s="184" t="s">
        <v>240</v>
      </c>
      <c r="E28" s="186">
        <v>45502</v>
      </c>
      <c r="F28" s="187">
        <v>11.73</v>
      </c>
      <c r="G28" s="645" t="s">
        <v>404</v>
      </c>
      <c r="H28" s="646"/>
      <c r="I28" s="646"/>
      <c r="J28" s="646"/>
      <c r="K28" s="186">
        <v>45514</v>
      </c>
      <c r="L28" s="184" t="s">
        <v>452</v>
      </c>
      <c r="M28" s="184"/>
      <c r="N28" s="627"/>
      <c r="O28" s="627"/>
      <c r="P28" s="627"/>
    </row>
    <row r="29" spans="1:16" s="32" customFormat="1" ht="33" customHeight="1">
      <c r="A29" s="180">
        <f t="shared" si="0"/>
        <v>17</v>
      </c>
      <c r="B29" s="185" t="s">
        <v>146</v>
      </c>
      <c r="C29" s="184" t="s">
        <v>455</v>
      </c>
      <c r="D29" s="184" t="s">
        <v>240</v>
      </c>
      <c r="E29" s="186">
        <v>45507</v>
      </c>
      <c r="F29" s="187">
        <v>11.73</v>
      </c>
      <c r="G29" s="645" t="s">
        <v>404</v>
      </c>
      <c r="H29" s="646"/>
      <c r="I29" s="646"/>
      <c r="J29" s="646"/>
      <c r="K29" s="186">
        <v>45530</v>
      </c>
      <c r="L29" s="184" t="s">
        <v>454</v>
      </c>
      <c r="M29" s="184"/>
      <c r="N29" s="627"/>
      <c r="O29" s="627"/>
      <c r="P29" s="627"/>
    </row>
    <row r="30" spans="1:16" s="32" customFormat="1" ht="33" customHeight="1">
      <c r="A30" s="180">
        <f t="shared" si="0"/>
        <v>18</v>
      </c>
      <c r="B30" s="185" t="s">
        <v>136</v>
      </c>
      <c r="C30" s="184" t="s">
        <v>403</v>
      </c>
      <c r="D30" s="184" t="s">
        <v>240</v>
      </c>
      <c r="E30" s="186">
        <v>45511</v>
      </c>
      <c r="F30" s="187">
        <v>11.42</v>
      </c>
      <c r="G30" s="645" t="s">
        <v>404</v>
      </c>
      <c r="H30" s="646"/>
      <c r="I30" s="646"/>
      <c r="J30" s="646"/>
      <c r="K30" s="186">
        <v>45525</v>
      </c>
      <c r="L30" s="184" t="s">
        <v>453</v>
      </c>
      <c r="M30" s="184"/>
      <c r="N30" s="627"/>
      <c r="O30" s="627"/>
      <c r="P30" s="627"/>
    </row>
    <row r="31" spans="1:16" s="32" customFormat="1" ht="33" customHeight="1">
      <c r="A31" s="180">
        <f t="shared" si="0"/>
        <v>19</v>
      </c>
      <c r="B31" s="185" t="s">
        <v>137</v>
      </c>
      <c r="C31" s="184" t="s">
        <v>456</v>
      </c>
      <c r="D31" s="184" t="s">
        <v>240</v>
      </c>
      <c r="E31" s="186">
        <v>45513</v>
      </c>
      <c r="F31" s="187">
        <v>11.73</v>
      </c>
      <c r="G31" s="645" t="s">
        <v>404</v>
      </c>
      <c r="H31" s="646"/>
      <c r="I31" s="646"/>
      <c r="J31" s="646"/>
      <c r="K31" s="186">
        <v>45531</v>
      </c>
      <c r="L31" s="184" t="s">
        <v>453</v>
      </c>
      <c r="M31" s="184"/>
      <c r="N31" s="627"/>
      <c r="O31" s="627"/>
      <c r="P31" s="627"/>
    </row>
    <row r="32" spans="1:16" s="153" customFormat="1" ht="33" customHeight="1">
      <c r="A32" s="184">
        <f t="shared" si="0"/>
        <v>20</v>
      </c>
      <c r="B32" s="185" t="s">
        <v>172</v>
      </c>
      <c r="C32" s="184" t="s">
        <v>451</v>
      </c>
      <c r="D32" s="184" t="s">
        <v>240</v>
      </c>
      <c r="E32" s="375" t="s">
        <v>714</v>
      </c>
      <c r="F32" s="187">
        <v>11.42</v>
      </c>
      <c r="G32" s="645" t="s">
        <v>404</v>
      </c>
      <c r="H32" s="646"/>
      <c r="I32" s="646"/>
      <c r="J32" s="646"/>
      <c r="K32" s="186">
        <v>45843</v>
      </c>
      <c r="L32" s="184" t="s">
        <v>611</v>
      </c>
      <c r="M32" s="184"/>
      <c r="N32" s="622"/>
      <c r="O32" s="622"/>
      <c r="P32" s="622"/>
    </row>
    <row r="33" spans="1:16" s="32" customFormat="1" ht="33" customHeight="1">
      <c r="A33" s="180">
        <f t="shared" si="0"/>
        <v>21</v>
      </c>
      <c r="B33" s="185" t="s">
        <v>144</v>
      </c>
      <c r="C33" s="184" t="s">
        <v>403</v>
      </c>
      <c r="D33" s="184" t="s">
        <v>240</v>
      </c>
      <c r="E33" s="186">
        <v>45518</v>
      </c>
      <c r="F33" s="187">
        <v>11.42</v>
      </c>
      <c r="G33" s="645" t="s">
        <v>404</v>
      </c>
      <c r="H33" s="646"/>
      <c r="I33" s="646"/>
      <c r="J33" s="646"/>
      <c r="K33" s="186">
        <v>45544</v>
      </c>
      <c r="L33" s="184" t="s">
        <v>454</v>
      </c>
      <c r="M33" s="184"/>
      <c r="N33" s="627"/>
      <c r="O33" s="627"/>
      <c r="P33" s="627"/>
    </row>
    <row r="34" spans="1:16" s="32" customFormat="1" ht="33" customHeight="1">
      <c r="A34" s="180">
        <f t="shared" si="0"/>
        <v>22</v>
      </c>
      <c r="B34" s="185" t="s">
        <v>138</v>
      </c>
      <c r="C34" s="184" t="s">
        <v>447</v>
      </c>
      <c r="D34" s="184" t="s">
        <v>240</v>
      </c>
      <c r="E34" s="186">
        <v>45529</v>
      </c>
      <c r="F34" s="187">
        <v>11.73</v>
      </c>
      <c r="G34" s="645" t="s">
        <v>404</v>
      </c>
      <c r="H34" s="646"/>
      <c r="I34" s="646"/>
      <c r="J34" s="646"/>
      <c r="K34" s="186">
        <v>45538</v>
      </c>
      <c r="L34" s="186" t="s">
        <v>453</v>
      </c>
      <c r="M34" s="184"/>
      <c r="N34" s="627"/>
      <c r="O34" s="627"/>
      <c r="P34" s="627"/>
    </row>
    <row r="35" spans="1:16" s="32" customFormat="1" ht="33" customHeight="1">
      <c r="A35" s="180">
        <f t="shared" si="0"/>
        <v>23</v>
      </c>
      <c r="B35" s="185" t="s">
        <v>141</v>
      </c>
      <c r="C35" s="184" t="s">
        <v>447</v>
      </c>
      <c r="D35" s="184" t="s">
        <v>240</v>
      </c>
      <c r="E35" s="186">
        <v>45537</v>
      </c>
      <c r="F35" s="187">
        <v>11.73</v>
      </c>
      <c r="G35" s="645" t="s">
        <v>404</v>
      </c>
      <c r="H35" s="646"/>
      <c r="I35" s="646"/>
      <c r="J35" s="646"/>
      <c r="K35" s="186">
        <v>45545</v>
      </c>
      <c r="L35" s="184" t="s">
        <v>453</v>
      </c>
      <c r="M35" s="184"/>
      <c r="N35" s="627"/>
      <c r="O35" s="627"/>
      <c r="P35" s="627"/>
    </row>
    <row r="36" spans="1:16" s="32" customFormat="1" ht="33" customHeight="1">
      <c r="A36" s="180">
        <f t="shared" si="0"/>
        <v>24</v>
      </c>
      <c r="B36" s="185" t="s">
        <v>18</v>
      </c>
      <c r="C36" s="184" t="s">
        <v>403</v>
      </c>
      <c r="D36" s="184" t="s">
        <v>240</v>
      </c>
      <c r="E36" s="186">
        <v>45537</v>
      </c>
      <c r="F36" s="187">
        <v>11.42</v>
      </c>
      <c r="G36" s="645" t="s">
        <v>404</v>
      </c>
      <c r="H36" s="646"/>
      <c r="I36" s="646"/>
      <c r="J36" s="646"/>
      <c r="K36" s="186">
        <v>45543</v>
      </c>
      <c r="L36" s="184" t="s">
        <v>478</v>
      </c>
      <c r="M36" s="184"/>
      <c r="N36" s="627"/>
      <c r="O36" s="627"/>
      <c r="P36" s="627"/>
    </row>
    <row r="37" spans="1:16" s="32" customFormat="1" ht="33" customHeight="1">
      <c r="A37" s="180">
        <f t="shared" si="0"/>
        <v>25</v>
      </c>
      <c r="B37" s="185" t="s">
        <v>130</v>
      </c>
      <c r="C37" s="184" t="s">
        <v>447</v>
      </c>
      <c r="D37" s="184" t="s">
        <v>240</v>
      </c>
      <c r="E37" s="186">
        <v>45537</v>
      </c>
      <c r="F37" s="187">
        <v>11.73</v>
      </c>
      <c r="G37" s="645" t="s">
        <v>404</v>
      </c>
      <c r="H37" s="646"/>
      <c r="I37" s="646"/>
      <c r="J37" s="646"/>
      <c r="K37" s="186">
        <v>45547</v>
      </c>
      <c r="L37" s="184" t="s">
        <v>478</v>
      </c>
      <c r="M37" s="184"/>
      <c r="N37" s="627"/>
      <c r="O37" s="627"/>
      <c r="P37" s="627"/>
    </row>
    <row r="38" spans="1:16" s="32" customFormat="1" ht="33" customHeight="1">
      <c r="A38" s="180">
        <f t="shared" si="0"/>
        <v>26</v>
      </c>
      <c r="B38" s="185" t="s">
        <v>16</v>
      </c>
      <c r="C38" s="184" t="s">
        <v>403</v>
      </c>
      <c r="D38" s="184" t="s">
        <v>240</v>
      </c>
      <c r="E38" s="186">
        <v>45540</v>
      </c>
      <c r="F38" s="187">
        <v>11.42</v>
      </c>
      <c r="G38" s="645" t="s">
        <v>404</v>
      </c>
      <c r="H38" s="646"/>
      <c r="I38" s="646"/>
      <c r="J38" s="646"/>
      <c r="K38" s="186">
        <v>45551</v>
      </c>
      <c r="L38" s="184" t="s">
        <v>478</v>
      </c>
      <c r="M38" s="184"/>
      <c r="N38" s="627"/>
      <c r="O38" s="627"/>
      <c r="P38" s="627"/>
    </row>
    <row r="39" spans="1:16" s="32" customFormat="1" ht="33" customHeight="1">
      <c r="A39" s="180">
        <f t="shared" si="0"/>
        <v>27</v>
      </c>
      <c r="B39" s="185" t="s">
        <v>173</v>
      </c>
      <c r="C39" s="184" t="s">
        <v>451</v>
      </c>
      <c r="D39" s="184" t="s">
        <v>240</v>
      </c>
      <c r="E39" s="186">
        <v>45547</v>
      </c>
      <c r="F39" s="187">
        <v>11.42</v>
      </c>
      <c r="G39" s="645" t="s">
        <v>404</v>
      </c>
      <c r="H39" s="646"/>
      <c r="I39" s="646"/>
      <c r="J39" s="646"/>
      <c r="K39" s="186">
        <v>45554</v>
      </c>
      <c r="L39" s="184" t="s">
        <v>478</v>
      </c>
      <c r="M39" s="184"/>
      <c r="N39" s="627"/>
      <c r="O39" s="627"/>
      <c r="P39" s="627"/>
    </row>
    <row r="40" spans="1:16" s="153" customFormat="1" ht="33" customHeight="1">
      <c r="A40" s="184">
        <f t="shared" si="0"/>
        <v>28</v>
      </c>
      <c r="B40" s="185" t="s">
        <v>162</v>
      </c>
      <c r="C40" s="184" t="s">
        <v>403</v>
      </c>
      <c r="D40" s="184" t="s">
        <v>240</v>
      </c>
      <c r="E40" s="186">
        <v>45555</v>
      </c>
      <c r="F40" s="187">
        <v>11.42</v>
      </c>
      <c r="G40" s="645" t="s">
        <v>404</v>
      </c>
      <c r="H40" s="646"/>
      <c r="I40" s="646"/>
      <c r="J40" s="646"/>
      <c r="K40" s="186">
        <v>45680</v>
      </c>
      <c r="L40" s="184" t="s">
        <v>604</v>
      </c>
      <c r="M40" s="184"/>
      <c r="N40" s="622"/>
      <c r="O40" s="622"/>
      <c r="P40" s="622"/>
    </row>
    <row r="41" spans="1:16" s="153" customFormat="1" ht="33" customHeight="1">
      <c r="A41" s="180">
        <f t="shared" si="0"/>
        <v>29</v>
      </c>
      <c r="B41" s="185" t="s">
        <v>129</v>
      </c>
      <c r="C41" s="184" t="s">
        <v>403</v>
      </c>
      <c r="D41" s="184" t="s">
        <v>240</v>
      </c>
      <c r="E41" s="186">
        <v>45557</v>
      </c>
      <c r="F41" s="187">
        <v>11.42</v>
      </c>
      <c r="G41" s="645" t="s">
        <v>404</v>
      </c>
      <c r="H41" s="646"/>
      <c r="I41" s="646"/>
      <c r="J41" s="646"/>
      <c r="K41" s="186">
        <v>45563</v>
      </c>
      <c r="L41" s="184" t="s">
        <v>478</v>
      </c>
      <c r="M41" s="184"/>
      <c r="N41" s="622"/>
      <c r="O41" s="622"/>
      <c r="P41" s="622"/>
    </row>
    <row r="42" spans="1:16" s="153" customFormat="1" ht="33" customHeight="1">
      <c r="A42" s="180">
        <f t="shared" si="0"/>
        <v>30</v>
      </c>
      <c r="B42" s="185" t="s">
        <v>167</v>
      </c>
      <c r="C42" s="184" t="s">
        <v>403</v>
      </c>
      <c r="D42" s="184" t="s">
        <v>240</v>
      </c>
      <c r="E42" s="186">
        <v>45559</v>
      </c>
      <c r="F42" s="187">
        <v>11.42</v>
      </c>
      <c r="G42" s="645" t="s">
        <v>404</v>
      </c>
      <c r="H42" s="646"/>
      <c r="I42" s="646"/>
      <c r="J42" s="646"/>
      <c r="K42" s="186">
        <v>45576</v>
      </c>
      <c r="L42" s="184" t="s">
        <v>478</v>
      </c>
      <c r="M42" s="184"/>
      <c r="N42" s="622"/>
      <c r="O42" s="622"/>
      <c r="P42" s="622"/>
    </row>
    <row r="43" spans="1:16" s="153" customFormat="1" ht="33" customHeight="1">
      <c r="A43" s="180">
        <f t="shared" si="0"/>
        <v>31</v>
      </c>
      <c r="B43" s="185" t="s">
        <v>128</v>
      </c>
      <c r="C43" s="184" t="s">
        <v>451</v>
      </c>
      <c r="D43" s="184" t="s">
        <v>499</v>
      </c>
      <c r="E43" s="186">
        <v>45559</v>
      </c>
      <c r="F43" s="187">
        <v>17.649999999999999</v>
      </c>
      <c r="G43" s="645" t="s">
        <v>404</v>
      </c>
      <c r="H43" s="646"/>
      <c r="I43" s="646"/>
      <c r="J43" s="646"/>
      <c r="K43" s="186">
        <v>45568</v>
      </c>
      <c r="L43" s="184" t="s">
        <v>478</v>
      </c>
      <c r="M43" s="184"/>
      <c r="N43" s="622"/>
      <c r="O43" s="622"/>
      <c r="P43" s="622"/>
    </row>
    <row r="44" spans="1:16" s="153" customFormat="1" ht="33" customHeight="1">
      <c r="A44" s="180">
        <f t="shared" si="0"/>
        <v>32</v>
      </c>
      <c r="B44" s="185" t="s">
        <v>127</v>
      </c>
      <c r="C44" s="184" t="s">
        <v>403</v>
      </c>
      <c r="D44" s="184" t="s">
        <v>240</v>
      </c>
      <c r="E44" s="186">
        <v>45562</v>
      </c>
      <c r="F44" s="187">
        <v>11.42</v>
      </c>
      <c r="G44" s="645" t="s">
        <v>404</v>
      </c>
      <c r="H44" s="646"/>
      <c r="I44" s="646"/>
      <c r="J44" s="646"/>
      <c r="K44" s="186">
        <v>45615</v>
      </c>
      <c r="L44" s="184" t="s">
        <v>504</v>
      </c>
      <c r="M44" s="184"/>
      <c r="N44" s="622"/>
      <c r="O44" s="622"/>
      <c r="P44" s="622"/>
    </row>
    <row r="45" spans="1:16" s="153" customFormat="1" ht="33" customHeight="1">
      <c r="A45" s="180">
        <f t="shared" si="0"/>
        <v>33</v>
      </c>
      <c r="B45" s="185" t="s">
        <v>126</v>
      </c>
      <c r="C45" s="184" t="s">
        <v>451</v>
      </c>
      <c r="D45" s="184" t="s">
        <v>240</v>
      </c>
      <c r="E45" s="186">
        <v>45564</v>
      </c>
      <c r="F45" s="187">
        <v>11.42</v>
      </c>
      <c r="G45" s="645" t="s">
        <v>404</v>
      </c>
      <c r="H45" s="646"/>
      <c r="I45" s="646"/>
      <c r="J45" s="646"/>
      <c r="K45" s="186">
        <v>45607</v>
      </c>
      <c r="L45" s="184" t="s">
        <v>507</v>
      </c>
      <c r="M45" s="184"/>
      <c r="N45" s="622"/>
      <c r="O45" s="622"/>
      <c r="P45" s="622"/>
    </row>
    <row r="46" spans="1:16" s="153" customFormat="1" ht="33" customHeight="1">
      <c r="A46" s="180">
        <f t="shared" si="0"/>
        <v>34</v>
      </c>
      <c r="B46" s="185" t="s">
        <v>161</v>
      </c>
      <c r="C46" s="184" t="s">
        <v>447</v>
      </c>
      <c r="D46" s="184" t="s">
        <v>240</v>
      </c>
      <c r="E46" s="186">
        <v>45573</v>
      </c>
      <c r="F46" s="187">
        <v>11.73</v>
      </c>
      <c r="G46" s="645" t="s">
        <v>404</v>
      </c>
      <c r="H46" s="646"/>
      <c r="I46" s="646"/>
      <c r="J46" s="646"/>
      <c r="K46" s="186">
        <v>45584</v>
      </c>
      <c r="L46" s="184" t="s">
        <v>478</v>
      </c>
      <c r="M46" s="184"/>
      <c r="N46" s="275"/>
      <c r="O46" s="275"/>
      <c r="P46" s="275"/>
    </row>
    <row r="47" spans="1:16" s="32" customFormat="1" ht="33" customHeight="1">
      <c r="A47" s="180">
        <f t="shared" si="0"/>
        <v>35</v>
      </c>
      <c r="B47" s="185" t="s">
        <v>501</v>
      </c>
      <c r="C47" s="184" t="s">
        <v>479</v>
      </c>
      <c r="D47" s="184" t="s">
        <v>240</v>
      </c>
      <c r="E47" s="186">
        <v>45584</v>
      </c>
      <c r="F47" s="187">
        <v>32.22</v>
      </c>
      <c r="G47" s="645" t="s">
        <v>404</v>
      </c>
      <c r="H47" s="646"/>
      <c r="I47" s="646"/>
      <c r="J47" s="646"/>
      <c r="K47" s="186">
        <v>45594</v>
      </c>
      <c r="L47" s="184" t="s">
        <v>503</v>
      </c>
      <c r="M47" s="184"/>
      <c r="N47" s="627"/>
      <c r="O47" s="627"/>
      <c r="P47" s="627"/>
    </row>
    <row r="48" spans="1:16" s="32" customFormat="1" ht="33" customHeight="1">
      <c r="A48" s="180">
        <f t="shared" si="0"/>
        <v>36</v>
      </c>
      <c r="B48" s="185" t="s">
        <v>124</v>
      </c>
      <c r="C48" s="184" t="s">
        <v>451</v>
      </c>
      <c r="D48" s="184" t="s">
        <v>240</v>
      </c>
      <c r="E48" s="186">
        <v>45592</v>
      </c>
      <c r="F48" s="187">
        <v>11.42</v>
      </c>
      <c r="G48" s="645" t="s">
        <v>404</v>
      </c>
      <c r="H48" s="646"/>
      <c r="I48" s="646"/>
      <c r="J48" s="646"/>
      <c r="K48" s="186">
        <v>45600</v>
      </c>
      <c r="L48" s="184" t="s">
        <v>504</v>
      </c>
      <c r="M48" s="184"/>
      <c r="N48" s="627"/>
      <c r="O48" s="627"/>
      <c r="P48" s="627"/>
    </row>
    <row r="49" spans="1:16" s="153" customFormat="1" ht="33" customHeight="1">
      <c r="A49" s="180">
        <f t="shared" si="0"/>
        <v>37</v>
      </c>
      <c r="B49" s="185" t="s">
        <v>160</v>
      </c>
      <c r="C49" s="184" t="s">
        <v>479</v>
      </c>
      <c r="D49" s="184" t="s">
        <v>240</v>
      </c>
      <c r="E49" s="186">
        <v>45595</v>
      </c>
      <c r="F49" s="187">
        <v>32.22</v>
      </c>
      <c r="G49" s="645" t="s">
        <v>404</v>
      </c>
      <c r="H49" s="646"/>
      <c r="I49" s="646"/>
      <c r="J49" s="646"/>
      <c r="K49" s="186">
        <v>45618</v>
      </c>
      <c r="L49" s="184" t="s">
        <v>510</v>
      </c>
      <c r="M49" s="184"/>
      <c r="N49" s="622"/>
      <c r="O49" s="622"/>
      <c r="P49" s="622"/>
    </row>
    <row r="50" spans="1:16" s="153" customFormat="1" ht="33" customHeight="1">
      <c r="A50" s="180">
        <f t="shared" si="0"/>
        <v>38</v>
      </c>
      <c r="B50" s="185" t="s">
        <v>125</v>
      </c>
      <c r="C50" s="184" t="s">
        <v>451</v>
      </c>
      <c r="D50" s="184" t="s">
        <v>240</v>
      </c>
      <c r="E50" s="186">
        <v>45604</v>
      </c>
      <c r="F50" s="187">
        <v>11.42</v>
      </c>
      <c r="G50" s="645" t="s">
        <v>404</v>
      </c>
      <c r="H50" s="646"/>
      <c r="I50" s="646"/>
      <c r="J50" s="646"/>
      <c r="K50" s="186">
        <v>45623</v>
      </c>
      <c r="L50" s="184" t="s">
        <v>503</v>
      </c>
      <c r="M50" s="184"/>
      <c r="N50" s="622"/>
      <c r="O50" s="622"/>
      <c r="P50" s="622"/>
    </row>
    <row r="51" spans="1:16" s="153" customFormat="1" ht="33" customHeight="1">
      <c r="A51" s="180">
        <f t="shared" si="0"/>
        <v>39</v>
      </c>
      <c r="B51" s="185" t="s">
        <v>17</v>
      </c>
      <c r="C51" s="184" t="s">
        <v>403</v>
      </c>
      <c r="D51" s="184" t="s">
        <v>240</v>
      </c>
      <c r="E51" s="186">
        <v>45609</v>
      </c>
      <c r="F51" s="187">
        <v>11.42</v>
      </c>
      <c r="G51" s="645" t="s">
        <v>404</v>
      </c>
      <c r="H51" s="646"/>
      <c r="I51" s="646"/>
      <c r="J51" s="646"/>
      <c r="K51" s="186">
        <v>45652</v>
      </c>
      <c r="L51" s="184" t="s">
        <v>503</v>
      </c>
      <c r="M51" s="184"/>
      <c r="N51" s="622"/>
      <c r="O51" s="622"/>
      <c r="P51" s="622"/>
    </row>
    <row r="52" spans="1:16" s="153" customFormat="1" ht="33" customHeight="1">
      <c r="A52" s="184">
        <f t="shared" si="0"/>
        <v>40</v>
      </c>
      <c r="B52" s="185" t="s">
        <v>158</v>
      </c>
      <c r="C52" s="184" t="s">
        <v>455</v>
      </c>
      <c r="D52" s="184" t="s">
        <v>240</v>
      </c>
      <c r="E52" s="186">
        <v>45611</v>
      </c>
      <c r="F52" s="187">
        <v>11.73</v>
      </c>
      <c r="G52" s="645" t="s">
        <v>404</v>
      </c>
      <c r="H52" s="646"/>
      <c r="I52" s="646"/>
      <c r="J52" s="646"/>
      <c r="K52" s="186">
        <v>45698</v>
      </c>
      <c r="L52" s="184" t="s">
        <v>611</v>
      </c>
      <c r="M52" s="184"/>
      <c r="N52" s="622"/>
      <c r="O52" s="622"/>
      <c r="P52" s="622"/>
    </row>
    <row r="53" spans="1:16" s="153" customFormat="1" ht="33" customHeight="1">
      <c r="A53" s="180">
        <f t="shared" si="0"/>
        <v>41</v>
      </c>
      <c r="B53" s="185" t="s">
        <v>157</v>
      </c>
      <c r="C53" s="184" t="s">
        <v>403</v>
      </c>
      <c r="D53" s="184" t="s">
        <v>240</v>
      </c>
      <c r="E53" s="186">
        <v>45611</v>
      </c>
      <c r="F53" s="187">
        <v>11.42</v>
      </c>
      <c r="G53" s="645" t="s">
        <v>404</v>
      </c>
      <c r="H53" s="646"/>
      <c r="I53" s="646"/>
      <c r="J53" s="646"/>
      <c r="K53" s="186">
        <v>45650</v>
      </c>
      <c r="L53" s="184" t="s">
        <v>510</v>
      </c>
      <c r="M53" s="184"/>
      <c r="N53" s="622"/>
      <c r="O53" s="622"/>
      <c r="P53" s="622"/>
    </row>
    <row r="54" spans="1:16" s="153" customFormat="1" ht="33" customHeight="1">
      <c r="A54" s="180">
        <f t="shared" si="0"/>
        <v>42</v>
      </c>
      <c r="B54" s="185" t="s">
        <v>508</v>
      </c>
      <c r="C54" s="184" t="s">
        <v>479</v>
      </c>
      <c r="D54" s="184" t="s">
        <v>240</v>
      </c>
      <c r="E54" s="186">
        <v>45615</v>
      </c>
      <c r="F54" s="187">
        <v>32.22</v>
      </c>
      <c r="G54" s="645" t="s">
        <v>404</v>
      </c>
      <c r="H54" s="646"/>
      <c r="I54" s="646"/>
      <c r="J54" s="646"/>
      <c r="K54" s="186">
        <v>45631</v>
      </c>
      <c r="L54" s="184" t="s">
        <v>510</v>
      </c>
      <c r="M54" s="184"/>
      <c r="N54" s="622"/>
      <c r="O54" s="622"/>
      <c r="P54" s="622"/>
    </row>
    <row r="55" spans="1:16" s="153" customFormat="1" ht="33" customHeight="1">
      <c r="A55" s="180">
        <f t="shared" si="0"/>
        <v>43</v>
      </c>
      <c r="B55" s="185" t="s">
        <v>509</v>
      </c>
      <c r="C55" s="184" t="s">
        <v>479</v>
      </c>
      <c r="D55" s="184" t="s">
        <v>240</v>
      </c>
      <c r="E55" s="186">
        <v>45620</v>
      </c>
      <c r="F55" s="187">
        <v>32.22</v>
      </c>
      <c r="G55" s="645" t="s">
        <v>404</v>
      </c>
      <c r="H55" s="646"/>
      <c r="I55" s="646"/>
      <c r="J55" s="646"/>
      <c r="K55" s="186">
        <v>45644</v>
      </c>
      <c r="L55" s="184" t="s">
        <v>503</v>
      </c>
      <c r="M55" s="184"/>
      <c r="N55" s="622"/>
      <c r="O55" s="622"/>
      <c r="P55" s="622"/>
    </row>
    <row r="56" spans="1:16" s="153" customFormat="1" ht="33" customHeight="1">
      <c r="A56" s="180">
        <f t="shared" si="0"/>
        <v>44</v>
      </c>
      <c r="B56" s="185" t="s">
        <v>514</v>
      </c>
      <c r="C56" s="184" t="s">
        <v>403</v>
      </c>
      <c r="D56" s="184" t="s">
        <v>240</v>
      </c>
      <c r="E56" s="186">
        <v>45630</v>
      </c>
      <c r="F56" s="187">
        <v>11.42</v>
      </c>
      <c r="G56" s="645" t="s">
        <v>404</v>
      </c>
      <c r="H56" s="646"/>
      <c r="I56" s="646"/>
      <c r="J56" s="646"/>
      <c r="K56" s="186">
        <v>45646</v>
      </c>
      <c r="L56" s="184" t="s">
        <v>503</v>
      </c>
      <c r="M56" s="184"/>
      <c r="N56" s="622"/>
      <c r="O56" s="622"/>
      <c r="P56" s="622"/>
    </row>
    <row r="57" spans="1:16" s="153" customFormat="1" ht="33" customHeight="1">
      <c r="A57" s="180">
        <f t="shared" si="0"/>
        <v>45</v>
      </c>
      <c r="B57" s="185" t="s">
        <v>515</v>
      </c>
      <c r="C57" s="184" t="s">
        <v>516</v>
      </c>
      <c r="D57" s="184" t="s">
        <v>240</v>
      </c>
      <c r="E57" s="186">
        <v>45635</v>
      </c>
      <c r="F57" s="187">
        <v>28.1</v>
      </c>
      <c r="G57" s="645" t="s">
        <v>404</v>
      </c>
      <c r="H57" s="646"/>
      <c r="I57" s="646"/>
      <c r="J57" s="646"/>
      <c r="K57" s="186">
        <v>45656</v>
      </c>
      <c r="L57" s="184" t="s">
        <v>519</v>
      </c>
      <c r="M57" s="184"/>
      <c r="N57" s="622"/>
      <c r="O57" s="622"/>
      <c r="P57" s="622"/>
    </row>
    <row r="58" spans="1:16" s="153" customFormat="1" ht="33" customHeight="1">
      <c r="A58" s="184">
        <f t="shared" si="0"/>
        <v>46</v>
      </c>
      <c r="B58" s="185" t="s">
        <v>4</v>
      </c>
      <c r="C58" s="184" t="s">
        <v>518</v>
      </c>
      <c r="D58" s="184" t="s">
        <v>240</v>
      </c>
      <c r="E58" s="186">
        <v>45636</v>
      </c>
      <c r="F58" s="187">
        <v>32.22</v>
      </c>
      <c r="G58" s="645" t="s">
        <v>404</v>
      </c>
      <c r="H58" s="646"/>
      <c r="I58" s="646"/>
      <c r="J58" s="646"/>
      <c r="K58" s="186">
        <v>45678</v>
      </c>
      <c r="L58" s="184" t="s">
        <v>564</v>
      </c>
      <c r="M58" s="184"/>
      <c r="N58" s="622"/>
      <c r="O58" s="622"/>
      <c r="P58" s="622"/>
    </row>
    <row r="59" spans="1:16" s="153" customFormat="1" ht="33" customHeight="1">
      <c r="A59" s="184">
        <f t="shared" si="0"/>
        <v>47</v>
      </c>
      <c r="B59" s="185" t="s">
        <v>517</v>
      </c>
      <c r="C59" s="184" t="s">
        <v>479</v>
      </c>
      <c r="D59" s="184" t="s">
        <v>240</v>
      </c>
      <c r="E59" s="186">
        <v>45637</v>
      </c>
      <c r="F59" s="187">
        <v>32.22</v>
      </c>
      <c r="G59" s="645" t="s">
        <v>404</v>
      </c>
      <c r="H59" s="646"/>
      <c r="I59" s="646"/>
      <c r="J59" s="646"/>
      <c r="K59" s="186">
        <v>45668</v>
      </c>
      <c r="L59" s="184" t="s">
        <v>564</v>
      </c>
      <c r="M59" s="184"/>
      <c r="N59" s="622"/>
      <c r="O59" s="622"/>
      <c r="P59" s="622"/>
    </row>
    <row r="60" spans="1:16" s="153" customFormat="1" ht="33" customHeight="1">
      <c r="A60" s="184">
        <f t="shared" si="0"/>
        <v>48</v>
      </c>
      <c r="B60" s="185" t="s">
        <v>524</v>
      </c>
      <c r="C60" s="184" t="s">
        <v>479</v>
      </c>
      <c r="D60" s="184" t="s">
        <v>240</v>
      </c>
      <c r="E60" s="186">
        <v>45648</v>
      </c>
      <c r="F60" s="187">
        <v>32.22</v>
      </c>
      <c r="G60" s="645" t="s">
        <v>404</v>
      </c>
      <c r="H60" s="646"/>
      <c r="I60" s="646"/>
      <c r="J60" s="646"/>
      <c r="K60" s="186">
        <v>45670</v>
      </c>
      <c r="L60" s="184" t="s">
        <v>592</v>
      </c>
      <c r="M60" s="184"/>
      <c r="N60" s="622"/>
      <c r="O60" s="622"/>
      <c r="P60" s="622"/>
    </row>
    <row r="61" spans="1:16" s="153" customFormat="1" ht="33" customHeight="1">
      <c r="A61" s="184">
        <f t="shared" si="0"/>
        <v>49</v>
      </c>
      <c r="B61" s="185" t="s">
        <v>37</v>
      </c>
      <c r="C61" s="184" t="s">
        <v>403</v>
      </c>
      <c r="D61" s="184" t="s">
        <v>448</v>
      </c>
      <c r="E61" s="186">
        <v>45658</v>
      </c>
      <c r="F61" s="187">
        <v>16.7</v>
      </c>
      <c r="G61" s="645" t="s">
        <v>404</v>
      </c>
      <c r="H61" s="646"/>
      <c r="I61" s="646"/>
      <c r="J61" s="646"/>
      <c r="K61" s="186">
        <v>45737</v>
      </c>
      <c r="L61" s="184" t="s">
        <v>593</v>
      </c>
      <c r="M61" s="184"/>
      <c r="N61" s="622"/>
      <c r="O61" s="622"/>
      <c r="P61" s="622"/>
    </row>
    <row r="62" spans="1:16" s="153" customFormat="1" ht="33" customHeight="1">
      <c r="A62" s="184">
        <f t="shared" si="0"/>
        <v>50</v>
      </c>
      <c r="B62" s="185" t="s">
        <v>168</v>
      </c>
      <c r="C62" s="184" t="s">
        <v>456</v>
      </c>
      <c r="D62" s="184" t="s">
        <v>240</v>
      </c>
      <c r="E62" s="186">
        <v>45660</v>
      </c>
      <c r="F62" s="187">
        <v>11.73</v>
      </c>
      <c r="G62" s="645" t="s">
        <v>404</v>
      </c>
      <c r="H62" s="646"/>
      <c r="I62" s="646"/>
      <c r="J62" s="646"/>
      <c r="K62" s="186">
        <v>45670</v>
      </c>
      <c r="L62" s="184" t="s">
        <v>510</v>
      </c>
      <c r="M62" s="184"/>
      <c r="N62" s="622"/>
      <c r="O62" s="622"/>
      <c r="P62" s="622"/>
    </row>
    <row r="63" spans="1:16" s="153" customFormat="1" ht="33" customHeight="1">
      <c r="A63" s="184">
        <f t="shared" si="0"/>
        <v>51</v>
      </c>
      <c r="B63" s="185" t="s">
        <v>123</v>
      </c>
      <c r="C63" s="184" t="s">
        <v>601</v>
      </c>
      <c r="D63" s="184" t="s">
        <v>240</v>
      </c>
      <c r="E63" s="478" t="s">
        <v>691</v>
      </c>
      <c r="F63" s="187">
        <v>32.22</v>
      </c>
      <c r="G63" s="645" t="s">
        <v>404</v>
      </c>
      <c r="H63" s="646"/>
      <c r="I63" s="646"/>
      <c r="J63" s="646"/>
      <c r="K63" s="186">
        <v>45810</v>
      </c>
      <c r="L63" s="184" t="s">
        <v>611</v>
      </c>
      <c r="M63" s="184"/>
      <c r="N63" s="654"/>
      <c r="O63" s="654"/>
      <c r="P63" s="654"/>
    </row>
    <row r="64" spans="1:16" s="153" customFormat="1" ht="33" customHeight="1">
      <c r="A64" s="184">
        <f t="shared" si="0"/>
        <v>52</v>
      </c>
      <c r="B64" s="185" t="s">
        <v>122</v>
      </c>
      <c r="C64" s="184" t="s">
        <v>601</v>
      </c>
      <c r="D64" s="184" t="s">
        <v>240</v>
      </c>
      <c r="E64" s="186">
        <v>45667</v>
      </c>
      <c r="F64" s="187">
        <v>32.22</v>
      </c>
      <c r="G64" s="645" t="s">
        <v>404</v>
      </c>
      <c r="H64" s="646"/>
      <c r="I64" s="646"/>
      <c r="J64" s="646"/>
      <c r="K64" s="186">
        <v>45681</v>
      </c>
      <c r="L64" s="184" t="s">
        <v>592</v>
      </c>
      <c r="M64" s="184"/>
      <c r="N64" s="622"/>
      <c r="O64" s="622"/>
      <c r="P64" s="622"/>
    </row>
    <row r="65" spans="1:16" s="153" customFormat="1" ht="33" customHeight="1">
      <c r="A65" s="184">
        <v>53</v>
      </c>
      <c r="B65" s="185" t="s">
        <v>603</v>
      </c>
      <c r="C65" s="184" t="s">
        <v>602</v>
      </c>
      <c r="D65" s="184" t="s">
        <v>240</v>
      </c>
      <c r="E65" s="186">
        <v>45674</v>
      </c>
      <c r="F65" s="187">
        <v>27.5</v>
      </c>
      <c r="G65" s="645" t="s">
        <v>404</v>
      </c>
      <c r="H65" s="646"/>
      <c r="I65" s="646"/>
      <c r="J65" s="646"/>
      <c r="K65" s="186">
        <v>45691</v>
      </c>
      <c r="L65" s="184" t="s">
        <v>564</v>
      </c>
      <c r="M65" s="184"/>
      <c r="N65" s="622"/>
      <c r="O65" s="622"/>
      <c r="P65" s="622"/>
    </row>
    <row r="66" spans="1:16" s="153" customFormat="1" ht="33" customHeight="1">
      <c r="A66" s="184">
        <v>54</v>
      </c>
      <c r="B66" s="185" t="s">
        <v>118</v>
      </c>
      <c r="C66" s="184" t="s">
        <v>451</v>
      </c>
      <c r="D66" s="184" t="s">
        <v>240</v>
      </c>
      <c r="E66" s="186">
        <v>45680</v>
      </c>
      <c r="F66" s="187">
        <v>11.42</v>
      </c>
      <c r="G66" s="645" t="s">
        <v>404</v>
      </c>
      <c r="H66" s="646"/>
      <c r="I66" s="646"/>
      <c r="J66" s="646"/>
      <c r="K66" s="186">
        <v>45689</v>
      </c>
      <c r="L66" s="184" t="s">
        <v>592</v>
      </c>
      <c r="M66" s="184"/>
      <c r="N66" s="622"/>
      <c r="O66" s="622"/>
      <c r="P66" s="622"/>
    </row>
    <row r="67" spans="1:16" s="153" customFormat="1" ht="33" customHeight="1">
      <c r="A67" s="184">
        <f t="shared" ref="A67:A127" si="1">A66+1</f>
        <v>55</v>
      </c>
      <c r="B67" s="185" t="s">
        <v>605</v>
      </c>
      <c r="C67" s="184" t="s">
        <v>606</v>
      </c>
      <c r="D67" s="184" t="s">
        <v>240</v>
      </c>
      <c r="E67" s="186">
        <v>45685</v>
      </c>
      <c r="F67" s="187">
        <v>27.5</v>
      </c>
      <c r="G67" s="645" t="s">
        <v>404</v>
      </c>
      <c r="H67" s="646"/>
      <c r="I67" s="646"/>
      <c r="J67" s="646"/>
      <c r="K67" s="186">
        <v>45707</v>
      </c>
      <c r="L67" s="184" t="s">
        <v>611</v>
      </c>
      <c r="M67" s="184"/>
      <c r="N67" s="622"/>
      <c r="O67" s="622"/>
      <c r="P67" s="622"/>
    </row>
    <row r="68" spans="1:16" s="153" customFormat="1" ht="33" customHeight="1">
      <c r="A68" s="184">
        <f t="shared" si="1"/>
        <v>56</v>
      </c>
      <c r="B68" s="185" t="s">
        <v>608</v>
      </c>
      <c r="C68" s="184" t="s">
        <v>607</v>
      </c>
      <c r="D68" s="184" t="s">
        <v>240</v>
      </c>
      <c r="E68" s="186">
        <v>45687</v>
      </c>
      <c r="F68" s="187">
        <v>27.5</v>
      </c>
      <c r="G68" s="645" t="s">
        <v>404</v>
      </c>
      <c r="H68" s="646"/>
      <c r="I68" s="646"/>
      <c r="J68" s="646"/>
      <c r="K68" s="186">
        <v>45708</v>
      </c>
      <c r="L68" s="184" t="s">
        <v>564</v>
      </c>
      <c r="M68" s="184"/>
      <c r="N68" s="622"/>
      <c r="O68" s="622"/>
      <c r="P68" s="622"/>
    </row>
    <row r="69" spans="1:16" s="153" customFormat="1" ht="33" customHeight="1">
      <c r="A69" s="184">
        <f t="shared" si="1"/>
        <v>57</v>
      </c>
      <c r="B69" s="185" t="s">
        <v>609</v>
      </c>
      <c r="C69" s="184" t="s">
        <v>610</v>
      </c>
      <c r="D69" s="184" t="s">
        <v>240</v>
      </c>
      <c r="E69" s="186">
        <v>45688</v>
      </c>
      <c r="F69" s="187">
        <v>28.1</v>
      </c>
      <c r="G69" s="645" t="s">
        <v>404</v>
      </c>
      <c r="H69" s="646"/>
      <c r="I69" s="646"/>
      <c r="J69" s="646"/>
      <c r="K69" s="186">
        <v>45704</v>
      </c>
      <c r="L69" s="184" t="s">
        <v>592</v>
      </c>
      <c r="M69" s="184"/>
      <c r="N69" s="622"/>
      <c r="O69" s="622"/>
      <c r="P69" s="622"/>
    </row>
    <row r="70" spans="1:16" s="153" customFormat="1" ht="33" customHeight="1">
      <c r="A70" s="184">
        <f t="shared" si="1"/>
        <v>58</v>
      </c>
      <c r="B70" s="185" t="s">
        <v>181</v>
      </c>
      <c r="C70" s="184" t="s">
        <v>447</v>
      </c>
      <c r="D70" s="184" t="s">
        <v>240</v>
      </c>
      <c r="E70" s="186">
        <v>45700</v>
      </c>
      <c r="F70" s="187">
        <v>11.73</v>
      </c>
      <c r="G70" s="645" t="s">
        <v>404</v>
      </c>
      <c r="H70" s="646"/>
      <c r="I70" s="646"/>
      <c r="J70" s="646"/>
      <c r="K70" s="186">
        <v>45712</v>
      </c>
      <c r="L70" s="184" t="s">
        <v>611</v>
      </c>
      <c r="M70" s="184"/>
      <c r="N70" s="622"/>
      <c r="O70" s="622"/>
      <c r="P70" s="622"/>
    </row>
    <row r="71" spans="1:16" s="153" customFormat="1" ht="33" customHeight="1">
      <c r="A71" s="184">
        <f t="shared" si="1"/>
        <v>59</v>
      </c>
      <c r="B71" s="185" t="s">
        <v>530</v>
      </c>
      <c r="C71" s="184" t="s">
        <v>602</v>
      </c>
      <c r="D71" s="184" t="s">
        <v>240</v>
      </c>
      <c r="E71" s="186">
        <v>45703</v>
      </c>
      <c r="F71" s="187">
        <v>27.5</v>
      </c>
      <c r="G71" s="645" t="s">
        <v>404</v>
      </c>
      <c r="H71" s="646"/>
      <c r="I71" s="646"/>
      <c r="J71" s="646"/>
      <c r="K71" s="186">
        <v>45717</v>
      </c>
      <c r="L71" s="184" t="s">
        <v>592</v>
      </c>
      <c r="M71" s="184"/>
      <c r="N71" s="622"/>
      <c r="O71" s="622"/>
      <c r="P71" s="622"/>
    </row>
    <row r="72" spans="1:16" s="32" customFormat="1" ht="33" customHeight="1">
      <c r="A72" s="184">
        <f t="shared" si="1"/>
        <v>60</v>
      </c>
      <c r="B72" s="185" t="s">
        <v>20</v>
      </c>
      <c r="C72" s="184" t="s">
        <v>447</v>
      </c>
      <c r="D72" s="184" t="s">
        <v>240</v>
      </c>
      <c r="E72" s="186">
        <v>45703</v>
      </c>
      <c r="F72" s="187">
        <v>11.73</v>
      </c>
      <c r="G72" s="645" t="s">
        <v>404</v>
      </c>
      <c r="H72" s="646"/>
      <c r="I72" s="646"/>
      <c r="J72" s="646"/>
      <c r="K72" s="186">
        <v>45718</v>
      </c>
      <c r="L72" s="184" t="s">
        <v>564</v>
      </c>
      <c r="M72" s="184"/>
      <c r="N72" s="622"/>
      <c r="O72" s="622"/>
      <c r="P72" s="622"/>
    </row>
    <row r="73" spans="1:16" s="153" customFormat="1" ht="33" customHeight="1">
      <c r="A73" s="184">
        <f t="shared" si="1"/>
        <v>61</v>
      </c>
      <c r="B73" s="185" t="s">
        <v>617</v>
      </c>
      <c r="C73" s="184" t="s">
        <v>654</v>
      </c>
      <c r="D73" s="184" t="s">
        <v>240</v>
      </c>
      <c r="E73" s="186">
        <v>45711</v>
      </c>
      <c r="F73" s="187">
        <v>28.1</v>
      </c>
      <c r="G73" s="645" t="s">
        <v>404</v>
      </c>
      <c r="H73" s="646"/>
      <c r="I73" s="646"/>
      <c r="J73" s="646"/>
      <c r="K73" s="186">
        <v>45721</v>
      </c>
      <c r="L73" s="184" t="s">
        <v>611</v>
      </c>
      <c r="M73" s="184"/>
      <c r="N73" s="622"/>
      <c r="O73" s="622"/>
      <c r="P73" s="622"/>
    </row>
    <row r="74" spans="1:16" s="153" customFormat="1" ht="33" customHeight="1">
      <c r="A74" s="184">
        <f t="shared" si="1"/>
        <v>62</v>
      </c>
      <c r="B74" s="185" t="s">
        <v>143</v>
      </c>
      <c r="C74" s="184" t="s">
        <v>456</v>
      </c>
      <c r="D74" s="184" t="s">
        <v>240</v>
      </c>
      <c r="E74" s="186">
        <v>45712</v>
      </c>
      <c r="F74" s="187">
        <v>11.73</v>
      </c>
      <c r="G74" s="645" t="s">
        <v>404</v>
      </c>
      <c r="H74" s="646"/>
      <c r="I74" s="646"/>
      <c r="J74" s="646"/>
      <c r="K74" s="186">
        <v>45740</v>
      </c>
      <c r="L74" s="184" t="s">
        <v>564</v>
      </c>
      <c r="M74" s="184"/>
      <c r="N74" s="655"/>
      <c r="O74" s="655"/>
      <c r="P74" s="655"/>
    </row>
    <row r="75" spans="1:16" s="153" customFormat="1" ht="33" customHeight="1">
      <c r="A75" s="184">
        <f t="shared" si="1"/>
        <v>63</v>
      </c>
      <c r="B75" s="185" t="s">
        <v>655</v>
      </c>
      <c r="C75" s="184" t="s">
        <v>656</v>
      </c>
      <c r="D75" s="184" t="s">
        <v>240</v>
      </c>
      <c r="E75" s="186">
        <v>45715</v>
      </c>
      <c r="F75" s="187">
        <v>32.22</v>
      </c>
      <c r="G75" s="645" t="s">
        <v>404</v>
      </c>
      <c r="H75" s="646"/>
      <c r="I75" s="646"/>
      <c r="J75" s="646"/>
      <c r="K75" s="186">
        <v>45788</v>
      </c>
      <c r="L75" s="184" t="s">
        <v>680</v>
      </c>
      <c r="M75" s="184"/>
      <c r="N75" s="655"/>
      <c r="O75" s="655"/>
      <c r="P75" s="655"/>
    </row>
    <row r="76" spans="1:16" s="153" customFormat="1" ht="33" customHeight="1">
      <c r="A76" s="184">
        <f t="shared" si="1"/>
        <v>64</v>
      </c>
      <c r="B76" s="185" t="s">
        <v>573</v>
      </c>
      <c r="C76" s="184" t="s">
        <v>403</v>
      </c>
      <c r="D76" s="184" t="s">
        <v>240</v>
      </c>
      <c r="E76" s="186">
        <v>45717</v>
      </c>
      <c r="F76" s="187">
        <v>11.42</v>
      </c>
      <c r="G76" s="645" t="s">
        <v>404</v>
      </c>
      <c r="H76" s="646"/>
      <c r="I76" s="646"/>
      <c r="J76" s="646"/>
      <c r="K76" s="186">
        <v>45726</v>
      </c>
      <c r="L76" s="184" t="s">
        <v>611</v>
      </c>
      <c r="M76" s="184"/>
      <c r="N76" s="622"/>
      <c r="O76" s="622"/>
      <c r="P76" s="622"/>
    </row>
    <row r="77" spans="1:16" s="153" customFormat="1" ht="33" customHeight="1">
      <c r="A77" s="184">
        <f t="shared" si="1"/>
        <v>65</v>
      </c>
      <c r="B77" s="185" t="s">
        <v>21</v>
      </c>
      <c r="C77" s="184" t="s">
        <v>403</v>
      </c>
      <c r="D77" s="184" t="s">
        <v>240</v>
      </c>
      <c r="E77" s="186">
        <v>45717</v>
      </c>
      <c r="F77" s="187">
        <v>11.42</v>
      </c>
      <c r="G77" s="645" t="s">
        <v>404</v>
      </c>
      <c r="H77" s="646"/>
      <c r="I77" s="646"/>
      <c r="J77" s="646"/>
      <c r="K77" s="186">
        <v>45728</v>
      </c>
      <c r="L77" s="184" t="s">
        <v>564</v>
      </c>
      <c r="M77" s="184"/>
      <c r="N77" s="622"/>
      <c r="O77" s="622"/>
      <c r="P77" s="622"/>
    </row>
    <row r="78" spans="1:16" s="153" customFormat="1" ht="33" customHeight="1">
      <c r="A78" s="184">
        <f t="shared" si="1"/>
        <v>66</v>
      </c>
      <c r="B78" s="185" t="s">
        <v>627</v>
      </c>
      <c r="C78" s="184" t="s">
        <v>403</v>
      </c>
      <c r="D78" s="184" t="s">
        <v>240</v>
      </c>
      <c r="E78" s="186">
        <v>45726</v>
      </c>
      <c r="F78" s="187">
        <v>11.42</v>
      </c>
      <c r="G78" s="645" t="s">
        <v>404</v>
      </c>
      <c r="H78" s="646"/>
      <c r="I78" s="646"/>
      <c r="J78" s="646"/>
      <c r="K78" s="186">
        <v>45751</v>
      </c>
      <c r="L78" s="184" t="s">
        <v>678</v>
      </c>
      <c r="M78" s="184"/>
      <c r="N78" s="655"/>
      <c r="O78" s="655"/>
      <c r="P78" s="655"/>
    </row>
    <row r="79" spans="1:16" s="153" customFormat="1" ht="33" customHeight="1">
      <c r="A79" s="184">
        <f t="shared" si="1"/>
        <v>67</v>
      </c>
      <c r="B79" s="185" t="s">
        <v>169</v>
      </c>
      <c r="C79" s="184" t="s">
        <v>447</v>
      </c>
      <c r="D79" s="184" t="s">
        <v>240</v>
      </c>
      <c r="E79" s="186">
        <v>45729</v>
      </c>
      <c r="F79" s="187">
        <v>11.73</v>
      </c>
      <c r="G79" s="645" t="s">
        <v>404</v>
      </c>
      <c r="H79" s="646"/>
      <c r="I79" s="646"/>
      <c r="J79" s="646"/>
      <c r="K79" s="186">
        <v>45735</v>
      </c>
      <c r="L79" s="184" t="s">
        <v>611</v>
      </c>
      <c r="M79" s="184"/>
      <c r="N79" s="655"/>
      <c r="O79" s="655"/>
      <c r="P79" s="655"/>
    </row>
    <row r="80" spans="1:16" s="153" customFormat="1" ht="33" customHeight="1">
      <c r="A80" s="184">
        <f t="shared" si="1"/>
        <v>68</v>
      </c>
      <c r="B80" s="185" t="s">
        <v>175</v>
      </c>
      <c r="C80" s="184" t="s">
        <v>451</v>
      </c>
      <c r="D80" s="184" t="s">
        <v>240</v>
      </c>
      <c r="E80" s="186">
        <v>45729</v>
      </c>
      <c r="F80" s="187">
        <v>11.42</v>
      </c>
      <c r="G80" s="645" t="s">
        <v>404</v>
      </c>
      <c r="H80" s="646"/>
      <c r="I80" s="646"/>
      <c r="J80" s="646"/>
      <c r="K80" s="186">
        <v>45740</v>
      </c>
      <c r="L80" s="184" t="s">
        <v>611</v>
      </c>
      <c r="M80" s="184"/>
      <c r="N80" s="655"/>
      <c r="O80" s="655"/>
      <c r="P80" s="655"/>
    </row>
    <row r="81" spans="1:16" s="153" customFormat="1" ht="33" customHeight="1">
      <c r="A81" s="184">
        <f t="shared" si="1"/>
        <v>69</v>
      </c>
      <c r="B81" s="185" t="s">
        <v>574</v>
      </c>
      <c r="C81" s="184" t="s">
        <v>676</v>
      </c>
      <c r="D81" s="184" t="s">
        <v>240</v>
      </c>
      <c r="E81" s="186">
        <v>45736</v>
      </c>
      <c r="F81" s="187">
        <v>28.1</v>
      </c>
      <c r="G81" s="645" t="s">
        <v>404</v>
      </c>
      <c r="H81" s="646"/>
      <c r="I81" s="646"/>
      <c r="J81" s="646"/>
      <c r="K81" s="186">
        <v>45751</v>
      </c>
      <c r="L81" s="184" t="s">
        <v>611</v>
      </c>
      <c r="M81" s="186"/>
      <c r="N81" s="655"/>
      <c r="O81" s="655"/>
      <c r="P81" s="655"/>
    </row>
    <row r="82" spans="1:16" s="153" customFormat="1" ht="33" customHeight="1">
      <c r="A82" s="184">
        <f t="shared" si="1"/>
        <v>70</v>
      </c>
      <c r="B82" s="185" t="s">
        <v>174</v>
      </c>
      <c r="C82" s="184" t="s">
        <v>451</v>
      </c>
      <c r="D82" s="184" t="s">
        <v>685</v>
      </c>
      <c r="E82" s="186">
        <v>45744</v>
      </c>
      <c r="F82" s="187">
        <v>11.42</v>
      </c>
      <c r="G82" s="645" t="s">
        <v>404</v>
      </c>
      <c r="H82" s="646"/>
      <c r="I82" s="646"/>
      <c r="J82" s="646"/>
      <c r="K82" s="186">
        <v>45758</v>
      </c>
      <c r="L82" s="184" t="s">
        <v>611</v>
      </c>
      <c r="M82" s="184"/>
      <c r="N82" s="655"/>
      <c r="O82" s="655"/>
      <c r="P82" s="655"/>
    </row>
    <row r="83" spans="1:16" s="153" customFormat="1" ht="33" customHeight="1">
      <c r="A83" s="184">
        <f t="shared" si="1"/>
        <v>71</v>
      </c>
      <c r="B83" s="185" t="s">
        <v>166</v>
      </c>
      <c r="C83" s="184" t="s">
        <v>681</v>
      </c>
      <c r="D83" s="184" t="s">
        <v>240</v>
      </c>
      <c r="E83" s="186">
        <v>45749</v>
      </c>
      <c r="F83" s="187">
        <v>11.42</v>
      </c>
      <c r="G83" s="645" t="s">
        <v>404</v>
      </c>
      <c r="H83" s="646"/>
      <c r="I83" s="646"/>
      <c r="J83" s="646"/>
      <c r="K83" s="186">
        <v>45782</v>
      </c>
      <c r="L83" s="184" t="s">
        <v>678</v>
      </c>
      <c r="M83" s="184"/>
      <c r="N83" s="655"/>
      <c r="O83" s="655"/>
      <c r="P83" s="655"/>
    </row>
    <row r="84" spans="1:16" s="153" customFormat="1" ht="33" customHeight="1">
      <c r="A84" s="184">
        <f t="shared" si="1"/>
        <v>72</v>
      </c>
      <c r="B84" s="185" t="s">
        <v>679</v>
      </c>
      <c r="C84" s="184" t="s">
        <v>479</v>
      </c>
      <c r="D84" s="184" t="s">
        <v>240</v>
      </c>
      <c r="E84" s="186">
        <v>45755</v>
      </c>
      <c r="F84" s="187">
        <v>32.22</v>
      </c>
      <c r="G84" s="645" t="s">
        <v>404</v>
      </c>
      <c r="H84" s="646"/>
      <c r="I84" s="646"/>
      <c r="J84" s="646"/>
      <c r="K84" s="186">
        <v>45778</v>
      </c>
      <c r="L84" s="184" t="s">
        <v>611</v>
      </c>
      <c r="M84" s="184"/>
      <c r="N84" s="658"/>
      <c r="O84" s="658"/>
      <c r="P84" s="658"/>
    </row>
    <row r="85" spans="1:16" s="153" customFormat="1" ht="33" customHeight="1">
      <c r="A85" s="184">
        <f t="shared" si="1"/>
        <v>73</v>
      </c>
      <c r="B85" s="185" t="s">
        <v>571</v>
      </c>
      <c r="C85" s="184" t="s">
        <v>403</v>
      </c>
      <c r="D85" s="184" t="s">
        <v>240</v>
      </c>
      <c r="E85" s="186">
        <v>45758</v>
      </c>
      <c r="F85" s="187">
        <v>11.42</v>
      </c>
      <c r="G85" s="645" t="s">
        <v>404</v>
      </c>
      <c r="H85" s="646"/>
      <c r="I85" s="646"/>
      <c r="J85" s="646"/>
      <c r="K85" s="186">
        <v>45765</v>
      </c>
      <c r="L85" s="184" t="s">
        <v>611</v>
      </c>
      <c r="M85" s="184"/>
      <c r="N85" s="655"/>
      <c r="O85" s="655"/>
      <c r="P85" s="655"/>
    </row>
    <row r="86" spans="1:16" s="153" customFormat="1" ht="33" customHeight="1">
      <c r="A86" s="184">
        <f t="shared" si="1"/>
        <v>74</v>
      </c>
      <c r="B86" s="185" t="s">
        <v>155</v>
      </c>
      <c r="C86" s="184" t="s">
        <v>682</v>
      </c>
      <c r="D86" s="184" t="s">
        <v>240</v>
      </c>
      <c r="E86" s="186">
        <v>45760</v>
      </c>
      <c r="F86" s="187">
        <v>11.73</v>
      </c>
      <c r="G86" s="645" t="s">
        <v>404</v>
      </c>
      <c r="H86" s="646"/>
      <c r="I86" s="646"/>
      <c r="J86" s="646"/>
      <c r="K86" s="186">
        <v>45800</v>
      </c>
      <c r="L86" s="184" t="s">
        <v>678</v>
      </c>
      <c r="M86" s="468"/>
      <c r="N86" s="655"/>
      <c r="O86" s="655"/>
      <c r="P86" s="655"/>
    </row>
    <row r="87" spans="1:16" s="153" customFormat="1" ht="33" customHeight="1">
      <c r="A87" s="184">
        <f t="shared" si="1"/>
        <v>75</v>
      </c>
      <c r="B87" s="185" t="s">
        <v>165</v>
      </c>
      <c r="C87" s="184" t="s">
        <v>681</v>
      </c>
      <c r="D87" s="184" t="s">
        <v>240</v>
      </c>
      <c r="E87" s="186">
        <v>45762</v>
      </c>
      <c r="F87" s="187">
        <v>11.42</v>
      </c>
      <c r="G87" s="645" t="s">
        <v>404</v>
      </c>
      <c r="H87" s="646"/>
      <c r="I87" s="646"/>
      <c r="J87" s="646"/>
      <c r="K87" s="186">
        <v>45792</v>
      </c>
      <c r="L87" s="184" t="s">
        <v>678</v>
      </c>
      <c r="M87" s="184"/>
      <c r="N87" s="655"/>
      <c r="O87" s="655"/>
      <c r="P87" s="655"/>
    </row>
    <row r="88" spans="1:16" s="153" customFormat="1" ht="33" customHeight="1">
      <c r="A88" s="184">
        <f t="shared" si="1"/>
        <v>76</v>
      </c>
      <c r="B88" s="185" t="s">
        <v>152</v>
      </c>
      <c r="C88" s="184" t="s">
        <v>681</v>
      </c>
      <c r="D88" s="184" t="s">
        <v>240</v>
      </c>
      <c r="E88" s="186">
        <v>45763</v>
      </c>
      <c r="F88" s="187">
        <v>11.42</v>
      </c>
      <c r="G88" s="645" t="s">
        <v>404</v>
      </c>
      <c r="H88" s="646"/>
      <c r="I88" s="646"/>
      <c r="J88" s="646"/>
      <c r="K88" s="186">
        <v>45796</v>
      </c>
      <c r="L88" s="184" t="s">
        <v>678</v>
      </c>
      <c r="M88" s="184"/>
      <c r="N88" s="656"/>
      <c r="O88" s="657"/>
      <c r="P88" s="657"/>
    </row>
    <row r="89" spans="1:16" s="153" customFormat="1" ht="33" customHeight="1">
      <c r="A89" s="184">
        <f t="shared" si="1"/>
        <v>77</v>
      </c>
      <c r="B89" s="185" t="s">
        <v>569</v>
      </c>
      <c r="C89" s="184" t="s">
        <v>676</v>
      </c>
      <c r="D89" s="184" t="s">
        <v>240</v>
      </c>
      <c r="E89" s="186">
        <v>45764</v>
      </c>
      <c r="F89" s="187">
        <v>11.42</v>
      </c>
      <c r="G89" s="645" t="s">
        <v>404</v>
      </c>
      <c r="H89" s="646"/>
      <c r="I89" s="646"/>
      <c r="J89" s="646"/>
      <c r="K89" s="186">
        <v>45772</v>
      </c>
      <c r="L89" s="184" t="s">
        <v>611</v>
      </c>
      <c r="M89" s="184"/>
      <c r="N89" s="656"/>
      <c r="O89" s="657"/>
      <c r="P89" s="657"/>
    </row>
    <row r="90" spans="1:16" s="153" customFormat="1" ht="33" customHeight="1">
      <c r="A90" s="184">
        <f t="shared" si="1"/>
        <v>78</v>
      </c>
      <c r="B90" s="185" t="s">
        <v>567</v>
      </c>
      <c r="C90" s="184" t="s">
        <v>686</v>
      </c>
      <c r="D90" s="184" t="s">
        <v>240</v>
      </c>
      <c r="E90" s="186">
        <v>45779</v>
      </c>
      <c r="F90" s="187">
        <v>72.2</v>
      </c>
      <c r="G90" s="645" t="s">
        <v>404</v>
      </c>
      <c r="H90" s="646"/>
      <c r="I90" s="646"/>
      <c r="J90" s="646"/>
      <c r="K90" s="186">
        <v>45791</v>
      </c>
      <c r="L90" s="184" t="s">
        <v>611</v>
      </c>
      <c r="M90" s="184"/>
      <c r="N90" s="656"/>
      <c r="O90" s="657"/>
      <c r="P90" s="657"/>
    </row>
    <row r="91" spans="1:16" s="153" customFormat="1" ht="33" customHeight="1">
      <c r="A91" s="184">
        <f t="shared" si="1"/>
        <v>79</v>
      </c>
      <c r="B91" s="185" t="s">
        <v>688</v>
      </c>
      <c r="C91" s="184" t="s">
        <v>676</v>
      </c>
      <c r="D91" s="184" t="s">
        <v>240</v>
      </c>
      <c r="E91" s="186">
        <v>45787</v>
      </c>
      <c r="F91" s="187">
        <v>28.1</v>
      </c>
      <c r="G91" s="645" t="s">
        <v>404</v>
      </c>
      <c r="H91" s="646"/>
      <c r="I91" s="646"/>
      <c r="J91" s="646"/>
      <c r="K91" s="186">
        <v>45803</v>
      </c>
      <c r="L91" s="184" t="s">
        <v>680</v>
      </c>
      <c r="M91" s="184"/>
      <c r="N91" s="656"/>
      <c r="O91" s="657"/>
      <c r="P91" s="657"/>
    </row>
    <row r="92" spans="1:16" s="153" customFormat="1" ht="33" customHeight="1">
      <c r="A92" s="184">
        <f t="shared" si="1"/>
        <v>80</v>
      </c>
      <c r="B92" s="185" t="s">
        <v>8</v>
      </c>
      <c r="C92" s="184" t="s">
        <v>455</v>
      </c>
      <c r="D92" s="184" t="s">
        <v>240</v>
      </c>
      <c r="E92" s="186">
        <v>45788</v>
      </c>
      <c r="F92" s="187">
        <v>11.73</v>
      </c>
      <c r="G92" s="645" t="s">
        <v>404</v>
      </c>
      <c r="H92" s="646"/>
      <c r="I92" s="646"/>
      <c r="J92" s="646"/>
      <c r="K92" s="186">
        <v>45800</v>
      </c>
      <c r="L92" s="184" t="s">
        <v>611</v>
      </c>
      <c r="M92" s="184"/>
      <c r="N92" s="656"/>
      <c r="O92" s="657"/>
      <c r="P92" s="657"/>
    </row>
    <row r="93" spans="1:16" s="153" customFormat="1" ht="33" customHeight="1">
      <c r="A93" s="184">
        <f t="shared" si="1"/>
        <v>81</v>
      </c>
      <c r="B93" s="185" t="s">
        <v>131</v>
      </c>
      <c r="C93" s="184" t="s">
        <v>690</v>
      </c>
      <c r="D93" s="184" t="s">
        <v>240</v>
      </c>
      <c r="E93" s="186">
        <v>45788</v>
      </c>
      <c r="F93" s="187">
        <v>11.73</v>
      </c>
      <c r="G93" s="645" t="s">
        <v>404</v>
      </c>
      <c r="H93" s="646"/>
      <c r="I93" s="646"/>
      <c r="J93" s="646"/>
      <c r="K93" s="186">
        <v>45811</v>
      </c>
      <c r="L93" s="184" t="s">
        <v>680</v>
      </c>
      <c r="M93" s="184"/>
      <c r="N93" s="655"/>
      <c r="O93" s="655"/>
      <c r="P93" s="655"/>
    </row>
    <row r="94" spans="1:16" s="153" customFormat="1" ht="33" customHeight="1">
      <c r="A94" s="184">
        <f t="shared" si="1"/>
        <v>82</v>
      </c>
      <c r="B94" s="185" t="s">
        <v>40</v>
      </c>
      <c r="C94" s="184" t="s">
        <v>447</v>
      </c>
      <c r="D94" s="184" t="s">
        <v>240</v>
      </c>
      <c r="E94" s="186">
        <v>45791</v>
      </c>
      <c r="F94" s="187">
        <v>11.73</v>
      </c>
      <c r="G94" s="645" t="s">
        <v>404</v>
      </c>
      <c r="H94" s="646"/>
      <c r="I94" s="646"/>
      <c r="J94" s="646"/>
      <c r="K94" s="186">
        <v>45801</v>
      </c>
      <c r="L94" s="184" t="s">
        <v>611</v>
      </c>
      <c r="M94" s="184"/>
      <c r="N94" s="656"/>
      <c r="O94" s="657"/>
      <c r="P94" s="657"/>
    </row>
    <row r="95" spans="1:16" s="153" customFormat="1" ht="33" customHeight="1">
      <c r="A95" s="184">
        <f t="shared" si="1"/>
        <v>83</v>
      </c>
      <c r="B95" s="185" t="s">
        <v>132</v>
      </c>
      <c r="C95" s="184" t="s">
        <v>690</v>
      </c>
      <c r="D95" s="184" t="s">
        <v>240</v>
      </c>
      <c r="E95" s="186">
        <v>45803</v>
      </c>
      <c r="F95" s="187">
        <v>11.73</v>
      </c>
      <c r="G95" s="645" t="s">
        <v>404</v>
      </c>
      <c r="H95" s="646"/>
      <c r="I95" s="646"/>
      <c r="J95" s="646"/>
      <c r="K95" s="186">
        <v>45817</v>
      </c>
      <c r="L95" s="184" t="s">
        <v>680</v>
      </c>
      <c r="M95" s="184"/>
      <c r="N95" s="655"/>
      <c r="O95" s="655"/>
      <c r="P95" s="655"/>
    </row>
    <row r="96" spans="1:16" s="153" customFormat="1" ht="33" customHeight="1">
      <c r="A96" s="184">
        <f t="shared" si="1"/>
        <v>84</v>
      </c>
      <c r="B96" s="185" t="s">
        <v>150</v>
      </c>
      <c r="C96" s="184" t="s">
        <v>690</v>
      </c>
      <c r="D96" s="184" t="s">
        <v>240</v>
      </c>
      <c r="E96" s="186">
        <v>45802</v>
      </c>
      <c r="F96" s="187">
        <v>11.73</v>
      </c>
      <c r="G96" s="645" t="s">
        <v>404</v>
      </c>
      <c r="H96" s="646"/>
      <c r="I96" s="646"/>
      <c r="J96" s="646"/>
      <c r="K96" s="186">
        <v>45809</v>
      </c>
      <c r="L96" s="184" t="s">
        <v>678</v>
      </c>
      <c r="M96" s="184"/>
      <c r="N96" s="655"/>
      <c r="O96" s="655"/>
      <c r="P96" s="655"/>
    </row>
    <row r="97" spans="1:16" s="153" customFormat="1" ht="33" customHeight="1">
      <c r="A97" s="184">
        <f t="shared" si="1"/>
        <v>85</v>
      </c>
      <c r="B97" s="185" t="s">
        <v>135</v>
      </c>
      <c r="C97" s="184" t="s">
        <v>681</v>
      </c>
      <c r="D97" s="184" t="s">
        <v>240</v>
      </c>
      <c r="E97" s="186">
        <v>45810</v>
      </c>
      <c r="F97" s="187">
        <v>11.42</v>
      </c>
      <c r="G97" s="645" t="s">
        <v>404</v>
      </c>
      <c r="H97" s="646"/>
      <c r="I97" s="646"/>
      <c r="J97" s="646"/>
      <c r="K97" s="186">
        <v>45819</v>
      </c>
      <c r="L97" s="184" t="s">
        <v>678</v>
      </c>
      <c r="M97" s="184"/>
      <c r="N97" s="462"/>
      <c r="O97" s="462"/>
      <c r="P97" s="462"/>
    </row>
    <row r="98" spans="1:16" s="153" customFormat="1" ht="33" customHeight="1">
      <c r="A98" s="184">
        <f t="shared" si="1"/>
        <v>86</v>
      </c>
      <c r="B98" s="185" t="s">
        <v>692</v>
      </c>
      <c r="C98" s="184" t="s">
        <v>117</v>
      </c>
      <c r="D98" s="184" t="s">
        <v>240</v>
      </c>
      <c r="E98" s="186">
        <v>45810</v>
      </c>
      <c r="F98" s="187">
        <v>49.3</v>
      </c>
      <c r="G98" s="645" t="s">
        <v>404</v>
      </c>
      <c r="H98" s="646"/>
      <c r="I98" s="646"/>
      <c r="J98" s="646"/>
      <c r="K98" s="186">
        <v>45824</v>
      </c>
      <c r="L98" s="184" t="s">
        <v>611</v>
      </c>
      <c r="M98" s="184"/>
      <c r="N98" s="462"/>
      <c r="O98" s="462"/>
      <c r="P98" s="462"/>
    </row>
    <row r="99" spans="1:16" s="153" customFormat="1" ht="33" customHeight="1">
      <c r="A99" s="184">
        <f t="shared" si="1"/>
        <v>87</v>
      </c>
      <c r="B99" s="185" t="s">
        <v>139</v>
      </c>
      <c r="C99" s="184" t="s">
        <v>456</v>
      </c>
      <c r="D99" s="184" t="s">
        <v>240</v>
      </c>
      <c r="E99" s="186">
        <v>45810</v>
      </c>
      <c r="F99" s="187">
        <v>11.73</v>
      </c>
      <c r="G99" s="645" t="s">
        <v>404</v>
      </c>
      <c r="H99" s="646"/>
      <c r="I99" s="646"/>
      <c r="J99" s="646"/>
      <c r="K99" s="186">
        <v>45828</v>
      </c>
      <c r="L99" s="184" t="s">
        <v>678</v>
      </c>
      <c r="M99" s="184"/>
      <c r="N99" s="462"/>
      <c r="O99" s="462"/>
      <c r="P99" s="462"/>
    </row>
    <row r="100" spans="1:16" s="153" customFormat="1" ht="33" customHeight="1">
      <c r="A100" s="184">
        <f t="shared" si="1"/>
        <v>88</v>
      </c>
      <c r="B100" s="185" t="s">
        <v>140</v>
      </c>
      <c r="C100" s="184" t="s">
        <v>456</v>
      </c>
      <c r="D100" s="184" t="s">
        <v>240</v>
      </c>
      <c r="E100" s="186">
        <v>45811</v>
      </c>
      <c r="F100" s="187">
        <v>11.73</v>
      </c>
      <c r="G100" s="645" t="s">
        <v>404</v>
      </c>
      <c r="H100" s="646"/>
      <c r="I100" s="646"/>
      <c r="J100" s="646"/>
      <c r="K100" s="186">
        <v>45818</v>
      </c>
      <c r="L100" s="184" t="s">
        <v>693</v>
      </c>
      <c r="M100" s="184"/>
      <c r="N100" s="462"/>
      <c r="O100" s="462"/>
      <c r="P100" s="462"/>
    </row>
    <row r="101" spans="1:16" s="153" customFormat="1" ht="33" customHeight="1">
      <c r="A101" s="184">
        <f t="shared" si="1"/>
        <v>89</v>
      </c>
      <c r="B101" s="185" t="s">
        <v>119</v>
      </c>
      <c r="C101" s="184" t="s">
        <v>682</v>
      </c>
      <c r="D101" s="184" t="s">
        <v>240</v>
      </c>
      <c r="E101" s="186">
        <v>45814</v>
      </c>
      <c r="F101" s="187">
        <v>11.73</v>
      </c>
      <c r="G101" s="645" t="s">
        <v>404</v>
      </c>
      <c r="H101" s="646"/>
      <c r="I101" s="646"/>
      <c r="J101" s="646"/>
      <c r="K101" s="186">
        <v>45829</v>
      </c>
      <c r="L101" s="184" t="s">
        <v>695</v>
      </c>
      <c r="M101" s="184"/>
      <c r="N101" s="462"/>
      <c r="O101" s="462"/>
      <c r="P101" s="462"/>
    </row>
    <row r="102" spans="1:16" s="153" customFormat="1" ht="33" customHeight="1">
      <c r="A102" s="184">
        <f t="shared" si="1"/>
        <v>90</v>
      </c>
      <c r="B102" s="185" t="s">
        <v>19</v>
      </c>
      <c r="C102" s="184" t="s">
        <v>694</v>
      </c>
      <c r="D102" s="184" t="s">
        <v>240</v>
      </c>
      <c r="E102" s="186">
        <v>45817</v>
      </c>
      <c r="F102" s="187">
        <v>34</v>
      </c>
      <c r="G102" s="645" t="s">
        <v>404</v>
      </c>
      <c r="H102" s="646"/>
      <c r="I102" s="646"/>
      <c r="J102" s="646"/>
      <c r="K102" s="186">
        <v>45828</v>
      </c>
      <c r="L102" s="184" t="s">
        <v>680</v>
      </c>
      <c r="M102" s="184"/>
      <c r="N102" s="462"/>
      <c r="O102" s="462"/>
      <c r="P102" s="462"/>
    </row>
    <row r="103" spans="1:16" s="153" customFormat="1" ht="33" customHeight="1">
      <c r="A103" s="184">
        <f t="shared" si="1"/>
        <v>91</v>
      </c>
      <c r="B103" s="185" t="s">
        <v>121</v>
      </c>
      <c r="C103" s="184" t="s">
        <v>690</v>
      </c>
      <c r="D103" s="184" t="s">
        <v>240</v>
      </c>
      <c r="E103" s="186">
        <v>45818</v>
      </c>
      <c r="F103" s="187">
        <v>11.73</v>
      </c>
      <c r="G103" s="645" t="s">
        <v>404</v>
      </c>
      <c r="H103" s="646"/>
      <c r="I103" s="646"/>
      <c r="J103" s="646"/>
      <c r="K103" s="186">
        <v>45840</v>
      </c>
      <c r="L103" s="184" t="s">
        <v>710</v>
      </c>
      <c r="M103" s="184"/>
      <c r="N103" s="462"/>
      <c r="O103" s="462"/>
      <c r="P103" s="462"/>
    </row>
    <row r="104" spans="1:16" s="153" customFormat="1" ht="33" customHeight="1">
      <c r="A104" s="184">
        <f t="shared" si="1"/>
        <v>92</v>
      </c>
      <c r="B104" s="185" t="s">
        <v>120</v>
      </c>
      <c r="C104" s="184" t="s">
        <v>682</v>
      </c>
      <c r="D104" s="184" t="s">
        <v>240</v>
      </c>
      <c r="E104" s="186">
        <v>45820</v>
      </c>
      <c r="F104" s="187">
        <v>11.73</v>
      </c>
      <c r="G104" s="645" t="s">
        <v>404</v>
      </c>
      <c r="H104" s="646"/>
      <c r="I104" s="646"/>
      <c r="J104" s="646"/>
      <c r="K104" s="186">
        <v>45838</v>
      </c>
      <c r="L104" s="184" t="s">
        <v>611</v>
      </c>
      <c r="M104" s="184"/>
      <c r="N104" s="462"/>
      <c r="O104" s="462"/>
      <c r="P104" s="462"/>
    </row>
    <row r="105" spans="1:16" s="153" customFormat="1" ht="33" customHeight="1">
      <c r="A105" s="184">
        <f t="shared" si="1"/>
        <v>93</v>
      </c>
      <c r="B105" s="185" t="s">
        <v>151</v>
      </c>
      <c r="C105" s="184" t="s">
        <v>681</v>
      </c>
      <c r="D105" s="184" t="s">
        <v>240</v>
      </c>
      <c r="E105" s="186">
        <v>45820</v>
      </c>
      <c r="F105" s="187">
        <v>11.42</v>
      </c>
      <c r="G105" s="645" t="s">
        <v>404</v>
      </c>
      <c r="H105" s="646"/>
      <c r="I105" s="646"/>
      <c r="J105" s="646"/>
      <c r="K105" s="186">
        <v>45826</v>
      </c>
      <c r="L105" s="184" t="s">
        <v>693</v>
      </c>
      <c r="M105" s="184"/>
      <c r="N105" s="462"/>
      <c r="O105" s="462"/>
      <c r="P105" s="462"/>
    </row>
    <row r="106" spans="1:16" s="153" customFormat="1" ht="33" customHeight="1">
      <c r="A106" s="184">
        <f t="shared" si="1"/>
        <v>94</v>
      </c>
      <c r="B106" s="185" t="s">
        <v>619</v>
      </c>
      <c r="C106" s="184" t="s">
        <v>686</v>
      </c>
      <c r="D106" s="184" t="s">
        <v>240</v>
      </c>
      <c r="E106" s="186">
        <v>45824</v>
      </c>
      <c r="F106" s="187">
        <v>99.27</v>
      </c>
      <c r="G106" s="645" t="s">
        <v>404</v>
      </c>
      <c r="H106" s="646"/>
      <c r="I106" s="646"/>
      <c r="J106" s="646"/>
      <c r="K106" s="186">
        <v>45833</v>
      </c>
      <c r="L106" s="184" t="s">
        <v>693</v>
      </c>
      <c r="M106" s="184"/>
      <c r="N106" s="462"/>
      <c r="O106" s="462"/>
      <c r="P106" s="462"/>
    </row>
    <row r="107" spans="1:16" s="153" customFormat="1" ht="33" customHeight="1">
      <c r="A107" s="184">
        <f t="shared" si="1"/>
        <v>95</v>
      </c>
      <c r="B107" s="185" t="s">
        <v>697</v>
      </c>
      <c r="C107" s="184" t="s">
        <v>117</v>
      </c>
      <c r="D107" s="184" t="s">
        <v>240</v>
      </c>
      <c r="E107" s="186">
        <v>45826</v>
      </c>
      <c r="F107" s="187">
        <v>49.3</v>
      </c>
      <c r="G107" s="645" t="s">
        <v>404</v>
      </c>
      <c r="H107" s="646"/>
      <c r="I107" s="646"/>
      <c r="J107" s="646"/>
      <c r="K107" s="186">
        <v>45839</v>
      </c>
      <c r="L107" s="184" t="s">
        <v>680</v>
      </c>
      <c r="M107" s="184"/>
      <c r="N107" s="462"/>
      <c r="O107" s="462"/>
      <c r="P107" s="462"/>
    </row>
    <row r="108" spans="1:16" s="153" customFormat="1" ht="33" customHeight="1">
      <c r="A108" s="184">
        <f t="shared" si="1"/>
        <v>96</v>
      </c>
      <c r="B108" s="185" t="s">
        <v>154</v>
      </c>
      <c r="C108" s="184" t="s">
        <v>681</v>
      </c>
      <c r="D108" s="184" t="s">
        <v>240</v>
      </c>
      <c r="E108" s="186">
        <v>45826</v>
      </c>
      <c r="F108" s="187">
        <v>11.42</v>
      </c>
      <c r="G108" s="645" t="s">
        <v>404</v>
      </c>
      <c r="H108" s="646"/>
      <c r="I108" s="646"/>
      <c r="J108" s="646"/>
      <c r="K108" s="186">
        <v>45832</v>
      </c>
      <c r="L108" s="184" t="s">
        <v>693</v>
      </c>
      <c r="M108" s="184"/>
      <c r="N108" s="462"/>
      <c r="O108" s="462"/>
      <c r="P108" s="462"/>
    </row>
    <row r="109" spans="1:16" s="153" customFormat="1" ht="33" customHeight="1">
      <c r="A109" s="184">
        <f t="shared" si="1"/>
        <v>97</v>
      </c>
      <c r="B109" s="185" t="s">
        <v>188</v>
      </c>
      <c r="C109" s="184" t="s">
        <v>698</v>
      </c>
      <c r="D109" s="184" t="s">
        <v>240</v>
      </c>
      <c r="E109" s="186">
        <v>45831</v>
      </c>
      <c r="F109" s="187">
        <v>11.42</v>
      </c>
      <c r="G109" s="645" t="s">
        <v>404</v>
      </c>
      <c r="H109" s="646"/>
      <c r="I109" s="646"/>
      <c r="J109" s="646"/>
      <c r="K109" s="186">
        <v>45835</v>
      </c>
      <c r="L109" s="184" t="s">
        <v>695</v>
      </c>
      <c r="M109" s="184"/>
      <c r="N109" s="462"/>
      <c r="O109" s="462"/>
      <c r="P109" s="462"/>
    </row>
    <row r="110" spans="1:16" s="153" customFormat="1" ht="33" customHeight="1">
      <c r="A110" s="184">
        <f t="shared" si="1"/>
        <v>98</v>
      </c>
      <c r="B110" s="185" t="s">
        <v>159</v>
      </c>
      <c r="C110" s="184" t="s">
        <v>681</v>
      </c>
      <c r="D110" s="184" t="s">
        <v>240</v>
      </c>
      <c r="E110" s="186">
        <v>45832</v>
      </c>
      <c r="F110" s="187">
        <v>11.42</v>
      </c>
      <c r="G110" s="645" t="s">
        <v>404</v>
      </c>
      <c r="H110" s="646"/>
      <c r="I110" s="646"/>
      <c r="J110" s="646"/>
      <c r="K110" s="186">
        <v>45847</v>
      </c>
      <c r="L110" s="184" t="s">
        <v>711</v>
      </c>
      <c r="M110" s="184"/>
      <c r="N110" s="462"/>
      <c r="O110" s="462"/>
      <c r="P110" s="462"/>
    </row>
    <row r="111" spans="1:16" s="153" customFormat="1" ht="33" customHeight="1">
      <c r="A111" s="184">
        <f t="shared" si="1"/>
        <v>99</v>
      </c>
      <c r="B111" s="185" t="s">
        <v>156</v>
      </c>
      <c r="C111" s="184" t="s">
        <v>681</v>
      </c>
      <c r="D111" s="184" t="s">
        <v>240</v>
      </c>
      <c r="E111" s="186">
        <v>45832</v>
      </c>
      <c r="F111" s="187">
        <v>11.42</v>
      </c>
      <c r="G111" s="645" t="s">
        <v>404</v>
      </c>
      <c r="H111" s="646"/>
      <c r="I111" s="646"/>
      <c r="J111" s="646"/>
      <c r="K111" s="186">
        <v>45841</v>
      </c>
      <c r="L111" s="184" t="s">
        <v>701</v>
      </c>
      <c r="M111" s="184"/>
      <c r="N111" s="462"/>
      <c r="O111" s="462"/>
      <c r="P111" s="462"/>
    </row>
    <row r="112" spans="1:16" s="153" customFormat="1" ht="33" customHeight="1">
      <c r="A112" s="184">
        <f t="shared" si="1"/>
        <v>100</v>
      </c>
      <c r="B112" s="185" t="s">
        <v>6</v>
      </c>
      <c r="C112" s="184" t="s">
        <v>451</v>
      </c>
      <c r="D112" s="184" t="s">
        <v>240</v>
      </c>
      <c r="E112" s="186">
        <v>45833</v>
      </c>
      <c r="F112" s="187">
        <v>11.42</v>
      </c>
      <c r="G112" s="645" t="s">
        <v>404</v>
      </c>
      <c r="H112" s="646"/>
      <c r="I112" s="646"/>
      <c r="J112" s="646"/>
      <c r="K112" s="186">
        <v>45838</v>
      </c>
      <c r="L112" s="184" t="s">
        <v>695</v>
      </c>
      <c r="M112" s="184"/>
      <c r="N112" s="462"/>
      <c r="O112" s="462"/>
      <c r="P112" s="462"/>
    </row>
    <row r="113" spans="1:16" s="153" customFormat="1" ht="33" customHeight="1">
      <c r="A113" s="184">
        <f t="shared" si="1"/>
        <v>101</v>
      </c>
      <c r="B113" s="185" t="s">
        <v>699</v>
      </c>
      <c r="C113" s="184" t="s">
        <v>700</v>
      </c>
      <c r="D113" s="184" t="s">
        <v>240</v>
      </c>
      <c r="E113" s="186">
        <v>45833</v>
      </c>
      <c r="F113" s="187">
        <v>28.1</v>
      </c>
      <c r="G113" s="645" t="s">
        <v>404</v>
      </c>
      <c r="H113" s="646"/>
      <c r="I113" s="646"/>
      <c r="J113" s="646"/>
      <c r="K113" s="186">
        <v>45858</v>
      </c>
      <c r="L113" s="184" t="s">
        <v>711</v>
      </c>
      <c r="M113" s="184"/>
      <c r="N113" s="462"/>
      <c r="O113" s="462"/>
      <c r="P113" s="462"/>
    </row>
    <row r="114" spans="1:16" s="153" customFormat="1" ht="33" customHeight="1">
      <c r="A114" s="184">
        <f t="shared" si="1"/>
        <v>102</v>
      </c>
      <c r="B114" s="185" t="s">
        <v>163</v>
      </c>
      <c r="C114" s="184" t="s">
        <v>403</v>
      </c>
      <c r="D114" s="184" t="s">
        <v>240</v>
      </c>
      <c r="E114" s="186">
        <v>45835</v>
      </c>
      <c r="F114" s="187">
        <v>11.42</v>
      </c>
      <c r="G114" s="645" t="s">
        <v>404</v>
      </c>
      <c r="H114" s="646"/>
      <c r="I114" s="646"/>
      <c r="J114" s="646"/>
      <c r="K114" s="186">
        <v>45843</v>
      </c>
      <c r="L114" s="184" t="s">
        <v>701</v>
      </c>
      <c r="M114" s="184"/>
      <c r="N114" s="462"/>
      <c r="O114" s="462"/>
      <c r="P114" s="462"/>
    </row>
    <row r="115" spans="1:16" s="153" customFormat="1" ht="33" customHeight="1">
      <c r="A115" s="184">
        <f t="shared" si="1"/>
        <v>103</v>
      </c>
      <c r="B115" s="185" t="s">
        <v>164</v>
      </c>
      <c r="C115" s="184" t="s">
        <v>703</v>
      </c>
      <c r="D115" s="184" t="s">
        <v>240</v>
      </c>
      <c r="E115" s="186">
        <v>45836</v>
      </c>
      <c r="F115" s="187">
        <v>11.42</v>
      </c>
      <c r="G115" s="645" t="s">
        <v>404</v>
      </c>
      <c r="H115" s="646"/>
      <c r="I115" s="646"/>
      <c r="J115" s="646"/>
      <c r="K115" s="186">
        <v>45861</v>
      </c>
      <c r="L115" s="184" t="s">
        <v>710</v>
      </c>
      <c r="M115" s="184"/>
      <c r="N115" s="462"/>
      <c r="O115" s="462"/>
      <c r="P115" s="462"/>
    </row>
    <row r="116" spans="1:16" s="153" customFormat="1" ht="33" customHeight="1">
      <c r="A116" s="184">
        <f t="shared" si="1"/>
        <v>104</v>
      </c>
      <c r="B116" s="185" t="s">
        <v>708</v>
      </c>
      <c r="C116" s="184" t="s">
        <v>606</v>
      </c>
      <c r="D116" s="184" t="s">
        <v>240</v>
      </c>
      <c r="E116" s="186">
        <v>45838</v>
      </c>
      <c r="F116" s="187">
        <v>27.5</v>
      </c>
      <c r="G116" s="645" t="s">
        <v>404</v>
      </c>
      <c r="H116" s="646"/>
      <c r="I116" s="646"/>
      <c r="J116" s="646"/>
      <c r="K116" s="186">
        <v>45846</v>
      </c>
      <c r="L116" s="184" t="s">
        <v>611</v>
      </c>
      <c r="M116" s="184"/>
      <c r="N116" s="462"/>
      <c r="O116" s="462"/>
      <c r="P116" s="462"/>
    </row>
    <row r="117" spans="1:16" s="153" customFormat="1" ht="33" customHeight="1">
      <c r="A117" s="184">
        <f t="shared" si="1"/>
        <v>105</v>
      </c>
      <c r="B117" s="185" t="s">
        <v>187</v>
      </c>
      <c r="C117" s="184" t="s">
        <v>703</v>
      </c>
      <c r="D117" s="184" t="s">
        <v>240</v>
      </c>
      <c r="E117" s="186">
        <v>45837</v>
      </c>
      <c r="F117" s="187">
        <v>11.42</v>
      </c>
      <c r="G117" s="645" t="s">
        <v>404</v>
      </c>
      <c r="H117" s="646"/>
      <c r="I117" s="646"/>
      <c r="J117" s="646"/>
      <c r="K117" s="186">
        <v>45840</v>
      </c>
      <c r="L117" s="184" t="s">
        <v>712</v>
      </c>
      <c r="M117" s="184"/>
      <c r="N117" s="462"/>
      <c r="O117" s="462"/>
      <c r="P117" s="462"/>
    </row>
    <row r="118" spans="1:16" s="153" customFormat="1" ht="33" customHeight="1">
      <c r="A118" s="184">
        <f t="shared" si="1"/>
        <v>106</v>
      </c>
      <c r="B118" s="185" t="s">
        <v>713</v>
      </c>
      <c r="C118" s="184" t="s">
        <v>654</v>
      </c>
      <c r="D118" s="184" t="s">
        <v>240</v>
      </c>
      <c r="E118" s="186">
        <v>45841</v>
      </c>
      <c r="F118" s="187">
        <v>28.1</v>
      </c>
      <c r="G118" s="645" t="s">
        <v>404</v>
      </c>
      <c r="H118" s="646"/>
      <c r="I118" s="646"/>
      <c r="J118" s="646"/>
      <c r="K118" s="186">
        <v>45851</v>
      </c>
      <c r="L118" s="184" t="s">
        <v>680</v>
      </c>
      <c r="M118" s="184"/>
      <c r="N118" s="462"/>
      <c r="O118" s="462"/>
      <c r="P118" s="462"/>
    </row>
    <row r="119" spans="1:16" s="153" customFormat="1" ht="33" customHeight="1">
      <c r="A119" s="184">
        <f t="shared" si="1"/>
        <v>107</v>
      </c>
      <c r="B119" s="185" t="s">
        <v>565</v>
      </c>
      <c r="C119" s="184" t="s">
        <v>686</v>
      </c>
      <c r="D119" s="184" t="s">
        <v>240</v>
      </c>
      <c r="E119" s="186">
        <v>45841</v>
      </c>
      <c r="F119" s="187">
        <v>99.27</v>
      </c>
      <c r="G119" s="645" t="s">
        <v>404</v>
      </c>
      <c r="H119" s="646"/>
      <c r="I119" s="646"/>
      <c r="J119" s="646"/>
      <c r="K119" s="186">
        <v>45854</v>
      </c>
      <c r="L119" s="184" t="s">
        <v>716</v>
      </c>
      <c r="M119" s="184"/>
      <c r="N119" s="462"/>
      <c r="O119" s="462"/>
      <c r="P119" s="462"/>
    </row>
    <row r="120" spans="1:16" s="153" customFormat="1" ht="33" customHeight="1">
      <c r="A120" s="184">
        <f t="shared" si="1"/>
        <v>108</v>
      </c>
      <c r="B120" s="185" t="s">
        <v>715</v>
      </c>
      <c r="C120" s="184" t="s">
        <v>610</v>
      </c>
      <c r="D120" s="184" t="s">
        <v>240</v>
      </c>
      <c r="E120" s="186">
        <v>45842</v>
      </c>
      <c r="F120" s="187">
        <v>28.1</v>
      </c>
      <c r="G120" s="645" t="s">
        <v>404</v>
      </c>
      <c r="H120" s="646"/>
      <c r="I120" s="646"/>
      <c r="J120" s="646"/>
      <c r="K120" s="186">
        <v>45852</v>
      </c>
      <c r="L120" s="184" t="s">
        <v>611</v>
      </c>
      <c r="M120" s="184"/>
      <c r="N120" s="462"/>
      <c r="O120" s="462"/>
      <c r="P120" s="462"/>
    </row>
    <row r="121" spans="1:16" s="153" customFormat="1" ht="33" customHeight="1">
      <c r="A121" s="184">
        <f t="shared" si="1"/>
        <v>109</v>
      </c>
      <c r="B121" s="185" t="s">
        <v>570</v>
      </c>
      <c r="C121" s="184" t="s">
        <v>455</v>
      </c>
      <c r="D121" s="184" t="s">
        <v>240</v>
      </c>
      <c r="E121" s="186">
        <v>45842</v>
      </c>
      <c r="F121" s="187">
        <v>11.73</v>
      </c>
      <c r="G121" s="645" t="s">
        <v>404</v>
      </c>
      <c r="H121" s="646"/>
      <c r="I121" s="646"/>
      <c r="J121" s="646"/>
      <c r="K121" s="186">
        <v>45848</v>
      </c>
      <c r="L121" s="184" t="s">
        <v>701</v>
      </c>
      <c r="M121" s="184"/>
      <c r="N121" s="462"/>
      <c r="O121" s="462"/>
      <c r="P121" s="462"/>
    </row>
    <row r="122" spans="1:16" s="153" customFormat="1" ht="33" customHeight="1">
      <c r="A122" s="184">
        <f t="shared" si="1"/>
        <v>110</v>
      </c>
      <c r="B122" s="185" t="s">
        <v>153</v>
      </c>
      <c r="C122" s="184" t="s">
        <v>451</v>
      </c>
      <c r="D122" s="184" t="s">
        <v>240</v>
      </c>
      <c r="E122" s="186">
        <v>45848</v>
      </c>
      <c r="F122" s="187">
        <v>11.42</v>
      </c>
      <c r="G122" s="645" t="s">
        <v>404</v>
      </c>
      <c r="H122" s="646"/>
      <c r="I122" s="646"/>
      <c r="J122" s="646"/>
      <c r="K122" s="186">
        <v>45854</v>
      </c>
      <c r="L122" s="184" t="s">
        <v>710</v>
      </c>
      <c r="M122" s="184"/>
      <c r="N122" s="462"/>
      <c r="O122" s="462"/>
      <c r="P122" s="462"/>
    </row>
    <row r="123" spans="1:16" s="153" customFormat="1" ht="33" customHeight="1">
      <c r="A123" s="184">
        <f t="shared" si="1"/>
        <v>111</v>
      </c>
      <c r="B123" s="185" t="s">
        <v>184</v>
      </c>
      <c r="C123" s="184" t="s">
        <v>455</v>
      </c>
      <c r="D123" s="184" t="s">
        <v>240</v>
      </c>
      <c r="E123" s="478" t="s">
        <v>717</v>
      </c>
      <c r="F123" s="187">
        <v>11.73</v>
      </c>
      <c r="G123" s="645" t="s">
        <v>404</v>
      </c>
      <c r="H123" s="646"/>
      <c r="I123" s="646"/>
      <c r="J123" s="646"/>
      <c r="K123" s="186">
        <v>45867</v>
      </c>
      <c r="L123" s="184" t="s">
        <v>695</v>
      </c>
      <c r="M123" s="184"/>
      <c r="N123" s="462"/>
      <c r="O123" s="462"/>
      <c r="P123" s="462"/>
    </row>
    <row r="124" spans="1:16" s="153" customFormat="1" ht="33" customHeight="1">
      <c r="A124" s="184">
        <f t="shared" si="1"/>
        <v>112</v>
      </c>
      <c r="B124" s="185" t="s">
        <v>189</v>
      </c>
      <c r="C124" s="184" t="s">
        <v>451</v>
      </c>
      <c r="D124" s="184" t="s">
        <v>240</v>
      </c>
      <c r="E124" s="186">
        <v>45853</v>
      </c>
      <c r="F124" s="187">
        <v>11.42</v>
      </c>
      <c r="G124" s="645" t="s">
        <v>404</v>
      </c>
      <c r="H124" s="646"/>
      <c r="I124" s="646"/>
      <c r="J124" s="646"/>
      <c r="K124" s="186">
        <v>45856</v>
      </c>
      <c r="L124" s="184" t="s">
        <v>611</v>
      </c>
      <c r="M124" s="184"/>
      <c r="N124" s="462"/>
      <c r="O124" s="462"/>
      <c r="P124" s="462"/>
    </row>
    <row r="125" spans="1:16" s="153" customFormat="1" ht="33" customHeight="1">
      <c r="A125" s="184">
        <f t="shared" si="1"/>
        <v>113</v>
      </c>
      <c r="B125" s="185" t="s">
        <v>185</v>
      </c>
      <c r="C125" s="184" t="s">
        <v>451</v>
      </c>
      <c r="D125" s="184" t="s">
        <v>240</v>
      </c>
      <c r="E125" s="186">
        <v>45870</v>
      </c>
      <c r="F125" s="187">
        <v>11.42</v>
      </c>
      <c r="G125" s="645" t="s">
        <v>404</v>
      </c>
      <c r="H125" s="646"/>
      <c r="I125" s="646"/>
      <c r="J125" s="646"/>
      <c r="K125" s="186">
        <v>45872</v>
      </c>
      <c r="L125" s="184" t="s">
        <v>695</v>
      </c>
      <c r="M125" s="184"/>
      <c r="N125" s="462"/>
      <c r="O125" s="462"/>
      <c r="P125" s="462"/>
    </row>
    <row r="126" spans="1:16" s="153" customFormat="1" ht="33" customHeight="1">
      <c r="A126" s="184">
        <f t="shared" si="1"/>
        <v>114</v>
      </c>
      <c r="B126" s="185" t="s">
        <v>186</v>
      </c>
      <c r="C126" s="184" t="s">
        <v>518</v>
      </c>
      <c r="D126" s="184" t="s">
        <v>240</v>
      </c>
      <c r="E126" s="186">
        <v>45871</v>
      </c>
      <c r="F126" s="187">
        <v>11.42</v>
      </c>
      <c r="G126" s="645" t="s">
        <v>404</v>
      </c>
      <c r="H126" s="646"/>
      <c r="I126" s="646"/>
      <c r="J126" s="646"/>
      <c r="K126" s="186">
        <v>45875</v>
      </c>
      <c r="L126" s="184" t="s">
        <v>718</v>
      </c>
      <c r="M126" s="184"/>
      <c r="N126" s="462"/>
      <c r="O126" s="462"/>
      <c r="P126" s="462"/>
    </row>
    <row r="127" spans="1:16" s="153" customFormat="1" ht="33" customHeight="1">
      <c r="A127" s="184">
        <f t="shared" si="1"/>
        <v>115</v>
      </c>
      <c r="B127" s="185" t="s">
        <v>728</v>
      </c>
      <c r="C127" s="184" t="s">
        <v>729</v>
      </c>
      <c r="D127" s="184" t="s">
        <v>240</v>
      </c>
      <c r="E127" s="186">
        <v>45892</v>
      </c>
      <c r="F127" s="187">
        <v>28.1</v>
      </c>
      <c r="G127" s="645" t="s">
        <v>404</v>
      </c>
      <c r="H127" s="646"/>
      <c r="I127" s="646"/>
      <c r="J127" s="646"/>
      <c r="K127" s="186">
        <v>45898</v>
      </c>
      <c r="L127" s="184" t="s">
        <v>718</v>
      </c>
      <c r="M127" s="184"/>
      <c r="N127" s="462"/>
      <c r="O127" s="462"/>
      <c r="P127" s="462"/>
    </row>
    <row r="128" spans="1:16" s="153" customFormat="1" ht="33" customHeight="1">
      <c r="A128" s="184"/>
      <c r="B128" s="185"/>
      <c r="C128" s="184"/>
      <c r="D128" s="184"/>
      <c r="E128" s="186"/>
      <c r="F128" s="187"/>
      <c r="G128" s="463"/>
      <c r="H128" s="287"/>
      <c r="I128" s="287"/>
      <c r="J128" s="287"/>
      <c r="K128" s="186"/>
      <c r="L128" s="184"/>
      <c r="M128" s="184"/>
      <c r="N128" s="462"/>
      <c r="O128" s="462"/>
      <c r="P128" s="462"/>
    </row>
    <row r="129" spans="1:16" s="153" customFormat="1" ht="21" customHeight="1">
      <c r="A129" s="287"/>
      <c r="B129" s="185"/>
      <c r="C129" s="184"/>
      <c r="D129" s="184"/>
      <c r="E129" s="288"/>
      <c r="F129" s="464"/>
      <c r="G129" s="465"/>
      <c r="H129" s="465"/>
      <c r="I129" s="465"/>
      <c r="J129" s="288"/>
      <c r="K129" s="184"/>
      <c r="L129" s="287"/>
      <c r="M129" s="154"/>
    </row>
    <row r="130" spans="1:16" ht="21" customHeight="1">
      <c r="A130" s="630" t="s">
        <v>103</v>
      </c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0"/>
      <c r="P130" s="630"/>
    </row>
    <row r="131" spans="1:16" s="45" customFormat="1" ht="28.95" customHeight="1" thickBot="1">
      <c r="A131" s="163" t="s">
        <v>405</v>
      </c>
      <c r="B131" s="163" t="s">
        <v>82</v>
      </c>
      <c r="C131" s="163" t="s">
        <v>60</v>
      </c>
      <c r="D131" s="163" t="s">
        <v>239</v>
      </c>
      <c r="E131" s="163" t="s">
        <v>397</v>
      </c>
      <c r="F131" s="163" t="s">
        <v>371</v>
      </c>
      <c r="G131" s="624" t="s">
        <v>112</v>
      </c>
      <c r="H131" s="625"/>
      <c r="I131" s="625"/>
      <c r="J131" s="626"/>
      <c r="K131" s="163" t="s">
        <v>399</v>
      </c>
      <c r="L131" s="163" t="s">
        <v>400</v>
      </c>
      <c r="M131" s="163" t="s">
        <v>401</v>
      </c>
      <c r="N131" s="624" t="s">
        <v>402</v>
      </c>
      <c r="O131" s="625"/>
      <c r="P131" s="626"/>
    </row>
    <row r="132" spans="1:16" s="275" customFormat="1" ht="21" customHeight="1">
      <c r="A132" s="287">
        <v>1</v>
      </c>
      <c r="B132" s="185" t="s">
        <v>16</v>
      </c>
      <c r="C132" s="184" t="s">
        <v>403</v>
      </c>
      <c r="D132" s="287" t="s">
        <v>240</v>
      </c>
      <c r="E132" s="288">
        <v>45574</v>
      </c>
      <c r="F132" s="289">
        <v>27.96</v>
      </c>
      <c r="G132" s="608" t="s">
        <v>404</v>
      </c>
      <c r="H132" s="608"/>
      <c r="I132" s="608"/>
      <c r="J132" s="608"/>
      <c r="K132" s="288">
        <v>45592</v>
      </c>
      <c r="L132" s="287" t="s">
        <v>502</v>
      </c>
      <c r="M132" s="287"/>
      <c r="N132" s="622"/>
      <c r="O132" s="622"/>
      <c r="P132" s="622"/>
    </row>
    <row r="133" spans="1:16" s="45" customFormat="1" ht="21" customHeight="1">
      <c r="A133" s="287">
        <v>2</v>
      </c>
      <c r="B133" s="185" t="s">
        <v>129</v>
      </c>
      <c r="C133" s="184" t="s">
        <v>403</v>
      </c>
      <c r="D133" s="287" t="s">
        <v>240</v>
      </c>
      <c r="E133" s="288">
        <v>45593</v>
      </c>
      <c r="F133" s="289">
        <v>27.96</v>
      </c>
      <c r="G133" s="608" t="s">
        <v>404</v>
      </c>
      <c r="H133" s="608"/>
      <c r="I133" s="608"/>
      <c r="J133" s="608"/>
      <c r="K133" s="288">
        <v>45601</v>
      </c>
      <c r="L133" s="287" t="s">
        <v>502</v>
      </c>
      <c r="M133" s="287"/>
      <c r="N133" s="627"/>
      <c r="O133" s="627"/>
      <c r="P133" s="627"/>
    </row>
    <row r="134" spans="1:16" s="275" customFormat="1" ht="21" customHeight="1">
      <c r="A134" s="287">
        <v>3</v>
      </c>
      <c r="B134" s="290" t="s">
        <v>506</v>
      </c>
      <c r="C134" s="184" t="s">
        <v>403</v>
      </c>
      <c r="D134" s="287" t="s">
        <v>240</v>
      </c>
      <c r="E134" s="288">
        <v>45601</v>
      </c>
      <c r="F134" s="289">
        <v>27.96</v>
      </c>
      <c r="G134" s="608" t="s">
        <v>404</v>
      </c>
      <c r="H134" s="608"/>
      <c r="I134" s="608"/>
      <c r="J134" s="608"/>
      <c r="K134" s="288">
        <v>45609</v>
      </c>
      <c r="L134" s="287" t="s">
        <v>502</v>
      </c>
      <c r="M134" s="287"/>
      <c r="N134" s="622"/>
      <c r="O134" s="622"/>
      <c r="P134" s="622"/>
    </row>
    <row r="135" spans="1:16" s="275" customFormat="1" ht="21" customHeight="1">
      <c r="A135" s="287">
        <v>4</v>
      </c>
      <c r="B135" s="290" t="s">
        <v>18</v>
      </c>
      <c r="C135" s="184" t="s">
        <v>403</v>
      </c>
      <c r="D135" s="287" t="s">
        <v>240</v>
      </c>
      <c r="E135" s="288">
        <v>45610</v>
      </c>
      <c r="F135" s="289">
        <v>27.96</v>
      </c>
      <c r="G135" s="608" t="s">
        <v>404</v>
      </c>
      <c r="H135" s="608"/>
      <c r="I135" s="608"/>
      <c r="J135" s="608"/>
      <c r="K135" s="288">
        <v>45615</v>
      </c>
      <c r="L135" s="287" t="s">
        <v>502</v>
      </c>
      <c r="M135" s="287"/>
      <c r="N135" s="622" t="s">
        <v>513</v>
      </c>
      <c r="O135" s="622"/>
      <c r="P135" s="622"/>
    </row>
    <row r="136" spans="1:16" s="275" customFormat="1" ht="21" customHeight="1">
      <c r="A136" s="287">
        <v>5</v>
      </c>
      <c r="B136" s="290" t="s">
        <v>134</v>
      </c>
      <c r="C136" s="184" t="s">
        <v>403</v>
      </c>
      <c r="D136" s="287" t="s">
        <v>240</v>
      </c>
      <c r="E136" s="288">
        <v>45615</v>
      </c>
      <c r="F136" s="289">
        <v>27.96</v>
      </c>
      <c r="G136" s="608" t="s">
        <v>404</v>
      </c>
      <c r="H136" s="608"/>
      <c r="I136" s="608"/>
      <c r="J136" s="608"/>
      <c r="K136" s="288">
        <v>45620</v>
      </c>
      <c r="L136" s="287" t="s">
        <v>502</v>
      </c>
      <c r="M136" s="287"/>
      <c r="N136" s="622" t="s">
        <v>109</v>
      </c>
      <c r="O136" s="622"/>
      <c r="P136" s="622"/>
    </row>
    <row r="137" spans="1:16" s="275" customFormat="1" ht="21" customHeight="1">
      <c r="A137" s="287">
        <v>6</v>
      </c>
      <c r="B137" s="290" t="s">
        <v>2</v>
      </c>
      <c r="C137" s="184" t="s">
        <v>403</v>
      </c>
      <c r="D137" s="287" t="s">
        <v>240</v>
      </c>
      <c r="E137" s="288">
        <v>45622</v>
      </c>
      <c r="F137" s="289">
        <v>27.96</v>
      </c>
      <c r="G137" s="608" t="s">
        <v>404</v>
      </c>
      <c r="H137" s="608"/>
      <c r="I137" s="608"/>
      <c r="J137" s="608"/>
      <c r="K137" s="288">
        <v>45627</v>
      </c>
      <c r="L137" s="287" t="s">
        <v>502</v>
      </c>
      <c r="M137" s="287"/>
      <c r="N137" s="622"/>
      <c r="O137" s="622"/>
      <c r="P137" s="622"/>
    </row>
    <row r="138" spans="1:16" s="275" customFormat="1" ht="21" customHeight="1">
      <c r="A138" s="287">
        <v>7</v>
      </c>
      <c r="B138" s="290" t="s">
        <v>49</v>
      </c>
      <c r="C138" s="184" t="s">
        <v>403</v>
      </c>
      <c r="D138" s="287" t="s">
        <v>240</v>
      </c>
      <c r="E138" s="288">
        <v>45628</v>
      </c>
      <c r="F138" s="289">
        <v>27.96</v>
      </c>
      <c r="G138" s="608" t="s">
        <v>404</v>
      </c>
      <c r="H138" s="608"/>
      <c r="I138" s="608"/>
      <c r="J138" s="608"/>
      <c r="K138" s="288">
        <v>45632</v>
      </c>
      <c r="L138" s="287" t="s">
        <v>502</v>
      </c>
      <c r="M138" s="287"/>
      <c r="N138" s="622"/>
      <c r="O138" s="622"/>
      <c r="P138" s="622"/>
    </row>
    <row r="139" spans="1:16" s="275" customFormat="1" ht="21" customHeight="1">
      <c r="A139" s="287">
        <v>8</v>
      </c>
      <c r="B139" s="290" t="s">
        <v>52</v>
      </c>
      <c r="C139" s="184" t="s">
        <v>403</v>
      </c>
      <c r="D139" s="287" t="s">
        <v>240</v>
      </c>
      <c r="E139" s="288">
        <v>45629</v>
      </c>
      <c r="F139" s="289">
        <v>27.96</v>
      </c>
      <c r="G139" s="608" t="s">
        <v>404</v>
      </c>
      <c r="H139" s="608"/>
      <c r="I139" s="608"/>
      <c r="J139" s="608"/>
      <c r="K139" s="288">
        <v>45637</v>
      </c>
      <c r="L139" s="287" t="s">
        <v>512</v>
      </c>
      <c r="M139" s="287"/>
      <c r="N139" s="622" t="s">
        <v>513</v>
      </c>
      <c r="O139" s="622"/>
      <c r="P139" s="622"/>
    </row>
    <row r="140" spans="1:16" s="275" customFormat="1" ht="21" customHeight="1">
      <c r="A140" s="287">
        <v>9</v>
      </c>
      <c r="B140" s="290" t="s">
        <v>148</v>
      </c>
      <c r="C140" s="184" t="s">
        <v>403</v>
      </c>
      <c r="D140" s="287" t="s">
        <v>240</v>
      </c>
      <c r="E140" s="288">
        <v>45632</v>
      </c>
      <c r="F140" s="289">
        <v>27.96</v>
      </c>
      <c r="G140" s="608" t="s">
        <v>404</v>
      </c>
      <c r="H140" s="608"/>
      <c r="I140" s="608"/>
      <c r="J140" s="608"/>
      <c r="K140" s="288">
        <v>45637</v>
      </c>
      <c r="L140" s="287" t="s">
        <v>502</v>
      </c>
      <c r="M140" s="287"/>
      <c r="N140" s="622"/>
      <c r="O140" s="622"/>
      <c r="P140" s="622"/>
    </row>
    <row r="141" spans="1:16" s="275" customFormat="1" ht="21" customHeight="1">
      <c r="A141" s="287">
        <v>10</v>
      </c>
      <c r="B141" s="290" t="s">
        <v>149</v>
      </c>
      <c r="C141" s="184" t="s">
        <v>447</v>
      </c>
      <c r="D141" s="287" t="s">
        <v>240</v>
      </c>
      <c r="E141" s="288">
        <v>45638</v>
      </c>
      <c r="F141" s="289">
        <v>29.12</v>
      </c>
      <c r="G141" s="608" t="s">
        <v>404</v>
      </c>
      <c r="H141" s="608"/>
      <c r="I141" s="608"/>
      <c r="J141" s="608"/>
      <c r="K141" s="375">
        <v>45644</v>
      </c>
      <c r="L141" s="287" t="s">
        <v>502</v>
      </c>
      <c r="M141" s="287"/>
      <c r="N141" s="622"/>
      <c r="O141" s="622"/>
      <c r="P141" s="622"/>
    </row>
    <row r="142" spans="1:16" s="275" customFormat="1" ht="21" customHeight="1">
      <c r="A142" s="287">
        <v>11</v>
      </c>
      <c r="B142" s="290" t="s">
        <v>51</v>
      </c>
      <c r="C142" s="184" t="s">
        <v>403</v>
      </c>
      <c r="D142" s="287" t="s">
        <v>240</v>
      </c>
      <c r="E142" s="288">
        <v>45638</v>
      </c>
      <c r="F142" s="289">
        <v>27.96</v>
      </c>
      <c r="G142" s="608" t="s">
        <v>404</v>
      </c>
      <c r="H142" s="608"/>
      <c r="I142" s="608"/>
      <c r="J142" s="608"/>
      <c r="K142" s="288">
        <v>45644</v>
      </c>
      <c r="L142" s="287" t="s">
        <v>512</v>
      </c>
      <c r="M142" s="287"/>
      <c r="N142" s="622"/>
      <c r="O142" s="622"/>
      <c r="P142" s="622"/>
    </row>
    <row r="143" spans="1:16" s="275" customFormat="1" ht="21" customHeight="1">
      <c r="A143" s="287">
        <v>12</v>
      </c>
      <c r="B143" s="290" t="s">
        <v>141</v>
      </c>
      <c r="C143" s="184" t="s">
        <v>447</v>
      </c>
      <c r="D143" s="287" t="s">
        <v>240</v>
      </c>
      <c r="E143" s="288">
        <v>45645</v>
      </c>
      <c r="F143" s="289">
        <v>29.12</v>
      </c>
      <c r="G143" s="608" t="s">
        <v>404</v>
      </c>
      <c r="H143" s="608"/>
      <c r="I143" s="608"/>
      <c r="J143" s="608"/>
      <c r="K143" s="288">
        <v>45653</v>
      </c>
      <c r="L143" s="287" t="s">
        <v>502</v>
      </c>
      <c r="M143" s="287"/>
      <c r="N143" s="622"/>
      <c r="O143" s="622"/>
      <c r="P143" s="622"/>
    </row>
    <row r="144" spans="1:16" s="275" customFormat="1" ht="21" customHeight="1">
      <c r="A144" s="287">
        <v>13</v>
      </c>
      <c r="B144" s="290" t="s">
        <v>137</v>
      </c>
      <c r="C144" s="184" t="s">
        <v>456</v>
      </c>
      <c r="D144" s="287" t="s">
        <v>240</v>
      </c>
      <c r="E144" s="288">
        <v>45645</v>
      </c>
      <c r="F144" s="289">
        <v>34.630000000000003</v>
      </c>
      <c r="G144" s="608" t="s">
        <v>404</v>
      </c>
      <c r="H144" s="608"/>
      <c r="I144" s="608"/>
      <c r="J144" s="608"/>
      <c r="K144" s="288">
        <v>45655</v>
      </c>
      <c r="L144" s="287" t="s">
        <v>512</v>
      </c>
      <c r="M144" s="287"/>
      <c r="N144" s="622"/>
      <c r="O144" s="622"/>
      <c r="P144" s="622"/>
    </row>
    <row r="145" spans="1:16" s="275" customFormat="1" ht="21" customHeight="1">
      <c r="A145" s="287">
        <v>14</v>
      </c>
      <c r="B145" s="290" t="s">
        <v>127</v>
      </c>
      <c r="C145" s="184" t="s">
        <v>403</v>
      </c>
      <c r="D145" s="287" t="s">
        <v>240</v>
      </c>
      <c r="E145" s="288">
        <v>45655</v>
      </c>
      <c r="F145" s="289">
        <v>27.96</v>
      </c>
      <c r="G145" s="608" t="s">
        <v>404</v>
      </c>
      <c r="H145" s="608"/>
      <c r="I145" s="608"/>
      <c r="J145" s="608"/>
      <c r="K145" s="288">
        <v>45296</v>
      </c>
      <c r="L145" s="287" t="s">
        <v>502</v>
      </c>
      <c r="M145" s="287"/>
      <c r="N145" s="622"/>
      <c r="O145" s="622"/>
      <c r="P145" s="622"/>
    </row>
    <row r="146" spans="1:16" s="275" customFormat="1" ht="21" customHeight="1">
      <c r="A146" s="287">
        <v>15</v>
      </c>
      <c r="B146" s="290" t="s">
        <v>144</v>
      </c>
      <c r="C146" s="184" t="s">
        <v>403</v>
      </c>
      <c r="D146" s="287" t="s">
        <v>240</v>
      </c>
      <c r="E146" s="288">
        <v>45656</v>
      </c>
      <c r="F146" s="289">
        <v>27.96</v>
      </c>
      <c r="G146" s="608" t="s">
        <v>404</v>
      </c>
      <c r="H146" s="608"/>
      <c r="I146" s="608"/>
      <c r="J146" s="608"/>
      <c r="K146" s="288">
        <v>45298</v>
      </c>
      <c r="L146" s="287" t="s">
        <v>512</v>
      </c>
      <c r="M146" s="287"/>
      <c r="N146" s="622"/>
      <c r="O146" s="622"/>
      <c r="P146" s="622"/>
    </row>
    <row r="147" spans="1:16" s="275" customFormat="1" ht="21" customHeight="1">
      <c r="A147" s="287">
        <v>16</v>
      </c>
      <c r="B147" s="290" t="s">
        <v>167</v>
      </c>
      <c r="C147" s="184" t="s">
        <v>403</v>
      </c>
      <c r="D147" s="287" t="s">
        <v>240</v>
      </c>
      <c r="E147" s="288">
        <v>45298</v>
      </c>
      <c r="F147" s="289">
        <v>27.96</v>
      </c>
      <c r="G147" s="608" t="s">
        <v>404</v>
      </c>
      <c r="H147" s="608"/>
      <c r="I147" s="608"/>
      <c r="J147" s="608"/>
      <c r="K147" s="288">
        <v>45668</v>
      </c>
      <c r="L147" s="287" t="s">
        <v>502</v>
      </c>
      <c r="M147" s="287"/>
      <c r="N147" s="622"/>
      <c r="O147" s="622"/>
      <c r="P147" s="622"/>
    </row>
    <row r="148" spans="1:16" s="275" customFormat="1" ht="21" customHeight="1">
      <c r="A148" s="287">
        <f t="shared" ref="A148:A153" si="2">A147+1</f>
        <v>17</v>
      </c>
      <c r="B148" s="290" t="s">
        <v>177</v>
      </c>
      <c r="C148" s="184" t="s">
        <v>403</v>
      </c>
      <c r="D148" s="287" t="s">
        <v>240</v>
      </c>
      <c r="E148" s="288">
        <v>45300</v>
      </c>
      <c r="F148" s="289">
        <v>27.96</v>
      </c>
      <c r="G148" s="608" t="s">
        <v>404</v>
      </c>
      <c r="H148" s="608"/>
      <c r="I148" s="608"/>
      <c r="J148" s="608"/>
      <c r="K148" s="288">
        <v>45672</v>
      </c>
      <c r="L148" s="287" t="s">
        <v>512</v>
      </c>
      <c r="M148" s="287"/>
      <c r="N148" s="622"/>
      <c r="O148" s="622"/>
      <c r="P148" s="622"/>
    </row>
    <row r="149" spans="1:16" s="275" customFormat="1" ht="21" customHeight="1">
      <c r="A149" s="287">
        <f t="shared" si="2"/>
        <v>18</v>
      </c>
      <c r="B149" s="290" t="s">
        <v>161</v>
      </c>
      <c r="C149" s="184" t="s">
        <v>447</v>
      </c>
      <c r="D149" s="287" t="s">
        <v>240</v>
      </c>
      <c r="E149" s="288">
        <v>45670</v>
      </c>
      <c r="F149" s="289">
        <v>29</v>
      </c>
      <c r="G149" s="608" t="s">
        <v>404</v>
      </c>
      <c r="H149" s="608"/>
      <c r="I149" s="608"/>
      <c r="J149" s="608"/>
      <c r="K149" s="288">
        <v>45675</v>
      </c>
      <c r="L149" s="287" t="s">
        <v>502</v>
      </c>
      <c r="M149" s="287"/>
      <c r="N149" s="622"/>
      <c r="O149" s="622"/>
      <c r="P149" s="622"/>
    </row>
    <row r="150" spans="1:16" s="275" customFormat="1" ht="21" customHeight="1">
      <c r="A150" s="287">
        <f t="shared" si="2"/>
        <v>19</v>
      </c>
      <c r="B150" s="290" t="s">
        <v>178</v>
      </c>
      <c r="C150" s="184" t="s">
        <v>447</v>
      </c>
      <c r="D150" s="287" t="s">
        <v>240</v>
      </c>
      <c r="E150" s="288">
        <v>45673</v>
      </c>
      <c r="F150" s="289">
        <v>29</v>
      </c>
      <c r="G150" s="608" t="s">
        <v>404</v>
      </c>
      <c r="H150" s="608"/>
      <c r="I150" s="608"/>
      <c r="J150" s="608"/>
      <c r="K150" s="288">
        <v>45680</v>
      </c>
      <c r="L150" s="287" t="s">
        <v>512</v>
      </c>
      <c r="M150" s="287"/>
      <c r="N150" s="622"/>
      <c r="O150" s="622"/>
      <c r="P150" s="622"/>
    </row>
    <row r="151" spans="1:16" s="275" customFormat="1" ht="21" customHeight="1">
      <c r="A151" s="287">
        <f t="shared" si="2"/>
        <v>20</v>
      </c>
      <c r="B151" s="290" t="s">
        <v>157</v>
      </c>
      <c r="C151" s="184" t="s">
        <v>403</v>
      </c>
      <c r="D151" s="287" t="s">
        <v>240</v>
      </c>
      <c r="E151" s="288">
        <v>45673</v>
      </c>
      <c r="F151" s="289">
        <v>28</v>
      </c>
      <c r="G151" s="608" t="s">
        <v>404</v>
      </c>
      <c r="H151" s="608"/>
      <c r="I151" s="608"/>
      <c r="J151" s="608"/>
      <c r="K151" s="288">
        <v>45680</v>
      </c>
      <c r="L151" s="287" t="s">
        <v>502</v>
      </c>
      <c r="M151" s="287"/>
      <c r="N151" s="622"/>
      <c r="O151" s="622"/>
      <c r="P151" s="622"/>
    </row>
    <row r="152" spans="1:16" s="275" customFormat="1" ht="27.6" customHeight="1">
      <c r="A152" s="287">
        <f t="shared" si="2"/>
        <v>21</v>
      </c>
      <c r="B152" s="290" t="s">
        <v>180</v>
      </c>
      <c r="C152" s="184" t="s">
        <v>447</v>
      </c>
      <c r="D152" s="287" t="s">
        <v>240</v>
      </c>
      <c r="E152" s="288">
        <v>45681</v>
      </c>
      <c r="F152" s="289">
        <v>29</v>
      </c>
      <c r="G152" s="608" t="s">
        <v>404</v>
      </c>
      <c r="H152" s="608"/>
      <c r="I152" s="608"/>
      <c r="J152" s="608"/>
      <c r="K152" s="288">
        <v>45699</v>
      </c>
      <c r="L152" s="287" t="s">
        <v>512</v>
      </c>
      <c r="M152" s="287"/>
      <c r="N152" s="620"/>
      <c r="O152" s="620"/>
      <c r="P152" s="620"/>
    </row>
    <row r="153" spans="1:16" s="275" customFormat="1" ht="21" customHeight="1">
      <c r="A153" s="287">
        <f t="shared" si="2"/>
        <v>22</v>
      </c>
      <c r="B153" s="290" t="s">
        <v>17</v>
      </c>
      <c r="C153" s="184" t="s">
        <v>403</v>
      </c>
      <c r="D153" s="287" t="s">
        <v>240</v>
      </c>
      <c r="E153" s="288">
        <v>45681</v>
      </c>
      <c r="F153" s="289">
        <v>28</v>
      </c>
      <c r="G153" s="608" t="s">
        <v>404</v>
      </c>
      <c r="H153" s="608"/>
      <c r="I153" s="608"/>
      <c r="J153" s="608"/>
      <c r="K153" s="288">
        <v>45687</v>
      </c>
      <c r="L153" s="287" t="s">
        <v>502</v>
      </c>
      <c r="M153" s="287"/>
      <c r="N153" s="623"/>
      <c r="O153" s="623"/>
      <c r="P153" s="623"/>
    </row>
    <row r="154" spans="1:16" s="275" customFormat="1" ht="21" customHeight="1">
      <c r="A154" s="287">
        <f t="shared" ref="A154:A196" si="3">A153+1</f>
        <v>23</v>
      </c>
      <c r="B154" s="290" t="s">
        <v>179</v>
      </c>
      <c r="C154" s="184" t="s">
        <v>403</v>
      </c>
      <c r="D154" s="287" t="s">
        <v>240</v>
      </c>
      <c r="E154" s="288">
        <v>45682</v>
      </c>
      <c r="F154" s="289">
        <v>28</v>
      </c>
      <c r="G154" s="608" t="s">
        <v>404</v>
      </c>
      <c r="H154" s="608"/>
      <c r="I154" s="608"/>
      <c r="J154" s="608"/>
      <c r="K154" s="288">
        <v>45690</v>
      </c>
      <c r="L154" s="287" t="s">
        <v>512</v>
      </c>
      <c r="M154" s="287"/>
      <c r="N154" s="622"/>
      <c r="O154" s="622"/>
      <c r="P154" s="622"/>
    </row>
    <row r="155" spans="1:16" s="275" customFormat="1" ht="21" customHeight="1">
      <c r="A155" s="287">
        <f t="shared" si="3"/>
        <v>24</v>
      </c>
      <c r="B155" s="290" t="s">
        <v>138</v>
      </c>
      <c r="C155" s="184" t="s">
        <v>447</v>
      </c>
      <c r="D155" s="287" t="s">
        <v>240</v>
      </c>
      <c r="E155" s="288">
        <v>45688</v>
      </c>
      <c r="F155" s="289">
        <v>29</v>
      </c>
      <c r="G155" s="608" t="s">
        <v>404</v>
      </c>
      <c r="H155" s="608"/>
      <c r="I155" s="608"/>
      <c r="J155" s="608"/>
      <c r="K155" s="288">
        <v>45693</v>
      </c>
      <c r="L155" s="287" t="s">
        <v>502</v>
      </c>
      <c r="M155" s="287"/>
      <c r="N155" s="622"/>
      <c r="O155" s="622"/>
      <c r="P155" s="622"/>
    </row>
    <row r="156" spans="1:16" s="275" customFormat="1" ht="27.6" customHeight="1">
      <c r="A156" s="287">
        <f t="shared" si="3"/>
        <v>25</v>
      </c>
      <c r="B156" s="290" t="s">
        <v>146</v>
      </c>
      <c r="C156" s="184" t="s">
        <v>455</v>
      </c>
      <c r="D156" s="287" t="s">
        <v>240</v>
      </c>
      <c r="E156" s="288">
        <v>45694</v>
      </c>
      <c r="F156" s="289">
        <v>33</v>
      </c>
      <c r="G156" s="608" t="s">
        <v>404</v>
      </c>
      <c r="H156" s="608"/>
      <c r="I156" s="608"/>
      <c r="J156" s="608"/>
      <c r="K156" s="288">
        <v>45699</v>
      </c>
      <c r="L156" s="287" t="s">
        <v>502</v>
      </c>
      <c r="M156" s="287"/>
      <c r="N156" s="620"/>
      <c r="O156" s="620"/>
      <c r="P156" s="620"/>
    </row>
    <row r="157" spans="1:16" s="275" customFormat="1" ht="27.6" customHeight="1">
      <c r="A157" s="287">
        <f t="shared" si="3"/>
        <v>26</v>
      </c>
      <c r="B157" s="290" t="s">
        <v>147</v>
      </c>
      <c r="C157" s="184" t="s">
        <v>447</v>
      </c>
      <c r="D157" s="287" t="s">
        <v>240</v>
      </c>
      <c r="E157" s="288">
        <v>45700</v>
      </c>
      <c r="F157" s="289">
        <v>29</v>
      </c>
      <c r="G157" s="608" t="s">
        <v>404</v>
      </c>
      <c r="H157" s="608"/>
      <c r="I157" s="608"/>
      <c r="J157" s="608"/>
      <c r="K157" s="288">
        <v>45705</v>
      </c>
      <c r="L157" s="287" t="s">
        <v>502</v>
      </c>
      <c r="M157" s="287"/>
      <c r="N157" s="620"/>
      <c r="O157" s="620"/>
      <c r="P157" s="620"/>
    </row>
    <row r="158" spans="1:16" s="275" customFormat="1" ht="27.6" customHeight="1">
      <c r="A158" s="287">
        <f t="shared" si="3"/>
        <v>27</v>
      </c>
      <c r="B158" s="290" t="s">
        <v>176</v>
      </c>
      <c r="C158" s="184" t="s">
        <v>447</v>
      </c>
      <c r="D158" s="287" t="s">
        <v>240</v>
      </c>
      <c r="E158" s="288">
        <v>45700</v>
      </c>
      <c r="F158" s="289">
        <v>29</v>
      </c>
      <c r="G158" s="608" t="s">
        <v>404</v>
      </c>
      <c r="H158" s="608"/>
      <c r="I158" s="608"/>
      <c r="J158" s="608"/>
      <c r="K158" s="288">
        <v>45708</v>
      </c>
      <c r="L158" s="287" t="s">
        <v>502</v>
      </c>
      <c r="M158" s="287"/>
      <c r="N158" s="620"/>
      <c r="O158" s="620"/>
      <c r="P158" s="620"/>
    </row>
    <row r="159" spans="1:16" s="275" customFormat="1" ht="27.6" customHeight="1">
      <c r="A159" s="287">
        <f t="shared" si="3"/>
        <v>28</v>
      </c>
      <c r="B159" s="290" t="s">
        <v>508</v>
      </c>
      <c r="C159" s="184" t="s">
        <v>479</v>
      </c>
      <c r="D159" s="287" t="s">
        <v>240</v>
      </c>
      <c r="E159" s="288">
        <v>45709</v>
      </c>
      <c r="F159" s="289">
        <v>45</v>
      </c>
      <c r="G159" s="608" t="s">
        <v>404</v>
      </c>
      <c r="H159" s="608"/>
      <c r="I159" s="608"/>
      <c r="J159" s="608"/>
      <c r="K159" s="288">
        <v>45714</v>
      </c>
      <c r="L159" s="287" t="s">
        <v>502</v>
      </c>
      <c r="M159" s="287"/>
      <c r="N159" s="620"/>
      <c r="O159" s="620"/>
      <c r="P159" s="620"/>
    </row>
    <row r="160" spans="1:16" s="275" customFormat="1" ht="27.6" customHeight="1">
      <c r="A160" s="287">
        <f t="shared" si="3"/>
        <v>29</v>
      </c>
      <c r="B160" s="290" t="s">
        <v>509</v>
      </c>
      <c r="C160" s="184" t="s">
        <v>479</v>
      </c>
      <c r="D160" s="287" t="s">
        <v>240</v>
      </c>
      <c r="E160" s="288">
        <v>45714</v>
      </c>
      <c r="F160" s="289">
        <v>45</v>
      </c>
      <c r="G160" s="608" t="s">
        <v>404</v>
      </c>
      <c r="H160" s="608"/>
      <c r="I160" s="608"/>
      <c r="J160" s="608"/>
      <c r="K160" s="288">
        <v>45719</v>
      </c>
      <c r="L160" s="287" t="s">
        <v>502</v>
      </c>
      <c r="M160" s="287"/>
      <c r="N160" s="620"/>
      <c r="O160" s="620"/>
      <c r="P160" s="620"/>
    </row>
    <row r="161" spans="1:16" s="275" customFormat="1" ht="27.6" customHeight="1">
      <c r="A161" s="287">
        <f t="shared" si="3"/>
        <v>30</v>
      </c>
      <c r="B161" s="290" t="s">
        <v>517</v>
      </c>
      <c r="C161" s="184" t="s">
        <v>479</v>
      </c>
      <c r="D161" s="287" t="s">
        <v>240</v>
      </c>
      <c r="E161" s="288">
        <v>45719</v>
      </c>
      <c r="F161" s="289">
        <v>45</v>
      </c>
      <c r="G161" s="608" t="s">
        <v>404</v>
      </c>
      <c r="H161" s="608"/>
      <c r="I161" s="608"/>
      <c r="J161" s="608"/>
      <c r="K161" s="288">
        <v>45724</v>
      </c>
      <c r="L161" s="287" t="s">
        <v>502</v>
      </c>
      <c r="M161" s="287"/>
      <c r="N161" s="620"/>
      <c r="O161" s="620"/>
      <c r="P161" s="620"/>
    </row>
    <row r="162" spans="1:16" s="275" customFormat="1" ht="27.6" customHeight="1">
      <c r="A162" s="287">
        <f t="shared" si="3"/>
        <v>31</v>
      </c>
      <c r="B162" s="290" t="s">
        <v>162</v>
      </c>
      <c r="C162" s="184" t="s">
        <v>403</v>
      </c>
      <c r="D162" s="287" t="s">
        <v>240</v>
      </c>
      <c r="E162" s="288">
        <v>45722</v>
      </c>
      <c r="F162" s="289">
        <v>28</v>
      </c>
      <c r="G162" s="608" t="s">
        <v>404</v>
      </c>
      <c r="H162" s="608"/>
      <c r="I162" s="608"/>
      <c r="J162" s="608"/>
      <c r="K162" s="288">
        <v>45727</v>
      </c>
      <c r="L162" s="287" t="s">
        <v>512</v>
      </c>
      <c r="M162" s="287"/>
      <c r="N162" s="620"/>
      <c r="O162" s="620"/>
      <c r="P162" s="620"/>
    </row>
    <row r="163" spans="1:16" s="275" customFormat="1" ht="27.6" customHeight="1">
      <c r="A163" s="287">
        <f t="shared" si="3"/>
        <v>32</v>
      </c>
      <c r="B163" s="290" t="s">
        <v>160</v>
      </c>
      <c r="C163" s="184" t="s">
        <v>479</v>
      </c>
      <c r="D163" s="287" t="s">
        <v>240</v>
      </c>
      <c r="E163" s="288">
        <v>45728</v>
      </c>
      <c r="F163" s="289">
        <v>45</v>
      </c>
      <c r="G163" s="608" t="s">
        <v>404</v>
      </c>
      <c r="H163" s="608"/>
      <c r="I163" s="608"/>
      <c r="J163" s="608"/>
      <c r="K163" s="288">
        <v>45733</v>
      </c>
      <c r="L163" s="287" t="s">
        <v>512</v>
      </c>
      <c r="M163" s="287"/>
      <c r="N163" s="620"/>
      <c r="O163" s="620"/>
      <c r="P163" s="620"/>
    </row>
    <row r="164" spans="1:16" s="275" customFormat="1" ht="27.6" customHeight="1">
      <c r="A164" s="287">
        <f t="shared" si="3"/>
        <v>33</v>
      </c>
      <c r="B164" s="290" t="s">
        <v>515</v>
      </c>
      <c r="C164" s="184" t="s">
        <v>516</v>
      </c>
      <c r="D164" s="287" t="s">
        <v>240</v>
      </c>
      <c r="E164" s="288">
        <v>45734</v>
      </c>
      <c r="F164" s="289">
        <v>54</v>
      </c>
      <c r="G164" s="608" t="s">
        <v>404</v>
      </c>
      <c r="H164" s="608"/>
      <c r="I164" s="608"/>
      <c r="J164" s="608"/>
      <c r="K164" s="288">
        <v>45739</v>
      </c>
      <c r="L164" s="287" t="s">
        <v>512</v>
      </c>
      <c r="M164" s="287"/>
      <c r="N164" s="620"/>
      <c r="O164" s="620"/>
      <c r="P164" s="620"/>
    </row>
    <row r="165" spans="1:16" s="275" customFormat="1" ht="27.6" customHeight="1">
      <c r="A165" s="287">
        <f t="shared" si="3"/>
        <v>34</v>
      </c>
      <c r="B165" s="290" t="s">
        <v>4</v>
      </c>
      <c r="C165" s="184" t="s">
        <v>518</v>
      </c>
      <c r="D165" s="287" t="s">
        <v>240</v>
      </c>
      <c r="E165" s="288">
        <v>45734</v>
      </c>
      <c r="F165" s="289">
        <v>52</v>
      </c>
      <c r="G165" s="608" t="s">
        <v>404</v>
      </c>
      <c r="H165" s="608"/>
      <c r="I165" s="608"/>
      <c r="J165" s="608"/>
      <c r="K165" s="288">
        <v>45744</v>
      </c>
      <c r="L165" s="287" t="s">
        <v>512</v>
      </c>
      <c r="M165" s="287"/>
      <c r="N165" s="620"/>
      <c r="O165" s="620"/>
      <c r="P165" s="620"/>
    </row>
    <row r="166" spans="1:16" s="275" customFormat="1" ht="27.6" customHeight="1">
      <c r="A166" s="287">
        <f t="shared" si="3"/>
        <v>35</v>
      </c>
      <c r="B166" s="290" t="s">
        <v>5</v>
      </c>
      <c r="C166" s="184" t="s">
        <v>403</v>
      </c>
      <c r="D166" s="287" t="s">
        <v>240</v>
      </c>
      <c r="E166" s="288">
        <v>45744</v>
      </c>
      <c r="F166" s="289">
        <v>28</v>
      </c>
      <c r="G166" s="608" t="s">
        <v>404</v>
      </c>
      <c r="H166" s="608"/>
      <c r="I166" s="608"/>
      <c r="J166" s="608"/>
      <c r="K166" s="288">
        <v>45748</v>
      </c>
      <c r="L166" s="287" t="s">
        <v>512</v>
      </c>
      <c r="M166" s="287"/>
      <c r="N166" s="620"/>
      <c r="O166" s="620"/>
      <c r="P166" s="620"/>
    </row>
    <row r="167" spans="1:16" s="275" customFormat="1" ht="27.6" customHeight="1">
      <c r="A167" s="287">
        <f t="shared" si="3"/>
        <v>36</v>
      </c>
      <c r="B167" s="290" t="s">
        <v>50</v>
      </c>
      <c r="C167" s="184" t="s">
        <v>447</v>
      </c>
      <c r="D167" s="287" t="s">
        <v>240</v>
      </c>
      <c r="E167" s="288">
        <v>45749</v>
      </c>
      <c r="F167" s="289">
        <v>29</v>
      </c>
      <c r="G167" s="608" t="s">
        <v>404</v>
      </c>
      <c r="H167" s="608"/>
      <c r="I167" s="608"/>
      <c r="J167" s="608"/>
      <c r="K167" s="288">
        <v>45752</v>
      </c>
      <c r="L167" s="287" t="s">
        <v>512</v>
      </c>
      <c r="M167" s="287"/>
      <c r="N167" s="620"/>
      <c r="O167" s="620"/>
      <c r="P167" s="620"/>
    </row>
    <row r="168" spans="1:16" s="275" customFormat="1" ht="27.6" customHeight="1">
      <c r="A168" s="287">
        <f t="shared" si="3"/>
        <v>37</v>
      </c>
      <c r="B168" s="290" t="s">
        <v>603</v>
      </c>
      <c r="C168" s="184" t="s">
        <v>602</v>
      </c>
      <c r="D168" s="287" t="s">
        <v>240</v>
      </c>
      <c r="E168" s="288">
        <v>45752</v>
      </c>
      <c r="F168" s="289">
        <v>47</v>
      </c>
      <c r="G168" s="608" t="s">
        <v>404</v>
      </c>
      <c r="H168" s="608"/>
      <c r="I168" s="608"/>
      <c r="J168" s="608"/>
      <c r="K168" s="288">
        <v>45757</v>
      </c>
      <c r="L168" s="287" t="s">
        <v>512</v>
      </c>
      <c r="M168" s="287"/>
      <c r="N168" s="620"/>
      <c r="O168" s="620"/>
      <c r="P168" s="620"/>
    </row>
    <row r="169" spans="1:16" s="275" customFormat="1" ht="27.6" customHeight="1">
      <c r="A169" s="287">
        <f t="shared" si="3"/>
        <v>38</v>
      </c>
      <c r="B169" s="290" t="s">
        <v>122</v>
      </c>
      <c r="C169" s="184" t="s">
        <v>607</v>
      </c>
      <c r="D169" s="287" t="s">
        <v>240</v>
      </c>
      <c r="E169" s="288">
        <v>45758</v>
      </c>
      <c r="F169" s="289">
        <v>54</v>
      </c>
      <c r="G169" s="608" t="s">
        <v>404</v>
      </c>
      <c r="H169" s="608"/>
      <c r="I169" s="608"/>
      <c r="J169" s="608"/>
      <c r="K169" s="288">
        <v>45768</v>
      </c>
      <c r="L169" s="287" t="s">
        <v>502</v>
      </c>
      <c r="M169" s="287"/>
      <c r="N169" s="620"/>
      <c r="O169" s="620"/>
      <c r="P169" s="620"/>
    </row>
    <row r="170" spans="1:16" s="275" customFormat="1" ht="27.6" customHeight="1">
      <c r="A170" s="287">
        <f t="shared" si="3"/>
        <v>39</v>
      </c>
      <c r="B170" s="290" t="s">
        <v>181</v>
      </c>
      <c r="C170" s="184" t="s">
        <v>447</v>
      </c>
      <c r="D170" s="287" t="s">
        <v>240</v>
      </c>
      <c r="E170" s="288">
        <v>45759</v>
      </c>
      <c r="F170" s="289">
        <v>29</v>
      </c>
      <c r="G170" s="608" t="s">
        <v>404</v>
      </c>
      <c r="H170" s="608"/>
      <c r="I170" s="608"/>
      <c r="J170" s="608"/>
      <c r="K170" s="288">
        <v>45765</v>
      </c>
      <c r="L170" s="287" t="s">
        <v>512</v>
      </c>
      <c r="M170" s="287"/>
      <c r="N170" s="620"/>
      <c r="O170" s="620"/>
      <c r="P170" s="620"/>
    </row>
    <row r="171" spans="1:16" s="275" customFormat="1" ht="27.6" customHeight="1">
      <c r="A171" s="287">
        <f t="shared" si="3"/>
        <v>40</v>
      </c>
      <c r="B171" s="290" t="s">
        <v>605</v>
      </c>
      <c r="C171" s="184" t="s">
        <v>606</v>
      </c>
      <c r="D171" s="287" t="s">
        <v>240</v>
      </c>
      <c r="E171" s="288">
        <v>45765</v>
      </c>
      <c r="F171" s="289">
        <v>45</v>
      </c>
      <c r="G171" s="608" t="s">
        <v>404</v>
      </c>
      <c r="H171" s="608"/>
      <c r="I171" s="608"/>
      <c r="J171" s="608"/>
      <c r="K171" s="288">
        <v>45773</v>
      </c>
      <c r="L171" s="287" t="s">
        <v>683</v>
      </c>
      <c r="M171" s="287"/>
      <c r="N171" s="621" t="s">
        <v>109</v>
      </c>
      <c r="O171" s="621"/>
      <c r="P171" s="621"/>
    </row>
    <row r="172" spans="1:16" s="275" customFormat="1" ht="27.6" customHeight="1">
      <c r="A172" s="287">
        <f t="shared" si="3"/>
        <v>41</v>
      </c>
      <c r="B172" s="290" t="s">
        <v>501</v>
      </c>
      <c r="C172" s="184" t="s">
        <v>479</v>
      </c>
      <c r="D172" s="287" t="s">
        <v>240</v>
      </c>
      <c r="E172" s="288">
        <v>45769</v>
      </c>
      <c r="F172" s="289">
        <v>45</v>
      </c>
      <c r="G172" s="608" t="s">
        <v>404</v>
      </c>
      <c r="H172" s="608"/>
      <c r="I172" s="608"/>
      <c r="J172" s="608"/>
      <c r="K172" s="288">
        <v>45776</v>
      </c>
      <c r="L172" s="287" t="s">
        <v>684</v>
      </c>
      <c r="M172" s="287"/>
      <c r="N172" s="619"/>
      <c r="O172" s="619"/>
      <c r="P172" s="619"/>
    </row>
    <row r="173" spans="1:16" s="275" customFormat="1" ht="27.6" customHeight="1">
      <c r="A173" s="287">
        <f t="shared" si="3"/>
        <v>42</v>
      </c>
      <c r="B173" s="290" t="s">
        <v>168</v>
      </c>
      <c r="C173" s="184" t="s">
        <v>456</v>
      </c>
      <c r="D173" s="287" t="s">
        <v>240</v>
      </c>
      <c r="E173" s="288">
        <v>45774</v>
      </c>
      <c r="F173" s="289">
        <v>34.630000000000003</v>
      </c>
      <c r="G173" s="608" t="s">
        <v>404</v>
      </c>
      <c r="H173" s="608"/>
      <c r="I173" s="608"/>
      <c r="J173" s="608"/>
      <c r="K173" s="288">
        <v>45780</v>
      </c>
      <c r="L173" s="287" t="s">
        <v>683</v>
      </c>
      <c r="M173" s="287"/>
      <c r="N173" s="619"/>
      <c r="O173" s="619"/>
      <c r="P173" s="619"/>
    </row>
    <row r="174" spans="1:16" s="275" customFormat="1" ht="27.6" customHeight="1">
      <c r="A174" s="287">
        <f t="shared" si="3"/>
        <v>43</v>
      </c>
      <c r="B174" s="290" t="s">
        <v>20</v>
      </c>
      <c r="C174" s="184" t="s">
        <v>447</v>
      </c>
      <c r="D174" s="287" t="s">
        <v>240</v>
      </c>
      <c r="E174" s="288">
        <v>45776</v>
      </c>
      <c r="F174" s="289">
        <v>29</v>
      </c>
      <c r="G174" s="608" t="s">
        <v>404</v>
      </c>
      <c r="H174" s="608"/>
      <c r="I174" s="608"/>
      <c r="J174" s="608"/>
      <c r="K174" s="288">
        <v>45784</v>
      </c>
      <c r="L174" s="287" t="s">
        <v>684</v>
      </c>
      <c r="M174" s="287"/>
      <c r="N174" s="619"/>
      <c r="O174" s="619"/>
      <c r="P174" s="619"/>
    </row>
    <row r="175" spans="1:16" s="275" customFormat="1" ht="27.6" customHeight="1">
      <c r="A175" s="287">
        <f t="shared" si="3"/>
        <v>44</v>
      </c>
      <c r="B175" s="290" t="s">
        <v>37</v>
      </c>
      <c r="C175" s="184" t="s">
        <v>403</v>
      </c>
      <c r="D175" s="287" t="s">
        <v>240</v>
      </c>
      <c r="E175" s="288">
        <v>45782</v>
      </c>
      <c r="F175" s="289">
        <v>28</v>
      </c>
      <c r="G175" s="608" t="s">
        <v>404</v>
      </c>
      <c r="H175" s="608"/>
      <c r="I175" s="608"/>
      <c r="J175" s="608"/>
      <c r="K175" s="288">
        <v>45787</v>
      </c>
      <c r="L175" s="287" t="s">
        <v>683</v>
      </c>
      <c r="M175" s="287"/>
      <c r="N175" s="618" t="s">
        <v>109</v>
      </c>
      <c r="O175" s="618"/>
      <c r="P175" s="618"/>
    </row>
    <row r="176" spans="1:16" s="275" customFormat="1" ht="27.6" customHeight="1">
      <c r="A176" s="287">
        <f t="shared" si="3"/>
        <v>45</v>
      </c>
      <c r="B176" s="290" t="s">
        <v>524</v>
      </c>
      <c r="C176" s="184" t="s">
        <v>479</v>
      </c>
      <c r="D176" s="287" t="s">
        <v>240</v>
      </c>
      <c r="E176" s="288">
        <v>45785</v>
      </c>
      <c r="F176" s="289">
        <v>45</v>
      </c>
      <c r="G176" s="608" t="s">
        <v>404</v>
      </c>
      <c r="H176" s="608"/>
      <c r="I176" s="608"/>
      <c r="J176" s="608"/>
      <c r="K176" s="288">
        <v>45794</v>
      </c>
      <c r="L176" s="287" t="s">
        <v>683</v>
      </c>
      <c r="M176" s="287"/>
      <c r="N176" s="618"/>
      <c r="O176" s="618"/>
      <c r="P176" s="618"/>
    </row>
    <row r="177" spans="1:16" s="275" customFormat="1" ht="27.6" customHeight="1">
      <c r="A177" s="287">
        <f t="shared" si="3"/>
        <v>46</v>
      </c>
      <c r="B177" s="290" t="s">
        <v>158</v>
      </c>
      <c r="C177" s="184" t="s">
        <v>455</v>
      </c>
      <c r="D177" s="287" t="s">
        <v>240</v>
      </c>
      <c r="E177" s="288">
        <v>45788</v>
      </c>
      <c r="F177" s="289">
        <v>33</v>
      </c>
      <c r="G177" s="608" t="s">
        <v>404</v>
      </c>
      <c r="H177" s="608"/>
      <c r="I177" s="608"/>
      <c r="J177" s="608"/>
      <c r="K177" s="288">
        <v>45796</v>
      </c>
      <c r="L177" s="287" t="s">
        <v>684</v>
      </c>
      <c r="M177" s="287"/>
      <c r="N177" s="618"/>
      <c r="O177" s="618"/>
      <c r="P177" s="618"/>
    </row>
    <row r="178" spans="1:16" s="275" customFormat="1" ht="27.6" customHeight="1">
      <c r="A178" s="287">
        <f t="shared" si="3"/>
        <v>47</v>
      </c>
      <c r="B178" s="290" t="s">
        <v>128</v>
      </c>
      <c r="C178" s="184" t="s">
        <v>451</v>
      </c>
      <c r="D178" s="287" t="s">
        <v>240</v>
      </c>
      <c r="E178" s="288">
        <v>45788</v>
      </c>
      <c r="F178" s="289">
        <v>27</v>
      </c>
      <c r="G178" s="608" t="s">
        <v>404</v>
      </c>
      <c r="H178" s="608"/>
      <c r="I178" s="608"/>
      <c r="J178" s="608"/>
      <c r="K178" s="288">
        <v>45803</v>
      </c>
      <c r="L178" s="287" t="s">
        <v>683</v>
      </c>
      <c r="M178" s="287"/>
      <c r="N178" s="618"/>
      <c r="O178" s="618"/>
      <c r="P178" s="618"/>
    </row>
    <row r="179" spans="1:16" s="275" customFormat="1" ht="27.6" customHeight="1">
      <c r="A179" s="287">
        <f t="shared" si="3"/>
        <v>48</v>
      </c>
      <c r="B179" s="290" t="s">
        <v>130</v>
      </c>
      <c r="C179" s="184" t="s">
        <v>447</v>
      </c>
      <c r="D179" s="287" t="s">
        <v>240</v>
      </c>
      <c r="E179" s="288">
        <v>45799</v>
      </c>
      <c r="F179" s="289">
        <v>29</v>
      </c>
      <c r="G179" s="608" t="s">
        <v>404</v>
      </c>
      <c r="H179" s="608"/>
      <c r="I179" s="608"/>
      <c r="J179" s="608"/>
      <c r="K179" s="288">
        <v>45805</v>
      </c>
      <c r="L179" s="287" t="s">
        <v>684</v>
      </c>
      <c r="M179" s="287"/>
      <c r="N179" s="618"/>
      <c r="O179" s="618"/>
      <c r="P179" s="618"/>
    </row>
    <row r="180" spans="1:16" s="275" customFormat="1" ht="27.6" customHeight="1">
      <c r="A180" s="287">
        <f t="shared" si="3"/>
        <v>49</v>
      </c>
      <c r="B180" s="290" t="s">
        <v>133</v>
      </c>
      <c r="C180" s="184" t="s">
        <v>451</v>
      </c>
      <c r="D180" s="287" t="s">
        <v>240</v>
      </c>
      <c r="E180" s="288">
        <v>45807</v>
      </c>
      <c r="F180" s="289">
        <v>27</v>
      </c>
      <c r="G180" s="608" t="s">
        <v>404</v>
      </c>
      <c r="H180" s="608"/>
      <c r="I180" s="608"/>
      <c r="J180" s="608"/>
      <c r="K180" s="288">
        <v>45812</v>
      </c>
      <c r="L180" s="287" t="s">
        <v>683</v>
      </c>
      <c r="M180" s="287"/>
      <c r="N180" s="614"/>
      <c r="O180" s="614"/>
      <c r="P180" s="614"/>
    </row>
    <row r="181" spans="1:16" s="275" customFormat="1" ht="27.6" customHeight="1">
      <c r="A181" s="287">
        <f t="shared" si="3"/>
        <v>50</v>
      </c>
      <c r="B181" s="290" t="s">
        <v>145</v>
      </c>
      <c r="C181" s="184" t="s">
        <v>451</v>
      </c>
      <c r="D181" s="287" t="s">
        <v>240</v>
      </c>
      <c r="E181" s="288">
        <v>45806</v>
      </c>
      <c r="F181" s="289">
        <v>27</v>
      </c>
      <c r="G181" s="608" t="s">
        <v>404</v>
      </c>
      <c r="H181" s="608"/>
      <c r="I181" s="608"/>
      <c r="J181" s="608"/>
      <c r="K181" s="288">
        <v>45810</v>
      </c>
      <c r="L181" s="287" t="s">
        <v>684</v>
      </c>
      <c r="M181" s="287"/>
      <c r="N181" s="614"/>
      <c r="O181" s="614"/>
      <c r="P181" s="614"/>
    </row>
    <row r="182" spans="1:16" s="275" customFormat="1" ht="27.6" customHeight="1">
      <c r="A182" s="287">
        <f t="shared" si="3"/>
        <v>51</v>
      </c>
      <c r="B182" s="290" t="s">
        <v>124</v>
      </c>
      <c r="C182" s="184" t="s">
        <v>451</v>
      </c>
      <c r="D182" s="287" t="s">
        <v>240</v>
      </c>
      <c r="E182" s="288">
        <v>45811</v>
      </c>
      <c r="F182" s="289">
        <v>27</v>
      </c>
      <c r="G182" s="608" t="s">
        <v>404</v>
      </c>
      <c r="H182" s="608"/>
      <c r="I182" s="608"/>
      <c r="J182" s="608"/>
      <c r="K182" s="288">
        <v>45816</v>
      </c>
      <c r="L182" s="287" t="s">
        <v>683</v>
      </c>
      <c r="M182" s="287"/>
      <c r="N182" s="614"/>
      <c r="O182" s="614"/>
      <c r="P182" s="614"/>
    </row>
    <row r="183" spans="1:16" s="275" customFormat="1" ht="27.6" customHeight="1">
      <c r="A183" s="287">
        <f t="shared" si="3"/>
        <v>52</v>
      </c>
      <c r="B183" s="290" t="s">
        <v>125</v>
      </c>
      <c r="C183" s="184" t="s">
        <v>451</v>
      </c>
      <c r="D183" s="287" t="s">
        <v>240</v>
      </c>
      <c r="E183" s="288">
        <v>45817</v>
      </c>
      <c r="F183" s="289">
        <v>27</v>
      </c>
      <c r="G183" s="608" t="s">
        <v>404</v>
      </c>
      <c r="H183" s="608"/>
      <c r="I183" s="608"/>
      <c r="J183" s="608"/>
      <c r="K183" s="288">
        <v>45820</v>
      </c>
      <c r="L183" s="287" t="s">
        <v>683</v>
      </c>
      <c r="M183" s="287"/>
      <c r="N183" s="614"/>
      <c r="O183" s="614"/>
      <c r="P183" s="614"/>
    </row>
    <row r="184" spans="1:16" s="275" customFormat="1" ht="27.6" customHeight="1">
      <c r="A184" s="287">
        <f t="shared" si="3"/>
        <v>53</v>
      </c>
      <c r="B184" s="290" t="s">
        <v>126</v>
      </c>
      <c r="C184" s="184" t="s">
        <v>451</v>
      </c>
      <c r="D184" s="287" t="s">
        <v>240</v>
      </c>
      <c r="E184" s="288">
        <v>45820</v>
      </c>
      <c r="F184" s="289">
        <v>27</v>
      </c>
      <c r="G184" s="608" t="s">
        <v>404</v>
      </c>
      <c r="H184" s="608"/>
      <c r="I184" s="608"/>
      <c r="J184" s="608"/>
      <c r="K184" s="288">
        <v>45825</v>
      </c>
      <c r="L184" s="287" t="s">
        <v>684</v>
      </c>
      <c r="M184" s="287"/>
      <c r="N184" s="614"/>
      <c r="O184" s="614"/>
      <c r="P184" s="614"/>
    </row>
    <row r="185" spans="1:16" s="275" customFormat="1" ht="27.6" customHeight="1">
      <c r="A185" s="287">
        <f t="shared" si="3"/>
        <v>54</v>
      </c>
      <c r="B185" s="483" t="s">
        <v>123</v>
      </c>
      <c r="C185" s="184" t="s">
        <v>696</v>
      </c>
      <c r="D185" s="287" t="s">
        <v>240</v>
      </c>
      <c r="E185" s="288">
        <v>45822</v>
      </c>
      <c r="F185" s="289">
        <v>56</v>
      </c>
      <c r="G185" s="608" t="s">
        <v>404</v>
      </c>
      <c r="H185" s="608"/>
      <c r="I185" s="608"/>
      <c r="J185" s="608"/>
      <c r="K185" s="186">
        <v>45832</v>
      </c>
      <c r="L185" s="287" t="s">
        <v>683</v>
      </c>
      <c r="M185" s="287"/>
      <c r="N185" s="614"/>
      <c r="O185" s="614"/>
      <c r="P185" s="614"/>
    </row>
    <row r="186" spans="1:16" s="275" customFormat="1" ht="27.6" customHeight="1">
      <c r="A186" s="287">
        <f t="shared" si="3"/>
        <v>55</v>
      </c>
      <c r="B186" s="483" t="s">
        <v>655</v>
      </c>
      <c r="C186" s="184" t="s">
        <v>656</v>
      </c>
      <c r="D186" s="287" t="s">
        <v>240</v>
      </c>
      <c r="E186" s="288">
        <v>45827</v>
      </c>
      <c r="F186" s="289">
        <v>47</v>
      </c>
      <c r="G186" s="608" t="s">
        <v>404</v>
      </c>
      <c r="H186" s="608"/>
      <c r="I186" s="608"/>
      <c r="J186" s="608"/>
      <c r="K186" s="186">
        <v>45839</v>
      </c>
      <c r="L186" s="287" t="s">
        <v>684</v>
      </c>
      <c r="M186" s="287"/>
      <c r="N186" s="614"/>
      <c r="O186" s="614"/>
      <c r="P186" s="614"/>
    </row>
    <row r="187" spans="1:16" s="275" customFormat="1" ht="27.6" customHeight="1">
      <c r="A187" s="287">
        <f t="shared" si="3"/>
        <v>56</v>
      </c>
      <c r="B187" s="483" t="s">
        <v>627</v>
      </c>
      <c r="C187" s="184" t="s">
        <v>403</v>
      </c>
      <c r="D187" s="287" t="s">
        <v>240</v>
      </c>
      <c r="E187" s="288">
        <v>45841</v>
      </c>
      <c r="F187" s="289">
        <v>28</v>
      </c>
      <c r="G187" s="608" t="s">
        <v>404</v>
      </c>
      <c r="H187" s="608"/>
      <c r="I187" s="608"/>
      <c r="J187" s="608"/>
      <c r="K187" s="186">
        <v>45850</v>
      </c>
      <c r="L187" s="287" t="s">
        <v>722</v>
      </c>
      <c r="M187" s="287"/>
      <c r="N187" s="614"/>
      <c r="O187" s="614"/>
      <c r="P187" s="614"/>
    </row>
    <row r="188" spans="1:16" s="275" customFormat="1" ht="27.6" customHeight="1">
      <c r="A188" s="287">
        <f t="shared" si="3"/>
        <v>57</v>
      </c>
      <c r="B188" s="483" t="s">
        <v>608</v>
      </c>
      <c r="C188" s="184" t="s">
        <v>607</v>
      </c>
      <c r="D188" s="287" t="s">
        <v>240</v>
      </c>
      <c r="E188" s="288">
        <v>45841</v>
      </c>
      <c r="F188" s="289">
        <v>54</v>
      </c>
      <c r="G188" s="608" t="s">
        <v>404</v>
      </c>
      <c r="H188" s="608"/>
      <c r="I188" s="608"/>
      <c r="J188" s="608"/>
      <c r="K188" s="186">
        <v>45859</v>
      </c>
      <c r="L188" s="287" t="s">
        <v>683</v>
      </c>
      <c r="M188" s="287"/>
      <c r="N188" s="614"/>
      <c r="O188" s="614"/>
      <c r="P188" s="614"/>
    </row>
    <row r="189" spans="1:16" s="275" customFormat="1" ht="27.6" customHeight="1">
      <c r="A189" s="287">
        <f t="shared" si="3"/>
        <v>58</v>
      </c>
      <c r="B189" s="483" t="s">
        <v>530</v>
      </c>
      <c r="C189" s="184" t="s">
        <v>602</v>
      </c>
      <c r="D189" s="287" t="s">
        <v>240</v>
      </c>
      <c r="E189" s="288">
        <v>45841</v>
      </c>
      <c r="F189" s="289">
        <v>47</v>
      </c>
      <c r="G189" s="608" t="s">
        <v>404</v>
      </c>
      <c r="H189" s="608"/>
      <c r="I189" s="608"/>
      <c r="J189" s="608"/>
      <c r="K189" s="186">
        <v>45852</v>
      </c>
      <c r="L189" s="287" t="s">
        <v>723</v>
      </c>
      <c r="M189" s="287"/>
      <c r="N189" s="614"/>
      <c r="O189" s="614"/>
      <c r="P189" s="614"/>
    </row>
    <row r="190" spans="1:16" s="275" customFormat="1" ht="27.6" customHeight="1">
      <c r="A190" s="287">
        <f t="shared" si="3"/>
        <v>59</v>
      </c>
      <c r="B190" s="483" t="s">
        <v>21</v>
      </c>
      <c r="C190" s="184" t="s">
        <v>403</v>
      </c>
      <c r="D190" s="287" t="s">
        <v>240</v>
      </c>
      <c r="E190" s="288">
        <v>45852</v>
      </c>
      <c r="F190" s="289">
        <v>28</v>
      </c>
      <c r="G190" s="608" t="s">
        <v>404</v>
      </c>
      <c r="H190" s="608"/>
      <c r="I190" s="608"/>
      <c r="J190" s="608"/>
      <c r="K190" s="186">
        <v>45858</v>
      </c>
      <c r="L190" s="287" t="s">
        <v>722</v>
      </c>
      <c r="M190" s="287"/>
      <c r="N190" s="614"/>
      <c r="O190" s="614"/>
      <c r="P190" s="614"/>
    </row>
    <row r="191" spans="1:16" s="275" customFormat="1" ht="27.6" customHeight="1">
      <c r="A191" s="287">
        <f t="shared" si="3"/>
        <v>60</v>
      </c>
      <c r="B191" s="483" t="s">
        <v>143</v>
      </c>
      <c r="C191" s="184" t="s">
        <v>456</v>
      </c>
      <c r="D191" s="287" t="s">
        <v>240</v>
      </c>
      <c r="E191" s="288">
        <v>45853</v>
      </c>
      <c r="F191" s="289">
        <v>34.6</v>
      </c>
      <c r="G191" s="608" t="s">
        <v>404</v>
      </c>
      <c r="H191" s="608"/>
      <c r="I191" s="608"/>
      <c r="J191" s="608"/>
      <c r="K191" s="186">
        <v>45861</v>
      </c>
      <c r="L191" s="287" t="s">
        <v>723</v>
      </c>
      <c r="M191" s="287"/>
      <c r="N191" s="614"/>
      <c r="O191" s="614"/>
      <c r="P191" s="614"/>
    </row>
    <row r="192" spans="1:16" s="275" customFormat="1" ht="27.6" customHeight="1">
      <c r="A192" s="287">
        <f t="shared" si="3"/>
        <v>61</v>
      </c>
      <c r="B192" s="483" t="s">
        <v>139</v>
      </c>
      <c r="C192" s="184" t="s">
        <v>456</v>
      </c>
      <c r="D192" s="287" t="s">
        <v>240</v>
      </c>
      <c r="E192" s="288">
        <v>45859</v>
      </c>
      <c r="F192" s="289">
        <v>34.6</v>
      </c>
      <c r="G192" s="608" t="s">
        <v>404</v>
      </c>
      <c r="H192" s="608"/>
      <c r="I192" s="608"/>
      <c r="J192" s="608"/>
      <c r="K192" s="186">
        <v>45869</v>
      </c>
      <c r="L192" s="287" t="s">
        <v>723</v>
      </c>
      <c r="M192" s="287"/>
      <c r="N192" s="614"/>
      <c r="O192" s="614"/>
      <c r="P192" s="614"/>
    </row>
    <row r="193" spans="1:16" s="275" customFormat="1" ht="27.6" customHeight="1">
      <c r="A193" s="287">
        <f t="shared" si="3"/>
        <v>62</v>
      </c>
      <c r="B193" s="483" t="s">
        <v>135</v>
      </c>
      <c r="C193" s="184" t="s">
        <v>403</v>
      </c>
      <c r="D193" s="287" t="s">
        <v>240</v>
      </c>
      <c r="E193" s="288">
        <v>45860</v>
      </c>
      <c r="F193" s="289">
        <v>28</v>
      </c>
      <c r="G193" s="608" t="s">
        <v>404</v>
      </c>
      <c r="H193" s="608"/>
      <c r="I193" s="608"/>
      <c r="J193" s="608"/>
      <c r="K193" s="186">
        <v>45868</v>
      </c>
      <c r="L193" s="287" t="s">
        <v>722</v>
      </c>
      <c r="M193" s="287"/>
      <c r="N193" s="614"/>
      <c r="O193" s="614"/>
      <c r="P193" s="614"/>
    </row>
    <row r="194" spans="1:16" s="275" customFormat="1" ht="27.6" customHeight="1">
      <c r="A194" s="287">
        <f t="shared" si="3"/>
        <v>63</v>
      </c>
      <c r="B194" s="483" t="s">
        <v>131</v>
      </c>
      <c r="C194" s="184" t="s">
        <v>447</v>
      </c>
      <c r="D194" s="287" t="s">
        <v>240</v>
      </c>
      <c r="E194" s="288">
        <v>45859</v>
      </c>
      <c r="F194" s="289">
        <v>29</v>
      </c>
      <c r="G194" s="608" t="s">
        <v>404</v>
      </c>
      <c r="H194" s="608"/>
      <c r="I194" s="608"/>
      <c r="J194" s="608"/>
      <c r="K194" s="186">
        <v>45876</v>
      </c>
      <c r="L194" s="287" t="s">
        <v>721</v>
      </c>
      <c r="M194" s="287"/>
      <c r="N194" s="614"/>
      <c r="O194" s="614"/>
      <c r="P194" s="614"/>
    </row>
    <row r="195" spans="1:16" s="275" customFormat="1" ht="27.6" customHeight="1">
      <c r="A195" s="287">
        <f t="shared" si="3"/>
        <v>64</v>
      </c>
      <c r="B195" s="483" t="s">
        <v>150</v>
      </c>
      <c r="C195" s="184" t="s">
        <v>447</v>
      </c>
      <c r="D195" s="287" t="s">
        <v>240</v>
      </c>
      <c r="E195" s="288">
        <v>45862</v>
      </c>
      <c r="F195" s="289">
        <v>29</v>
      </c>
      <c r="G195" s="608" t="s">
        <v>404</v>
      </c>
      <c r="H195" s="608"/>
      <c r="I195" s="608"/>
      <c r="J195" s="608"/>
      <c r="K195" s="186">
        <v>45875</v>
      </c>
      <c r="L195" s="287" t="s">
        <v>724</v>
      </c>
      <c r="M195" s="287"/>
      <c r="N195" s="617"/>
      <c r="O195" s="617"/>
      <c r="P195" s="617"/>
    </row>
    <row r="196" spans="1:16" s="275" customFormat="1" ht="27.6" customHeight="1">
      <c r="A196" s="287">
        <f t="shared" si="3"/>
        <v>65</v>
      </c>
      <c r="B196" s="483" t="s">
        <v>132</v>
      </c>
      <c r="C196" s="184" t="s">
        <v>447</v>
      </c>
      <c r="D196" s="287" t="s">
        <v>240</v>
      </c>
      <c r="E196" s="288">
        <v>45837</v>
      </c>
      <c r="F196" s="289">
        <v>29</v>
      </c>
      <c r="G196" s="608" t="s">
        <v>404</v>
      </c>
      <c r="H196" s="608"/>
      <c r="I196" s="608"/>
      <c r="J196" s="608"/>
      <c r="K196" s="186">
        <v>45876</v>
      </c>
      <c r="L196" s="287" t="s">
        <v>722</v>
      </c>
      <c r="M196" s="287"/>
      <c r="N196" s="617"/>
      <c r="O196" s="617"/>
      <c r="P196" s="617"/>
    </row>
    <row r="197" spans="1:16" s="438" customFormat="1" ht="27.6" customHeight="1">
      <c r="A197" s="287">
        <f>A196+1</f>
        <v>66</v>
      </c>
      <c r="B197" s="483" t="s">
        <v>19</v>
      </c>
      <c r="C197" s="447" t="s">
        <v>601</v>
      </c>
      <c r="D197" s="287" t="s">
        <v>240</v>
      </c>
      <c r="E197" s="288">
        <v>45875</v>
      </c>
      <c r="F197" s="289">
        <v>54</v>
      </c>
      <c r="G197" s="608" t="s">
        <v>404</v>
      </c>
      <c r="H197" s="608"/>
      <c r="I197" s="608"/>
      <c r="J197" s="608"/>
      <c r="K197" s="186">
        <v>45888</v>
      </c>
      <c r="L197" s="287" t="s">
        <v>723</v>
      </c>
      <c r="M197" s="287"/>
      <c r="N197" s="614"/>
      <c r="O197" s="614"/>
      <c r="P197" s="614"/>
    </row>
    <row r="198" spans="1:16" s="438" customFormat="1" ht="27.6" customHeight="1">
      <c r="A198" s="287">
        <f t="shared" ref="A198:A219" si="4">A197+1</f>
        <v>67</v>
      </c>
      <c r="B198" s="483" t="s">
        <v>140</v>
      </c>
      <c r="C198" s="184" t="s">
        <v>456</v>
      </c>
      <c r="D198" s="287" t="s">
        <v>240</v>
      </c>
      <c r="E198" s="288">
        <v>45876</v>
      </c>
      <c r="F198" s="289">
        <v>34.630000000000003</v>
      </c>
      <c r="G198" s="608" t="s">
        <v>404</v>
      </c>
      <c r="H198" s="608"/>
      <c r="I198" s="608"/>
      <c r="J198" s="608"/>
      <c r="K198" s="186">
        <v>45886</v>
      </c>
      <c r="L198" s="287" t="s">
        <v>722</v>
      </c>
      <c r="M198" s="287"/>
      <c r="N198" s="614"/>
      <c r="O198" s="614"/>
      <c r="P198" s="614"/>
    </row>
    <row r="199" spans="1:16" s="438" customFormat="1" ht="27.6" customHeight="1">
      <c r="A199" s="287">
        <f t="shared" si="4"/>
        <v>68</v>
      </c>
      <c r="B199" s="483" t="s">
        <v>617</v>
      </c>
      <c r="C199" s="184" t="s">
        <v>654</v>
      </c>
      <c r="D199" s="287" t="s">
        <v>240</v>
      </c>
      <c r="E199" s="288">
        <v>45876</v>
      </c>
      <c r="F199" s="289">
        <v>51.6</v>
      </c>
      <c r="G199" s="608" t="s">
        <v>404</v>
      </c>
      <c r="H199" s="608"/>
      <c r="I199" s="608"/>
      <c r="J199" s="608"/>
      <c r="K199" s="186">
        <v>45885</v>
      </c>
      <c r="L199" s="287" t="s">
        <v>720</v>
      </c>
      <c r="M199" s="287"/>
      <c r="N199" s="614"/>
      <c r="O199" s="614"/>
      <c r="P199" s="614"/>
    </row>
    <row r="200" spans="1:16" s="275" customFormat="1" ht="27.6" customHeight="1">
      <c r="A200" s="287">
        <f t="shared" si="4"/>
        <v>69</v>
      </c>
      <c r="B200" s="483" t="s">
        <v>166</v>
      </c>
      <c r="C200" s="184" t="s">
        <v>403</v>
      </c>
      <c r="D200" s="287" t="s">
        <v>240</v>
      </c>
      <c r="E200" s="288">
        <v>45878</v>
      </c>
      <c r="F200" s="289">
        <v>28</v>
      </c>
      <c r="G200" s="608" t="s">
        <v>404</v>
      </c>
      <c r="H200" s="608"/>
      <c r="I200" s="608"/>
      <c r="J200" s="608"/>
      <c r="K200" s="186">
        <v>45891</v>
      </c>
      <c r="L200" s="287" t="s">
        <v>721</v>
      </c>
      <c r="M200" s="287"/>
      <c r="N200" s="614"/>
      <c r="O200" s="614"/>
      <c r="P200" s="614"/>
    </row>
    <row r="201" spans="1:16" s="275" customFormat="1" ht="27.6" customHeight="1">
      <c r="A201" s="287">
        <f t="shared" si="4"/>
        <v>70</v>
      </c>
      <c r="B201" s="483" t="s">
        <v>8</v>
      </c>
      <c r="C201" s="184" t="s">
        <v>455</v>
      </c>
      <c r="D201" s="287" t="s">
        <v>240</v>
      </c>
      <c r="E201" s="288">
        <v>45885</v>
      </c>
      <c r="F201" s="289">
        <v>33</v>
      </c>
      <c r="G201" s="608" t="s">
        <v>404</v>
      </c>
      <c r="H201" s="608"/>
      <c r="I201" s="608"/>
      <c r="J201" s="608"/>
      <c r="K201" s="186">
        <v>45901</v>
      </c>
      <c r="L201" s="287" t="s">
        <v>720</v>
      </c>
      <c r="M201" s="287"/>
      <c r="N201" s="503"/>
      <c r="O201" s="503"/>
      <c r="P201" s="503"/>
    </row>
    <row r="202" spans="1:16" s="275" customFormat="1" ht="27.6" customHeight="1">
      <c r="A202" s="287">
        <f t="shared" si="4"/>
        <v>71</v>
      </c>
      <c r="B202" s="483" t="s">
        <v>151</v>
      </c>
      <c r="C202" s="184" t="s">
        <v>403</v>
      </c>
      <c r="D202" s="287" t="s">
        <v>240</v>
      </c>
      <c r="E202" s="288">
        <v>45887</v>
      </c>
      <c r="F202" s="289">
        <v>28</v>
      </c>
      <c r="G202" s="608" t="s">
        <v>404</v>
      </c>
      <c r="H202" s="608"/>
      <c r="I202" s="608"/>
      <c r="J202" s="608"/>
      <c r="K202" s="186">
        <v>45895</v>
      </c>
      <c r="L202" s="287" t="s">
        <v>722</v>
      </c>
      <c r="M202" s="287"/>
      <c r="N202" s="503"/>
      <c r="O202" s="503"/>
      <c r="P202" s="503"/>
    </row>
    <row r="203" spans="1:16" s="275" customFormat="1" ht="27.6" customHeight="1">
      <c r="A203" s="287">
        <f t="shared" si="4"/>
        <v>72</v>
      </c>
      <c r="B203" s="483" t="s">
        <v>688</v>
      </c>
      <c r="C203" s="184" t="s">
        <v>676</v>
      </c>
      <c r="D203" s="287" t="s">
        <v>240</v>
      </c>
      <c r="E203" s="288">
        <v>45888</v>
      </c>
      <c r="F203" s="289">
        <v>51.6</v>
      </c>
      <c r="G203" s="608" t="s">
        <v>404</v>
      </c>
      <c r="H203" s="608"/>
      <c r="I203" s="608"/>
      <c r="J203" s="608"/>
      <c r="K203" s="186">
        <v>45895</v>
      </c>
      <c r="L203" s="287" t="s">
        <v>720</v>
      </c>
      <c r="M203" s="287"/>
      <c r="N203" s="614"/>
      <c r="O203" s="614"/>
      <c r="P203" s="614"/>
    </row>
    <row r="204" spans="1:16" s="275" customFormat="1" ht="27.6" customHeight="1">
      <c r="A204" s="287">
        <f t="shared" si="4"/>
        <v>73</v>
      </c>
      <c r="B204" s="483" t="s">
        <v>156</v>
      </c>
      <c r="C204" s="184" t="s">
        <v>403</v>
      </c>
      <c r="D204" s="287" t="s">
        <v>240</v>
      </c>
      <c r="E204" s="288">
        <v>45891</v>
      </c>
      <c r="F204" s="289">
        <v>28</v>
      </c>
      <c r="G204" s="608" t="s">
        <v>404</v>
      </c>
      <c r="H204" s="608"/>
      <c r="I204" s="608"/>
      <c r="J204" s="608"/>
      <c r="K204" s="186">
        <v>45895</v>
      </c>
      <c r="L204" s="287" t="s">
        <v>723</v>
      </c>
      <c r="M204" s="287"/>
      <c r="N204" s="614"/>
      <c r="O204" s="614"/>
      <c r="P204" s="614"/>
    </row>
    <row r="205" spans="1:16" s="438" customFormat="1" ht="27.6" customHeight="1">
      <c r="A205" s="501">
        <f t="shared" si="4"/>
        <v>74</v>
      </c>
      <c r="B205" s="479" t="s">
        <v>571</v>
      </c>
      <c r="C205" s="502" t="s">
        <v>403</v>
      </c>
      <c r="D205" s="501" t="s">
        <v>240</v>
      </c>
      <c r="E205" s="437">
        <v>45895</v>
      </c>
      <c r="F205" s="436">
        <v>28</v>
      </c>
      <c r="G205" s="615" t="s">
        <v>742</v>
      </c>
      <c r="H205" s="616"/>
      <c r="I205" s="616"/>
      <c r="J205" s="616"/>
      <c r="K205" s="469"/>
      <c r="L205" s="501" t="s">
        <v>721</v>
      </c>
      <c r="M205" s="501"/>
      <c r="N205" s="499"/>
      <c r="O205" s="499"/>
      <c r="P205" s="499"/>
    </row>
    <row r="206" spans="1:16" s="275" customFormat="1" ht="27.6" customHeight="1">
      <c r="A206" s="287">
        <f t="shared" si="4"/>
        <v>75</v>
      </c>
      <c r="B206" s="483" t="s">
        <v>120</v>
      </c>
      <c r="C206" s="184" t="s">
        <v>456</v>
      </c>
      <c r="D206" s="287" t="s">
        <v>240</v>
      </c>
      <c r="E206" s="288">
        <v>45900</v>
      </c>
      <c r="F206" s="289">
        <v>35</v>
      </c>
      <c r="G206" s="608" t="s">
        <v>404</v>
      </c>
      <c r="H206" s="608"/>
      <c r="I206" s="608"/>
      <c r="J206" s="608"/>
      <c r="K206" s="186">
        <v>45910</v>
      </c>
      <c r="L206" s="287" t="s">
        <v>722</v>
      </c>
      <c r="M206" s="287"/>
      <c r="N206" s="503"/>
      <c r="O206" s="503"/>
      <c r="P206" s="503"/>
    </row>
    <row r="207" spans="1:16" s="275" customFormat="1" ht="27.6" customHeight="1">
      <c r="A207" s="287">
        <f t="shared" si="4"/>
        <v>76</v>
      </c>
      <c r="B207" s="483" t="s">
        <v>619</v>
      </c>
      <c r="C207" s="184" t="s">
        <v>735</v>
      </c>
      <c r="D207" s="287" t="s">
        <v>240</v>
      </c>
      <c r="E207" s="288">
        <v>45901</v>
      </c>
      <c r="F207" s="289">
        <v>63</v>
      </c>
      <c r="G207" s="608" t="s">
        <v>404</v>
      </c>
      <c r="H207" s="608"/>
      <c r="I207" s="608"/>
      <c r="J207" s="608"/>
      <c r="K207" s="186">
        <v>45912</v>
      </c>
      <c r="L207" s="287" t="s">
        <v>723</v>
      </c>
      <c r="M207" s="287"/>
      <c r="N207" s="503"/>
      <c r="O207" s="503"/>
      <c r="P207" s="503"/>
    </row>
    <row r="208" spans="1:16" s="275" customFormat="1" ht="27.6" customHeight="1">
      <c r="A208" s="287">
        <f t="shared" si="4"/>
        <v>77</v>
      </c>
      <c r="B208" s="483" t="s">
        <v>165</v>
      </c>
      <c r="C208" s="184" t="s">
        <v>403</v>
      </c>
      <c r="D208" s="287" t="s">
        <v>240</v>
      </c>
      <c r="E208" s="288">
        <v>45903</v>
      </c>
      <c r="F208" s="289">
        <v>27.9</v>
      </c>
      <c r="G208" s="608" t="s">
        <v>404</v>
      </c>
      <c r="H208" s="608"/>
      <c r="I208" s="608"/>
      <c r="J208" s="608"/>
      <c r="K208" s="186">
        <v>45907</v>
      </c>
      <c r="L208" s="287" t="s">
        <v>720</v>
      </c>
      <c r="M208" s="287"/>
      <c r="N208" s="503"/>
      <c r="O208" s="503"/>
      <c r="P208" s="503"/>
    </row>
    <row r="209" spans="1:16" s="438" customFormat="1" ht="43.2" customHeight="1">
      <c r="A209" s="501">
        <f t="shared" si="4"/>
        <v>78</v>
      </c>
      <c r="B209" s="479" t="s">
        <v>679</v>
      </c>
      <c r="C209" s="502" t="s">
        <v>479</v>
      </c>
      <c r="D209" s="501" t="s">
        <v>240</v>
      </c>
      <c r="E209" s="437">
        <v>45905</v>
      </c>
      <c r="F209" s="436">
        <v>45</v>
      </c>
      <c r="G209" s="604" t="s">
        <v>753</v>
      </c>
      <c r="H209" s="605"/>
      <c r="I209" s="605"/>
      <c r="J209" s="605"/>
      <c r="K209" s="469"/>
      <c r="L209" s="501" t="s">
        <v>721</v>
      </c>
      <c r="M209" s="501">
        <v>27</v>
      </c>
      <c r="N209" s="606"/>
      <c r="O209" s="607"/>
      <c r="P209" s="607"/>
    </row>
    <row r="210" spans="1:16" s="438" customFormat="1" ht="34.799999999999997" customHeight="1">
      <c r="A210" s="501">
        <f t="shared" si="4"/>
        <v>79</v>
      </c>
      <c r="B210" s="479" t="s">
        <v>164</v>
      </c>
      <c r="C210" s="502" t="s">
        <v>703</v>
      </c>
      <c r="D210" s="501" t="s">
        <v>240</v>
      </c>
      <c r="E210" s="437">
        <v>45908</v>
      </c>
      <c r="F210" s="436">
        <v>33</v>
      </c>
      <c r="G210" s="611" t="s">
        <v>745</v>
      </c>
      <c r="H210" s="612"/>
      <c r="I210" s="612"/>
      <c r="J210" s="613"/>
      <c r="K210" s="469"/>
      <c r="L210" s="501" t="s">
        <v>720</v>
      </c>
      <c r="M210" s="501"/>
      <c r="N210" s="606"/>
      <c r="O210" s="607"/>
      <c r="P210" s="607"/>
    </row>
    <row r="211" spans="1:16" s="275" customFormat="1" ht="27.6" customHeight="1">
      <c r="A211" s="287">
        <f t="shared" si="4"/>
        <v>80</v>
      </c>
      <c r="B211" s="483" t="s">
        <v>40</v>
      </c>
      <c r="C211" s="184" t="s">
        <v>447</v>
      </c>
      <c r="D211" s="287" t="s">
        <v>240</v>
      </c>
      <c r="E211" s="288">
        <v>45909</v>
      </c>
      <c r="F211" s="289">
        <v>29</v>
      </c>
      <c r="G211" s="608" t="s">
        <v>404</v>
      </c>
      <c r="H211" s="608"/>
      <c r="I211" s="608"/>
      <c r="J211" s="608"/>
      <c r="K211" s="186">
        <v>45913</v>
      </c>
      <c r="L211" s="287" t="s">
        <v>720</v>
      </c>
      <c r="M211" s="287"/>
      <c r="N211" s="503"/>
      <c r="O211" s="503"/>
      <c r="P211" s="503"/>
    </row>
    <row r="212" spans="1:16" s="438" customFormat="1" ht="27.6" customHeight="1">
      <c r="A212" s="501">
        <f t="shared" si="4"/>
        <v>81</v>
      </c>
      <c r="B212" s="479" t="s">
        <v>155</v>
      </c>
      <c r="C212" s="502" t="s">
        <v>455</v>
      </c>
      <c r="D212" s="501" t="s">
        <v>240</v>
      </c>
      <c r="E212" s="437">
        <v>45909</v>
      </c>
      <c r="F212" s="436">
        <v>33.299999999999997</v>
      </c>
      <c r="G212" s="604" t="s">
        <v>755</v>
      </c>
      <c r="H212" s="605"/>
      <c r="I212" s="605"/>
      <c r="J212" s="605"/>
      <c r="K212" s="469"/>
      <c r="L212" s="501" t="s">
        <v>737</v>
      </c>
      <c r="M212" s="501">
        <v>23</v>
      </c>
      <c r="N212" s="499"/>
      <c r="O212" s="499"/>
      <c r="P212" s="499"/>
    </row>
    <row r="213" spans="1:16" s="275" customFormat="1" ht="27.6" customHeight="1">
      <c r="A213" s="287">
        <f t="shared" si="4"/>
        <v>82</v>
      </c>
      <c r="B213" s="483" t="s">
        <v>119</v>
      </c>
      <c r="C213" s="184" t="s">
        <v>455</v>
      </c>
      <c r="D213" s="287" t="s">
        <v>240</v>
      </c>
      <c r="E213" s="288">
        <v>45912</v>
      </c>
      <c r="F213" s="289">
        <v>33.299999999999997</v>
      </c>
      <c r="G213" s="608" t="s">
        <v>404</v>
      </c>
      <c r="H213" s="608"/>
      <c r="I213" s="608"/>
      <c r="J213" s="608"/>
      <c r="K213" s="186">
        <v>45922</v>
      </c>
      <c r="L213" s="287" t="s">
        <v>743</v>
      </c>
      <c r="M213" s="287"/>
      <c r="N213" s="503"/>
      <c r="O213" s="503"/>
      <c r="P213" s="503"/>
    </row>
    <row r="214" spans="1:16" s="275" customFormat="1" ht="27.6" customHeight="1">
      <c r="A214" s="287">
        <f t="shared" si="4"/>
        <v>83</v>
      </c>
      <c r="B214" s="483" t="s">
        <v>574</v>
      </c>
      <c r="C214" s="184" t="s">
        <v>676</v>
      </c>
      <c r="D214" s="287" t="s">
        <v>240</v>
      </c>
      <c r="E214" s="288">
        <v>45914</v>
      </c>
      <c r="F214" s="289">
        <v>51.7</v>
      </c>
      <c r="G214" s="608" t="s">
        <v>404</v>
      </c>
      <c r="H214" s="608"/>
      <c r="I214" s="608"/>
      <c r="J214" s="608"/>
      <c r="K214" s="186">
        <v>45925</v>
      </c>
      <c r="L214" s="287" t="s">
        <v>723</v>
      </c>
      <c r="M214" s="287"/>
      <c r="N214" s="503"/>
      <c r="O214" s="503"/>
      <c r="P214" s="503"/>
    </row>
    <row r="215" spans="1:16" s="275" customFormat="1" ht="34.799999999999997" customHeight="1">
      <c r="A215" s="287">
        <f t="shared" si="4"/>
        <v>84</v>
      </c>
      <c r="B215" s="483" t="s">
        <v>715</v>
      </c>
      <c r="C215" s="184" t="s">
        <v>610</v>
      </c>
      <c r="D215" s="287" t="s">
        <v>240</v>
      </c>
      <c r="E215" s="288">
        <v>45916</v>
      </c>
      <c r="F215" s="289">
        <v>60</v>
      </c>
      <c r="G215" s="608" t="s">
        <v>404</v>
      </c>
      <c r="H215" s="608"/>
      <c r="I215" s="608"/>
      <c r="J215" s="608"/>
      <c r="K215" s="186">
        <v>45923</v>
      </c>
      <c r="L215" s="287" t="s">
        <v>720</v>
      </c>
      <c r="M215" s="287"/>
      <c r="N215" s="609"/>
      <c r="O215" s="610"/>
      <c r="P215" s="610"/>
    </row>
    <row r="216" spans="1:16" s="438" customFormat="1" ht="34.799999999999997" customHeight="1">
      <c r="A216" s="501">
        <f t="shared" si="4"/>
        <v>85</v>
      </c>
      <c r="B216" s="479" t="s">
        <v>118</v>
      </c>
      <c r="C216" s="502" t="s">
        <v>451</v>
      </c>
      <c r="D216" s="501" t="s">
        <v>240</v>
      </c>
      <c r="E216" s="437">
        <v>45922</v>
      </c>
      <c r="F216" s="436">
        <v>27</v>
      </c>
      <c r="G216" s="604" t="s">
        <v>751</v>
      </c>
      <c r="H216" s="605"/>
      <c r="I216" s="605"/>
      <c r="J216" s="605"/>
      <c r="K216" s="469"/>
      <c r="L216" s="501" t="s">
        <v>743</v>
      </c>
      <c r="M216" s="501">
        <v>29</v>
      </c>
      <c r="N216" s="606"/>
      <c r="O216" s="607"/>
      <c r="P216" s="607"/>
    </row>
    <row r="217" spans="1:16" s="438" customFormat="1" ht="34.799999999999997" customHeight="1">
      <c r="A217" s="501">
        <f t="shared" si="4"/>
        <v>86</v>
      </c>
      <c r="B217" s="479" t="s">
        <v>699</v>
      </c>
      <c r="C217" s="502" t="s">
        <v>700</v>
      </c>
      <c r="D217" s="501" t="s">
        <v>240</v>
      </c>
      <c r="E217" s="437">
        <v>45925</v>
      </c>
      <c r="F217" s="436">
        <v>50</v>
      </c>
      <c r="G217" s="604" t="s">
        <v>754</v>
      </c>
      <c r="H217" s="605"/>
      <c r="I217" s="605"/>
      <c r="J217" s="605"/>
      <c r="K217" s="469"/>
      <c r="L217" s="501" t="s">
        <v>720</v>
      </c>
      <c r="M217" s="501">
        <v>26</v>
      </c>
      <c r="N217" s="606"/>
      <c r="O217" s="607"/>
      <c r="P217" s="607"/>
    </row>
    <row r="218" spans="1:16" s="438" customFormat="1" ht="34.799999999999997" customHeight="1">
      <c r="A218" s="501">
        <f t="shared" si="4"/>
        <v>87</v>
      </c>
      <c r="B218" s="479" t="s">
        <v>174</v>
      </c>
      <c r="C218" s="502" t="s">
        <v>451</v>
      </c>
      <c r="D218" s="501" t="s">
        <v>240</v>
      </c>
      <c r="E218" s="437">
        <v>45928</v>
      </c>
      <c r="F218" s="436">
        <v>27</v>
      </c>
      <c r="G218" s="604" t="s">
        <v>752</v>
      </c>
      <c r="H218" s="605"/>
      <c r="I218" s="605"/>
      <c r="J218" s="605"/>
      <c r="K218" s="469"/>
      <c r="L218" s="501" t="s">
        <v>723</v>
      </c>
      <c r="M218" s="501">
        <v>34</v>
      </c>
      <c r="N218" s="606"/>
      <c r="O218" s="607"/>
      <c r="P218" s="607"/>
    </row>
    <row r="219" spans="1:16" s="438" customFormat="1" ht="34.799999999999997" customHeight="1">
      <c r="A219" s="501">
        <f t="shared" si="4"/>
        <v>88</v>
      </c>
      <c r="B219" s="479" t="s">
        <v>728</v>
      </c>
      <c r="C219" s="502" t="s">
        <v>729</v>
      </c>
      <c r="D219" s="501" t="s">
        <v>240</v>
      </c>
      <c r="E219" s="437">
        <v>45929</v>
      </c>
      <c r="F219" s="436">
        <v>60</v>
      </c>
      <c r="G219" s="604" t="s">
        <v>756</v>
      </c>
      <c r="H219" s="605"/>
      <c r="I219" s="605"/>
      <c r="J219" s="605"/>
      <c r="K219" s="469"/>
      <c r="L219" s="501" t="s">
        <v>737</v>
      </c>
      <c r="M219" s="501">
        <v>2</v>
      </c>
      <c r="N219" s="606"/>
      <c r="O219" s="607"/>
      <c r="P219" s="607"/>
    </row>
    <row r="220" spans="1:16" s="2" customFormat="1" ht="21" customHeight="1">
      <c r="A220" s="45"/>
      <c r="B220" s="151"/>
      <c r="F220" s="152"/>
      <c r="G220" s="629"/>
      <c r="H220" s="629"/>
      <c r="I220" s="629"/>
      <c r="J220" s="629"/>
      <c r="N220" s="628"/>
      <c r="O220" s="628"/>
      <c r="P220" s="628"/>
    </row>
    <row r="221" spans="1:16" ht="21" customHeight="1">
      <c r="A221" s="640" t="s">
        <v>104</v>
      </c>
      <c r="B221" s="641"/>
      <c r="C221" s="641"/>
      <c r="D221" s="641"/>
      <c r="E221" s="641"/>
      <c r="F221" s="641"/>
      <c r="G221" s="641"/>
      <c r="H221" s="641"/>
      <c r="I221" s="641"/>
      <c r="J221" s="642"/>
      <c r="K221" s="153"/>
      <c r="L221" s="153"/>
      <c r="M221" s="153"/>
      <c r="N221" s="153"/>
      <c r="O221" s="153"/>
      <c r="P221" s="153"/>
    </row>
    <row r="222" spans="1:16" ht="27" customHeight="1" thickBot="1">
      <c r="A222" s="163" t="s">
        <v>396</v>
      </c>
      <c r="B222" s="163" t="s">
        <v>110</v>
      </c>
      <c r="C222" s="163" t="s">
        <v>406</v>
      </c>
      <c r="D222" s="634" t="s">
        <v>112</v>
      </c>
      <c r="E222" s="635"/>
      <c r="F222" s="635"/>
      <c r="G222" s="636"/>
      <c r="H222" s="163" t="s">
        <v>400</v>
      </c>
      <c r="I222" s="163" t="s">
        <v>401</v>
      </c>
      <c r="J222" s="163" t="s">
        <v>114</v>
      </c>
      <c r="K222" s="153"/>
      <c r="L222" s="153"/>
      <c r="M222" s="153"/>
      <c r="N222" s="153"/>
      <c r="O222" s="153"/>
      <c r="P222" s="153"/>
    </row>
    <row r="223" spans="1:16" s="153" customFormat="1" ht="27.6" customHeight="1">
      <c r="A223" s="43">
        <v>1</v>
      </c>
      <c r="B223" s="150" t="s">
        <v>747</v>
      </c>
      <c r="C223" s="89">
        <v>1.1060000000000001</v>
      </c>
      <c r="D223" s="608" t="s">
        <v>404</v>
      </c>
      <c r="E223" s="608"/>
      <c r="F223" s="608"/>
      <c r="G223" s="608"/>
      <c r="H223" s="47" t="s">
        <v>748</v>
      </c>
      <c r="I223" s="43">
        <v>30</v>
      </c>
      <c r="J223" s="154"/>
    </row>
    <row r="224" spans="1:16" s="153" customFormat="1" ht="21" customHeight="1">
      <c r="A224" s="43">
        <v>2</v>
      </c>
      <c r="B224" s="150" t="s">
        <v>757</v>
      </c>
      <c r="C224" s="89">
        <v>2.4729999999999999</v>
      </c>
      <c r="D224" s="631" t="s">
        <v>758</v>
      </c>
      <c r="E224" s="632"/>
      <c r="F224" s="632"/>
      <c r="G224" s="633"/>
      <c r="H224" s="47"/>
      <c r="I224" s="43"/>
      <c r="J224" s="154"/>
    </row>
    <row r="225" spans="1:16" s="153" customFormat="1" ht="21" customHeight="1">
      <c r="A225" s="43"/>
      <c r="B225" s="150"/>
      <c r="C225" s="89"/>
      <c r="D225" s="631"/>
      <c r="E225" s="632"/>
      <c r="F225" s="632"/>
      <c r="G225" s="633"/>
      <c r="H225" s="47"/>
      <c r="I225" s="43"/>
      <c r="J225" s="154"/>
    </row>
    <row r="226" spans="1:16" s="153" customFormat="1" ht="21" customHeight="1">
      <c r="A226" s="43"/>
      <c r="B226" s="155"/>
      <c r="C226" s="156"/>
      <c r="D226" s="631"/>
      <c r="E226" s="632"/>
      <c r="F226" s="632"/>
      <c r="G226" s="633"/>
      <c r="H226" s="157"/>
      <c r="I226" s="90"/>
      <c r="J226" s="158"/>
      <c r="K226" s="159"/>
    </row>
    <row r="227" spans="1:16" ht="21" customHeight="1"/>
    <row r="228" spans="1:16" ht="21" customHeight="1"/>
    <row r="229" spans="1:16" ht="21" customHeight="1">
      <c r="A229" s="640" t="s">
        <v>407</v>
      </c>
      <c r="B229" s="641"/>
      <c r="C229" s="641"/>
      <c r="D229" s="641"/>
      <c r="E229" s="641"/>
      <c r="F229" s="641"/>
      <c r="G229" s="641"/>
      <c r="H229" s="641"/>
      <c r="I229" s="641"/>
      <c r="J229" s="642"/>
    </row>
    <row r="230" spans="1:16" ht="28.95" customHeight="1" thickBot="1">
      <c r="A230" s="163" t="s">
        <v>396</v>
      </c>
      <c r="B230" s="163" t="s">
        <v>110</v>
      </c>
      <c r="C230" s="163" t="s">
        <v>406</v>
      </c>
      <c r="D230" s="634" t="s">
        <v>112</v>
      </c>
      <c r="E230" s="635"/>
      <c r="F230" s="635"/>
      <c r="G230" s="636"/>
      <c r="H230" s="163" t="s">
        <v>400</v>
      </c>
      <c r="I230" s="163" t="s">
        <v>401</v>
      </c>
      <c r="J230" s="163" t="s">
        <v>114</v>
      </c>
      <c r="K230" s="153"/>
      <c r="L230" s="153"/>
      <c r="M230" s="153"/>
      <c r="N230" s="153"/>
      <c r="O230" s="153"/>
      <c r="P230" s="153"/>
    </row>
    <row r="231" spans="1:16" ht="21" customHeight="1">
      <c r="A231" s="43"/>
      <c r="B231" s="150"/>
      <c r="C231" s="89"/>
      <c r="D231" s="637"/>
      <c r="E231" s="638"/>
      <c r="F231" s="638"/>
      <c r="G231" s="639"/>
      <c r="H231" s="47"/>
      <c r="I231" s="43"/>
      <c r="J231" s="154"/>
    </row>
    <row r="232" spans="1:16" ht="21" customHeight="1">
      <c r="A232" s="43"/>
      <c r="B232" s="150"/>
      <c r="C232" s="89"/>
      <c r="D232" s="631"/>
      <c r="E232" s="632"/>
      <c r="F232" s="632"/>
      <c r="G232" s="633"/>
      <c r="H232" s="47"/>
      <c r="I232" s="43"/>
      <c r="J232" s="154"/>
    </row>
    <row r="233" spans="1:16" ht="21" customHeight="1">
      <c r="A233" s="43"/>
      <c r="B233" s="150"/>
      <c r="C233" s="89"/>
      <c r="D233" s="631"/>
      <c r="E233" s="632"/>
      <c r="F233" s="632"/>
      <c r="G233" s="633"/>
      <c r="H233" s="47"/>
      <c r="I233" s="43"/>
      <c r="J233" s="154"/>
    </row>
    <row r="234" spans="1:16" ht="21" customHeight="1">
      <c r="A234" s="43"/>
      <c r="B234" s="155"/>
      <c r="C234" s="156"/>
      <c r="D234" s="631"/>
      <c r="E234" s="632"/>
      <c r="F234" s="632"/>
      <c r="G234" s="633"/>
      <c r="H234" s="157"/>
      <c r="I234" s="90"/>
      <c r="J234" s="158"/>
    </row>
  </sheetData>
  <autoFilter ref="A131:P214" xr:uid="{00000000-0009-0000-0000-000001000000}">
    <filterColumn colId="6" showButton="0"/>
    <filterColumn colId="7" showButton="0"/>
    <filterColumn colId="8" showButton="0"/>
    <filterColumn colId="13" showButton="0"/>
    <filterColumn colId="14" showButton="0"/>
  </autoFilter>
  <mergeCells count="389">
    <mergeCell ref="N218:P218"/>
    <mergeCell ref="G219:J219"/>
    <mergeCell ref="N219:P219"/>
    <mergeCell ref="G217:J217"/>
    <mergeCell ref="N217:P217"/>
    <mergeCell ref="N216:P216"/>
    <mergeCell ref="N215:P215"/>
    <mergeCell ref="N209:P209"/>
    <mergeCell ref="N210:P210"/>
    <mergeCell ref="G213:J213"/>
    <mergeCell ref="G210:J210"/>
    <mergeCell ref="G209:J209"/>
    <mergeCell ref="N190:P190"/>
    <mergeCell ref="G188:J188"/>
    <mergeCell ref="N188:P188"/>
    <mergeCell ref="G187:J187"/>
    <mergeCell ref="N187:P187"/>
    <mergeCell ref="N186:P186"/>
    <mergeCell ref="G171:J171"/>
    <mergeCell ref="N179:P179"/>
    <mergeCell ref="G179:J179"/>
    <mergeCell ref="N173:P173"/>
    <mergeCell ref="N172:P172"/>
    <mergeCell ref="N178:P178"/>
    <mergeCell ref="G177:J177"/>
    <mergeCell ref="G175:J175"/>
    <mergeCell ref="G174:J174"/>
    <mergeCell ref="G172:J172"/>
    <mergeCell ref="G180:J180"/>
    <mergeCell ref="G186:J186"/>
    <mergeCell ref="N175:P175"/>
    <mergeCell ref="G184:J184"/>
    <mergeCell ref="N200:P200"/>
    <mergeCell ref="G197:J197"/>
    <mergeCell ref="N197:P197"/>
    <mergeCell ref="G193:J193"/>
    <mergeCell ref="N193:P193"/>
    <mergeCell ref="G194:J194"/>
    <mergeCell ref="N194:P194"/>
    <mergeCell ref="N191:P191"/>
    <mergeCell ref="G192:J192"/>
    <mergeCell ref="N192:P192"/>
    <mergeCell ref="N198:P198"/>
    <mergeCell ref="G196:J196"/>
    <mergeCell ref="N196:P196"/>
    <mergeCell ref="G195:J195"/>
    <mergeCell ref="N195:P195"/>
    <mergeCell ref="G191:J191"/>
    <mergeCell ref="N134:P134"/>
    <mergeCell ref="G133:J133"/>
    <mergeCell ref="N136:P136"/>
    <mergeCell ref="N133:P133"/>
    <mergeCell ref="N137:P137"/>
    <mergeCell ref="G135:J135"/>
    <mergeCell ref="G132:J132"/>
    <mergeCell ref="N146:P146"/>
    <mergeCell ref="G141:J141"/>
    <mergeCell ref="N143:P143"/>
    <mergeCell ref="G139:J139"/>
    <mergeCell ref="N141:P141"/>
    <mergeCell ref="N144:P144"/>
    <mergeCell ref="N142:P142"/>
    <mergeCell ref="G142:J142"/>
    <mergeCell ref="G140:J140"/>
    <mergeCell ref="G143:J143"/>
    <mergeCell ref="G122:J122"/>
    <mergeCell ref="G113:J113"/>
    <mergeCell ref="G126:J126"/>
    <mergeCell ref="G127:J127"/>
    <mergeCell ref="G124:J124"/>
    <mergeCell ref="G125:J125"/>
    <mergeCell ref="G118:J118"/>
    <mergeCell ref="N132:P132"/>
    <mergeCell ref="G167:J167"/>
    <mergeCell ref="G138:J138"/>
    <mergeCell ref="N138:P138"/>
    <mergeCell ref="N154:P154"/>
    <mergeCell ref="G150:J150"/>
    <mergeCell ref="N152:P152"/>
    <mergeCell ref="N150:P150"/>
    <mergeCell ref="N148:P148"/>
    <mergeCell ref="N162:P162"/>
    <mergeCell ref="N155:P155"/>
    <mergeCell ref="N151:P151"/>
    <mergeCell ref="N158:P158"/>
    <mergeCell ref="N159:P159"/>
    <mergeCell ref="G149:J149"/>
    <mergeCell ref="N140:P140"/>
    <mergeCell ref="G137:J137"/>
    <mergeCell ref="N64:P64"/>
    <mergeCell ref="N65:P65"/>
    <mergeCell ref="N66:P66"/>
    <mergeCell ref="N67:P67"/>
    <mergeCell ref="N68:P68"/>
    <mergeCell ref="G65:J65"/>
    <mergeCell ref="G70:J70"/>
    <mergeCell ref="G68:J68"/>
    <mergeCell ref="N83:P83"/>
    <mergeCell ref="N79:P79"/>
    <mergeCell ref="G74:J74"/>
    <mergeCell ref="G75:J75"/>
    <mergeCell ref="G108:J108"/>
    <mergeCell ref="G114:J114"/>
    <mergeCell ref="G115:J115"/>
    <mergeCell ref="G117:J117"/>
    <mergeCell ref="G111:J111"/>
    <mergeCell ref="N82:P82"/>
    <mergeCell ref="G136:J136"/>
    <mergeCell ref="G134:J134"/>
    <mergeCell ref="N70:P70"/>
    <mergeCell ref="N72:P72"/>
    <mergeCell ref="N71:P71"/>
    <mergeCell ref="N84:P84"/>
    <mergeCell ref="G94:J94"/>
    <mergeCell ref="N94:P94"/>
    <mergeCell ref="G91:J91"/>
    <mergeCell ref="G93:J93"/>
    <mergeCell ref="G109:J109"/>
    <mergeCell ref="G123:J123"/>
    <mergeCell ref="G112:J112"/>
    <mergeCell ref="G120:J120"/>
    <mergeCell ref="G121:J121"/>
    <mergeCell ref="G110:J110"/>
    <mergeCell ref="G116:J116"/>
    <mergeCell ref="G119:J119"/>
    <mergeCell ref="G80:J80"/>
    <mergeCell ref="G84:J84"/>
    <mergeCell ref="G83:J83"/>
    <mergeCell ref="G96:J96"/>
    <mergeCell ref="N96:P96"/>
    <mergeCell ref="N88:P88"/>
    <mergeCell ref="N89:P89"/>
    <mergeCell ref="N90:P90"/>
    <mergeCell ref="N91:P91"/>
    <mergeCell ref="N92:P92"/>
    <mergeCell ref="G90:J90"/>
    <mergeCell ref="N86:P86"/>
    <mergeCell ref="G87:J87"/>
    <mergeCell ref="N87:P87"/>
    <mergeCell ref="N93:P93"/>
    <mergeCell ref="G92:J92"/>
    <mergeCell ref="N85:P85"/>
    <mergeCell ref="N95:P95"/>
    <mergeCell ref="G88:J88"/>
    <mergeCell ref="G89:J89"/>
    <mergeCell ref="G52:J52"/>
    <mergeCell ref="N55:P55"/>
    <mergeCell ref="N74:P74"/>
    <mergeCell ref="N75:P75"/>
    <mergeCell ref="N76:P76"/>
    <mergeCell ref="N80:P80"/>
    <mergeCell ref="G79:J79"/>
    <mergeCell ref="G82:J82"/>
    <mergeCell ref="G63:J63"/>
    <mergeCell ref="G78:J78"/>
    <mergeCell ref="G73:J73"/>
    <mergeCell ref="N77:P77"/>
    <mergeCell ref="N78:P78"/>
    <mergeCell ref="G69:J69"/>
    <mergeCell ref="G77:J77"/>
    <mergeCell ref="G66:J66"/>
    <mergeCell ref="G67:J67"/>
    <mergeCell ref="G64:J64"/>
    <mergeCell ref="N73:P73"/>
    <mergeCell ref="N69:P69"/>
    <mergeCell ref="G71:J71"/>
    <mergeCell ref="G72:J72"/>
    <mergeCell ref="N81:P81"/>
    <mergeCell ref="G76:J76"/>
    <mergeCell ref="G54:J54"/>
    <mergeCell ref="G58:J58"/>
    <mergeCell ref="N63:P63"/>
    <mergeCell ref="N53:P53"/>
    <mergeCell ref="G55:J55"/>
    <mergeCell ref="G61:J61"/>
    <mergeCell ref="G62:J62"/>
    <mergeCell ref="N60:P60"/>
    <mergeCell ref="N61:P61"/>
    <mergeCell ref="N62:P62"/>
    <mergeCell ref="G57:J57"/>
    <mergeCell ref="G60:J60"/>
    <mergeCell ref="G102:J102"/>
    <mergeCell ref="G103:J103"/>
    <mergeCell ref="G81:J81"/>
    <mergeCell ref="G101:J101"/>
    <mergeCell ref="G104:J104"/>
    <mergeCell ref="G105:J105"/>
    <mergeCell ref="G106:J106"/>
    <mergeCell ref="G107:J107"/>
    <mergeCell ref="G95:J95"/>
    <mergeCell ref="G85:J85"/>
    <mergeCell ref="G98:J98"/>
    <mergeCell ref="G86:J86"/>
    <mergeCell ref="G99:J99"/>
    <mergeCell ref="G100:J100"/>
    <mergeCell ref="G97:J97"/>
    <mergeCell ref="N44:P44"/>
    <mergeCell ref="N58:P58"/>
    <mergeCell ref="G59:J59"/>
    <mergeCell ref="N59:P59"/>
    <mergeCell ref="G56:J56"/>
    <mergeCell ref="N56:P56"/>
    <mergeCell ref="N45:P45"/>
    <mergeCell ref="N47:P47"/>
    <mergeCell ref="G49:J49"/>
    <mergeCell ref="N49:P49"/>
    <mergeCell ref="G48:J48"/>
    <mergeCell ref="N48:P48"/>
    <mergeCell ref="G50:J50"/>
    <mergeCell ref="N50:P50"/>
    <mergeCell ref="G53:J53"/>
    <mergeCell ref="N54:P54"/>
    <mergeCell ref="N51:P51"/>
    <mergeCell ref="G46:J46"/>
    <mergeCell ref="G47:J47"/>
    <mergeCell ref="G45:J45"/>
    <mergeCell ref="G44:J44"/>
    <mergeCell ref="G51:J51"/>
    <mergeCell ref="N52:P52"/>
    <mergeCell ref="N57:P57"/>
    <mergeCell ref="A1:L1"/>
    <mergeCell ref="G14:J14"/>
    <mergeCell ref="G15:J15"/>
    <mergeCell ref="G16:J16"/>
    <mergeCell ref="G12:J12"/>
    <mergeCell ref="G18:J18"/>
    <mergeCell ref="G19:J19"/>
    <mergeCell ref="A11:P11"/>
    <mergeCell ref="N12:P12"/>
    <mergeCell ref="N13:P13"/>
    <mergeCell ref="N14:P14"/>
    <mergeCell ref="N15:P15"/>
    <mergeCell ref="G13:J13"/>
    <mergeCell ref="G17:J17"/>
    <mergeCell ref="N18:P18"/>
    <mergeCell ref="A7:N7"/>
    <mergeCell ref="M8:N8"/>
    <mergeCell ref="M9:N9"/>
    <mergeCell ref="M10:N10"/>
    <mergeCell ref="N16:P16"/>
    <mergeCell ref="N17:P17"/>
    <mergeCell ref="N19:P19"/>
    <mergeCell ref="N43:P43"/>
    <mergeCell ref="G20:J20"/>
    <mergeCell ref="G22:J22"/>
    <mergeCell ref="G33:J33"/>
    <mergeCell ref="G36:J36"/>
    <mergeCell ref="G28:J28"/>
    <mergeCell ref="G29:J29"/>
    <mergeCell ref="G32:J32"/>
    <mergeCell ref="N32:P32"/>
    <mergeCell ref="N33:P33"/>
    <mergeCell ref="G34:J34"/>
    <mergeCell ref="N34:P34"/>
    <mergeCell ref="G24:J24"/>
    <mergeCell ref="N20:P20"/>
    <mergeCell ref="G26:J26"/>
    <mergeCell ref="G31:J31"/>
    <mergeCell ref="N31:P31"/>
    <mergeCell ref="N30:P30"/>
    <mergeCell ref="G30:J30"/>
    <mergeCell ref="G35:J35"/>
    <mergeCell ref="N35:P35"/>
    <mergeCell ref="G23:J23"/>
    <mergeCell ref="N36:P36"/>
    <mergeCell ref="G37:J37"/>
    <mergeCell ref="G21:J21"/>
    <mergeCell ref="G25:J25"/>
    <mergeCell ref="N21:P21"/>
    <mergeCell ref="N22:P22"/>
    <mergeCell ref="G43:J43"/>
    <mergeCell ref="N23:P23"/>
    <mergeCell ref="N24:P24"/>
    <mergeCell ref="N28:P28"/>
    <mergeCell ref="G38:J38"/>
    <mergeCell ref="N38:P38"/>
    <mergeCell ref="N29:P29"/>
    <mergeCell ref="G27:J27"/>
    <mergeCell ref="G40:J40"/>
    <mergeCell ref="G39:J39"/>
    <mergeCell ref="G42:J42"/>
    <mergeCell ref="N39:P39"/>
    <mergeCell ref="N40:P40"/>
    <mergeCell ref="G41:J41"/>
    <mergeCell ref="N41:P41"/>
    <mergeCell ref="N26:P26"/>
    <mergeCell ref="N27:P27"/>
    <mergeCell ref="N25:P25"/>
    <mergeCell ref="N42:P42"/>
    <mergeCell ref="N37:P37"/>
    <mergeCell ref="G207:J207"/>
    <mergeCell ref="G208:J208"/>
    <mergeCell ref="G198:J198"/>
    <mergeCell ref="A221:J221"/>
    <mergeCell ref="G181:J181"/>
    <mergeCell ref="G190:J190"/>
    <mergeCell ref="G214:J214"/>
    <mergeCell ref="G215:J215"/>
    <mergeCell ref="G176:J176"/>
    <mergeCell ref="G216:J216"/>
    <mergeCell ref="G200:J200"/>
    <mergeCell ref="G218:J218"/>
    <mergeCell ref="D234:G234"/>
    <mergeCell ref="D222:G222"/>
    <mergeCell ref="D223:G223"/>
    <mergeCell ref="D224:G224"/>
    <mergeCell ref="D225:G225"/>
    <mergeCell ref="D226:G226"/>
    <mergeCell ref="D230:G230"/>
    <mergeCell ref="D231:G231"/>
    <mergeCell ref="D232:G232"/>
    <mergeCell ref="D233:G233"/>
    <mergeCell ref="A229:J229"/>
    <mergeCell ref="G131:J131"/>
    <mergeCell ref="A130:P130"/>
    <mergeCell ref="N181:P181"/>
    <mergeCell ref="N135:P135"/>
    <mergeCell ref="N131:P131"/>
    <mergeCell ref="N139:P139"/>
    <mergeCell ref="G152:J152"/>
    <mergeCell ref="G153:J153"/>
    <mergeCell ref="G148:J148"/>
    <mergeCell ref="G155:J155"/>
    <mergeCell ref="G154:J154"/>
    <mergeCell ref="N161:P161"/>
    <mergeCell ref="G160:J160"/>
    <mergeCell ref="N160:P160"/>
    <mergeCell ref="G165:J165"/>
    <mergeCell ref="N165:P165"/>
    <mergeCell ref="G170:J170"/>
    <mergeCell ref="N169:P169"/>
    <mergeCell ref="G168:J168"/>
    <mergeCell ref="G178:J178"/>
    <mergeCell ref="G156:J156"/>
    <mergeCell ref="N167:P167"/>
    <mergeCell ref="G157:J157"/>
    <mergeCell ref="N171:P171"/>
    <mergeCell ref="N184:P184"/>
    <mergeCell ref="G182:J182"/>
    <mergeCell ref="N182:P182"/>
    <mergeCell ref="N180:P180"/>
    <mergeCell ref="N220:P220"/>
    <mergeCell ref="G220:J220"/>
    <mergeCell ref="G199:J199"/>
    <mergeCell ref="N199:P199"/>
    <mergeCell ref="G173:J173"/>
    <mergeCell ref="N176:P176"/>
    <mergeCell ref="G201:J201"/>
    <mergeCell ref="G202:J202"/>
    <mergeCell ref="G203:J203"/>
    <mergeCell ref="N203:P203"/>
    <mergeCell ref="G204:J204"/>
    <mergeCell ref="N204:P204"/>
    <mergeCell ref="G189:J189"/>
    <mergeCell ref="N189:P189"/>
    <mergeCell ref="G205:J205"/>
    <mergeCell ref="G211:J211"/>
    <mergeCell ref="G212:J212"/>
    <mergeCell ref="G206:J206"/>
    <mergeCell ref="G185:J185"/>
    <mergeCell ref="N185:P185"/>
    <mergeCell ref="G183:J183"/>
    <mergeCell ref="N183:P183"/>
    <mergeCell ref="N177:P177"/>
    <mergeCell ref="N174:P174"/>
    <mergeCell ref="G169:J169"/>
    <mergeCell ref="N170:P170"/>
    <mergeCell ref="N163:P163"/>
    <mergeCell ref="G161:J161"/>
    <mergeCell ref="N156:P156"/>
    <mergeCell ref="N157:P157"/>
    <mergeCell ref="N168:P168"/>
    <mergeCell ref="G166:J166"/>
    <mergeCell ref="G158:J158"/>
    <mergeCell ref="G159:J159"/>
    <mergeCell ref="G162:J162"/>
    <mergeCell ref="N166:P166"/>
    <mergeCell ref="G164:J164"/>
    <mergeCell ref="G163:J163"/>
    <mergeCell ref="N164:P164"/>
    <mergeCell ref="G147:J147"/>
    <mergeCell ref="G144:J144"/>
    <mergeCell ref="G145:J145"/>
    <mergeCell ref="N153:P153"/>
    <mergeCell ref="N145:P145"/>
    <mergeCell ref="N149:P149"/>
    <mergeCell ref="N147:P147"/>
    <mergeCell ref="G151:J151"/>
    <mergeCell ref="G146:J146"/>
  </mergeCells>
  <phoneticPr fontId="93" type="noConversion"/>
  <conditionalFormatting sqref="B13:B37 B40:B50">
    <cfRule type="duplicateValues" dxfId="30" priority="104"/>
  </conditionalFormatting>
  <conditionalFormatting sqref="B51:B70">
    <cfRule type="duplicateValues" dxfId="29" priority="106"/>
  </conditionalFormatting>
  <conditionalFormatting sqref="B71:B128">
    <cfRule type="duplicateValues" dxfId="28" priority="108"/>
  </conditionalFormatting>
  <conditionalFormatting sqref="B129">
    <cfRule type="duplicateValues" dxfId="27" priority="45"/>
  </conditionalFormatting>
  <conditionalFormatting sqref="B223:B225">
    <cfRule type="duplicateValues" dxfId="26" priority="100" stopIfTrue="1"/>
    <cfRule type="duplicateValues" dxfId="25" priority="101" stopIfTrue="1"/>
  </conditionalFormatting>
  <conditionalFormatting sqref="B226">
    <cfRule type="duplicateValues" dxfId="24" priority="102" stopIfTrue="1"/>
    <cfRule type="duplicateValues" dxfId="23" priority="103" stopIfTrue="1"/>
  </conditionalFormatting>
  <conditionalFormatting sqref="B231:B233">
    <cfRule type="duplicateValues" dxfId="22" priority="96" stopIfTrue="1"/>
    <cfRule type="duplicateValues" dxfId="21" priority="97" stopIfTrue="1"/>
  </conditionalFormatting>
  <conditionalFormatting sqref="B234">
    <cfRule type="duplicateValues" dxfId="20" priority="98" stopIfTrue="1"/>
    <cfRule type="duplicateValues" dxfId="19" priority="99" stopIfTrue="1"/>
  </conditionalFormatting>
  <conditionalFormatting sqref="C3:K4">
    <cfRule type="cellIs" dxfId="18" priority="1" stopIfTrue="1" operator="greaterThan">
      <formula>600</formula>
    </cfRule>
  </conditionalFormatting>
  <conditionalFormatting sqref="D6">
    <cfRule type="cellIs" dxfId="17" priority="50" stopIfTrue="1" operator="greaterThan">
      <formula>600</formula>
    </cfRule>
  </conditionalFormatting>
  <conditionalFormatting sqref="D9:D10">
    <cfRule type="cellIs" dxfId="16" priority="41" stopIfTrue="1" operator="greaterThan">
      <formula>600</formula>
    </cfRule>
  </conditionalFormatting>
  <pageMargins left="0.47244094488188981" right="0.31496062992125984" top="0.35433070866141736" bottom="0.35433070866141736" header="0.31496062992125984" footer="0.31496062992125984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  <pageSetUpPr fitToPage="1"/>
  </sheetPr>
  <dimension ref="A1:AK180"/>
  <sheetViews>
    <sheetView view="pageBreakPreview" topLeftCell="B1" zoomScale="70" zoomScaleNormal="100" zoomScaleSheetLayoutView="70" workbookViewId="0">
      <selection activeCell="Z11" sqref="Z11"/>
    </sheetView>
  </sheetViews>
  <sheetFormatPr defaultColWidth="9.21875" defaultRowHeight="13.2"/>
  <cols>
    <col min="1" max="1" width="0" style="9" hidden="1" customWidth="1"/>
    <col min="2" max="2" width="8.6640625" style="9" customWidth="1"/>
    <col min="3" max="3" width="9.88671875" style="9" customWidth="1"/>
    <col min="4" max="4" width="9.21875" style="9" bestFit="1" customWidth="1"/>
    <col min="5" max="5" width="9.21875" style="9" customWidth="1"/>
    <col min="6" max="6" width="9.21875" style="9" bestFit="1" customWidth="1"/>
    <col min="7" max="8" width="9.21875" style="9"/>
    <col min="9" max="22" width="9.21875" style="9" customWidth="1"/>
    <col min="23" max="23" width="12.5546875" style="9" customWidth="1"/>
    <col min="24" max="28" width="9.21875" style="9" customWidth="1"/>
    <col min="29" max="31" width="9.21875" style="9"/>
    <col min="32" max="33" width="7.6640625" style="9" customWidth="1"/>
    <col min="34" max="42" width="9.21875" style="9"/>
    <col min="43" max="46" width="9.21875" style="9" customWidth="1"/>
    <col min="47" max="16384" width="9.21875" style="9"/>
  </cols>
  <sheetData>
    <row r="1" spans="1:37" ht="3.75" customHeight="1" thickBot="1">
      <c r="A1" s="126"/>
      <c r="B1" s="37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38"/>
    </row>
    <row r="2" spans="1:37" s="46" customFormat="1" ht="23.4" thickBot="1">
      <c r="A2" s="127"/>
      <c r="B2" s="664" t="s">
        <v>236</v>
      </c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5"/>
      <c r="S2" s="665"/>
      <c r="T2" s="665"/>
      <c r="U2" s="665"/>
      <c r="V2" s="665"/>
      <c r="W2" s="203"/>
    </row>
    <row r="3" spans="1:37" s="208" customFormat="1" ht="13.95" customHeight="1" thickBot="1">
      <c r="A3" s="373"/>
      <c r="B3" s="670" t="s">
        <v>438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  <c r="M3" s="671"/>
      <c r="N3" s="671"/>
      <c r="O3" s="671"/>
      <c r="P3" s="671"/>
      <c r="Q3" s="672"/>
      <c r="R3" s="128"/>
      <c r="S3" s="204"/>
      <c r="T3" s="205"/>
      <c r="U3" s="669"/>
      <c r="V3" s="669"/>
      <c r="W3" s="10"/>
      <c r="AA3" s="374"/>
    </row>
    <row r="4" spans="1:37" s="208" customFormat="1" ht="13.95" customHeight="1" thickBot="1">
      <c r="A4" s="373"/>
      <c r="B4" s="673" t="s">
        <v>439</v>
      </c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5"/>
      <c r="R4" s="128"/>
      <c r="S4" s="128"/>
      <c r="T4" s="128"/>
      <c r="U4" s="128"/>
      <c r="V4" s="206"/>
      <c r="W4" s="40"/>
    </row>
    <row r="5" spans="1:37" s="208" customFormat="1" ht="13.95" customHeight="1" thickBot="1">
      <c r="A5" s="373"/>
      <c r="B5" s="160" t="s">
        <v>440</v>
      </c>
      <c r="C5" s="676" t="s">
        <v>373</v>
      </c>
      <c r="D5" s="676"/>
      <c r="E5" s="676"/>
      <c r="F5" s="676"/>
      <c r="G5" s="676" t="s">
        <v>441</v>
      </c>
      <c r="H5" s="676"/>
      <c r="I5" s="676" t="s">
        <v>442</v>
      </c>
      <c r="J5" s="676"/>
      <c r="K5" s="676"/>
      <c r="L5" s="676" t="s">
        <v>55</v>
      </c>
      <c r="M5" s="676"/>
      <c r="N5" s="676"/>
      <c r="O5" s="676" t="s">
        <v>57</v>
      </c>
      <c r="P5" s="676"/>
      <c r="Q5" s="677"/>
      <c r="R5" s="128"/>
      <c r="S5" s="204"/>
      <c r="T5" s="205"/>
      <c r="U5" s="669"/>
      <c r="V5" s="669"/>
      <c r="W5" s="10"/>
      <c r="AA5" s="374"/>
    </row>
    <row r="6" spans="1:37" s="208" customFormat="1" ht="13.95" customHeight="1">
      <c r="A6" s="373"/>
      <c r="B6" s="161">
        <v>1</v>
      </c>
      <c r="C6" s="668" t="s">
        <v>394</v>
      </c>
      <c r="D6" s="668"/>
      <c r="E6" s="668"/>
      <c r="F6" s="668"/>
      <c r="G6" s="668" t="s">
        <v>108</v>
      </c>
      <c r="H6" s="668"/>
      <c r="I6" s="668">
        <v>47.84</v>
      </c>
      <c r="J6" s="668"/>
      <c r="K6" s="668"/>
      <c r="L6" s="668">
        <v>47.84</v>
      </c>
      <c r="M6" s="668"/>
      <c r="N6" s="668"/>
      <c r="O6" s="668">
        <f t="shared" ref="O6:O12" si="0">I6-L6</f>
        <v>0</v>
      </c>
      <c r="P6" s="668"/>
      <c r="Q6" s="678"/>
      <c r="R6" s="128"/>
      <c r="S6" s="128"/>
      <c r="T6" s="128"/>
      <c r="U6" s="128"/>
      <c r="V6" s="206"/>
      <c r="W6" s="40"/>
    </row>
    <row r="7" spans="1:37" s="208" customFormat="1" ht="13.95" customHeight="1">
      <c r="A7" s="373"/>
      <c r="B7" s="162">
        <v>2</v>
      </c>
      <c r="C7" s="666" t="s">
        <v>238</v>
      </c>
      <c r="D7" s="666"/>
      <c r="E7" s="666"/>
      <c r="F7" s="666"/>
      <c r="G7" s="666" t="s">
        <v>108</v>
      </c>
      <c r="H7" s="666"/>
      <c r="I7" s="668">
        <v>47.84</v>
      </c>
      <c r="J7" s="668"/>
      <c r="K7" s="668"/>
      <c r="L7" s="668">
        <v>47.84</v>
      </c>
      <c r="M7" s="668"/>
      <c r="N7" s="668"/>
      <c r="O7" s="666">
        <f t="shared" si="0"/>
        <v>0</v>
      </c>
      <c r="P7" s="666"/>
      <c r="Q7" s="667"/>
      <c r="R7" s="128"/>
      <c r="S7" s="204"/>
      <c r="T7" s="205"/>
      <c r="U7" s="669"/>
      <c r="V7" s="669"/>
      <c r="W7" s="10"/>
      <c r="AA7" s="374"/>
    </row>
    <row r="8" spans="1:37" s="208" customFormat="1" ht="13.95" customHeight="1">
      <c r="A8" s="373"/>
      <c r="B8" s="162">
        <v>3</v>
      </c>
      <c r="C8" s="666" t="s">
        <v>101</v>
      </c>
      <c r="D8" s="666"/>
      <c r="E8" s="666"/>
      <c r="F8" s="666"/>
      <c r="G8" s="666" t="s">
        <v>107</v>
      </c>
      <c r="H8" s="666"/>
      <c r="I8" s="666">
        <v>127</v>
      </c>
      <c r="J8" s="666"/>
      <c r="K8" s="666"/>
      <c r="L8" s="666">
        <v>115</v>
      </c>
      <c r="M8" s="666"/>
      <c r="N8" s="666"/>
      <c r="O8" s="666">
        <f t="shared" si="0"/>
        <v>12</v>
      </c>
      <c r="P8" s="666"/>
      <c r="Q8" s="667"/>
      <c r="R8" s="128"/>
      <c r="S8" s="128"/>
      <c r="T8" s="128"/>
      <c r="U8" s="128"/>
      <c r="V8" s="206"/>
      <c r="W8" s="40"/>
    </row>
    <row r="9" spans="1:37" s="208" customFormat="1" ht="13.95" customHeight="1">
      <c r="A9" s="373"/>
      <c r="B9" s="162">
        <v>4</v>
      </c>
      <c r="C9" s="666" t="s">
        <v>102</v>
      </c>
      <c r="D9" s="666"/>
      <c r="E9" s="666"/>
      <c r="F9" s="666"/>
      <c r="G9" s="666" t="s">
        <v>107</v>
      </c>
      <c r="H9" s="666"/>
      <c r="I9" s="666">
        <v>127</v>
      </c>
      <c r="J9" s="666"/>
      <c r="K9" s="666"/>
      <c r="L9" s="666">
        <v>110</v>
      </c>
      <c r="M9" s="666"/>
      <c r="N9" s="666"/>
      <c r="O9" s="666">
        <f t="shared" si="0"/>
        <v>17</v>
      </c>
      <c r="P9" s="666"/>
      <c r="Q9" s="667"/>
      <c r="R9" s="128"/>
      <c r="S9" s="204"/>
      <c r="T9" s="205"/>
      <c r="U9" s="669"/>
      <c r="V9" s="669"/>
      <c r="W9" s="10"/>
      <c r="AA9" s="374"/>
    </row>
    <row r="10" spans="1:37" s="208" customFormat="1" ht="13.95" customHeight="1">
      <c r="A10" s="373"/>
      <c r="B10" s="162">
        <v>5</v>
      </c>
      <c r="C10" s="666" t="s">
        <v>103</v>
      </c>
      <c r="D10" s="666"/>
      <c r="E10" s="666"/>
      <c r="F10" s="666"/>
      <c r="G10" s="666" t="s">
        <v>107</v>
      </c>
      <c r="H10" s="666"/>
      <c r="I10" s="666">
        <v>127</v>
      </c>
      <c r="J10" s="666"/>
      <c r="K10" s="666"/>
      <c r="L10" s="666">
        <v>80</v>
      </c>
      <c r="M10" s="666"/>
      <c r="N10" s="666"/>
      <c r="O10" s="666">
        <f t="shared" si="0"/>
        <v>47</v>
      </c>
      <c r="P10" s="666"/>
      <c r="Q10" s="667"/>
      <c r="R10" s="128"/>
      <c r="S10" s="128"/>
      <c r="T10" s="128"/>
      <c r="U10" s="128"/>
      <c r="V10" s="206"/>
      <c r="W10" s="40"/>
    </row>
    <row r="11" spans="1:37" s="208" customFormat="1" ht="13.95" customHeight="1">
      <c r="A11" s="373"/>
      <c r="B11" s="162">
        <v>7</v>
      </c>
      <c r="C11" s="666" t="s">
        <v>443</v>
      </c>
      <c r="D11" s="666"/>
      <c r="E11" s="666"/>
      <c r="F11" s="666"/>
      <c r="G11" s="666" t="s">
        <v>108</v>
      </c>
      <c r="H11" s="666"/>
      <c r="I11" s="666">
        <v>47.84</v>
      </c>
      <c r="J11" s="666"/>
      <c r="K11" s="666"/>
      <c r="L11" s="666">
        <v>0</v>
      </c>
      <c r="M11" s="666"/>
      <c r="N11" s="666"/>
      <c r="O11" s="666">
        <f t="shared" si="0"/>
        <v>47.84</v>
      </c>
      <c r="P11" s="666"/>
      <c r="Q11" s="667"/>
      <c r="R11" s="128"/>
      <c r="T11" s="206" t="s">
        <v>444</v>
      </c>
      <c r="U11" s="427">
        <f>(W17+W26+W37+W46+W55+W65+W74+W83+W92+W101+W110+W119+W129+W139)/1000</f>
        <v>47.835704</v>
      </c>
      <c r="W11" s="40"/>
    </row>
    <row r="12" spans="1:37" s="208" customFormat="1" ht="13.95" customHeight="1" thickBot="1">
      <c r="A12" s="373"/>
      <c r="B12" s="149">
        <v>8</v>
      </c>
      <c r="C12" s="662" t="s">
        <v>445</v>
      </c>
      <c r="D12" s="662"/>
      <c r="E12" s="662"/>
      <c r="F12" s="662"/>
      <c r="G12" s="662" t="s">
        <v>107</v>
      </c>
      <c r="H12" s="662"/>
      <c r="I12" s="662">
        <v>47.84</v>
      </c>
      <c r="J12" s="662"/>
      <c r="K12" s="662"/>
      <c r="L12" s="662">
        <f>AH168</f>
        <v>0</v>
      </c>
      <c r="M12" s="662"/>
      <c r="N12" s="662"/>
      <c r="O12" s="662">
        <f t="shared" si="0"/>
        <v>47.84</v>
      </c>
      <c r="P12" s="662"/>
      <c r="Q12" s="663"/>
      <c r="R12" s="128"/>
      <c r="S12" s="128"/>
      <c r="T12" s="128"/>
      <c r="U12" s="128"/>
      <c r="V12" s="206"/>
      <c r="W12" s="40"/>
    </row>
    <row r="13" spans="1:37" ht="2.5499999999999998" customHeight="1" thickBot="1">
      <c r="A13" s="11"/>
      <c r="B13" s="687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688"/>
      <c r="N13" s="688"/>
      <c r="O13" s="688"/>
      <c r="P13" s="688"/>
      <c r="Q13" s="688"/>
      <c r="R13" s="688"/>
      <c r="S13" s="688"/>
      <c r="T13" s="688"/>
      <c r="U13" s="688"/>
      <c r="V13" s="688"/>
      <c r="W13" s="689"/>
      <c r="AK13" s="9" t="s">
        <v>98</v>
      </c>
    </row>
    <row r="14" spans="1:37" ht="13.8">
      <c r="A14" s="11"/>
      <c r="B14" s="687" t="s">
        <v>196</v>
      </c>
      <c r="C14" s="688"/>
      <c r="D14" s="688"/>
      <c r="E14" s="688"/>
      <c r="F14" s="688"/>
      <c r="G14" s="688"/>
      <c r="H14" s="688"/>
      <c r="I14" s="688"/>
      <c r="J14" s="688"/>
      <c r="K14" s="688"/>
      <c r="L14" s="688"/>
      <c r="M14" s="688"/>
      <c r="N14" s="688"/>
      <c r="O14" s="688"/>
      <c r="P14" s="688"/>
      <c r="Q14" s="688"/>
      <c r="R14" s="688"/>
      <c r="S14" s="688"/>
      <c r="T14" s="688"/>
      <c r="U14" s="688"/>
      <c r="V14" s="688"/>
      <c r="W14" s="689"/>
    </row>
    <row r="15" spans="1:37" ht="18" customHeight="1">
      <c r="A15" s="11"/>
      <c r="B15" s="11"/>
      <c r="D15" s="207" t="s">
        <v>206</v>
      </c>
      <c r="E15" s="208"/>
      <c r="F15" s="208"/>
      <c r="G15" s="209" t="s">
        <v>477</v>
      </c>
      <c r="H15" s="208"/>
      <c r="I15" s="209" t="s">
        <v>251</v>
      </c>
      <c r="K15" s="209" t="s">
        <v>252</v>
      </c>
      <c r="M15" s="209" t="s">
        <v>253</v>
      </c>
      <c r="P15" s="207" t="s">
        <v>207</v>
      </c>
      <c r="R15" s="210"/>
      <c r="S15" s="209" t="s">
        <v>256</v>
      </c>
      <c r="T15" s="210"/>
      <c r="U15" s="209" t="s">
        <v>257</v>
      </c>
      <c r="V15" s="211"/>
      <c r="W15" s="12"/>
    </row>
    <row r="16" spans="1:37" ht="16.2" customHeight="1">
      <c r="A16" s="11"/>
      <c r="B16" s="30"/>
      <c r="C16" s="212" t="s">
        <v>249</v>
      </c>
      <c r="E16" s="212" t="s">
        <v>250</v>
      </c>
      <c r="F16" s="213"/>
      <c r="G16" s="212"/>
      <c r="H16" s="213"/>
      <c r="I16" s="212"/>
      <c r="J16" s="213"/>
      <c r="K16" s="212"/>
      <c r="L16" s="213"/>
      <c r="M16" s="212"/>
      <c r="N16" s="213"/>
      <c r="O16" s="212" t="s">
        <v>254</v>
      </c>
      <c r="P16" s="213"/>
      <c r="Q16" s="212" t="s">
        <v>255</v>
      </c>
      <c r="R16" s="213" t="s">
        <v>241</v>
      </c>
      <c r="S16" s="212"/>
      <c r="T16" s="214"/>
      <c r="U16" s="215"/>
      <c r="V16" s="41"/>
      <c r="W16" s="12"/>
      <c r="X16" s="9" t="s">
        <v>63</v>
      </c>
      <c r="Y16" s="9" t="s">
        <v>92</v>
      </c>
      <c r="Z16" s="9" t="s">
        <v>64</v>
      </c>
      <c r="AA16" s="20" t="s">
        <v>106</v>
      </c>
      <c r="AB16" s="9" t="s">
        <v>62</v>
      </c>
    </row>
    <row r="17" spans="1:29" s="31" customFormat="1" ht="13.8" thickBot="1">
      <c r="A17" s="61"/>
      <c r="B17" s="61"/>
      <c r="D17" s="31">
        <f>VLOOKUP(C20,[18]TS!$B$10:$D$253,3,0)</f>
        <v>249.63499999999999</v>
      </c>
      <c r="E17" s="216"/>
      <c r="F17" s="31">
        <f>VLOOKUP(E20,[18]TS!$B$10:$D$253,3,0)</f>
        <v>425</v>
      </c>
      <c r="G17" s="216"/>
      <c r="H17" s="31">
        <f>VLOOKUP(G20,[18]TS!$B$10:$D$253,3,0)</f>
        <v>425</v>
      </c>
      <c r="J17" s="31">
        <f>VLOOKUP(I20,[18]TS!$B$10:$D$253,3,0)</f>
        <v>390</v>
      </c>
      <c r="K17" s="216"/>
      <c r="L17" s="31">
        <f>VLOOKUP(K20,[18]TS!$B$10:$D$253,3,0)</f>
        <v>265</v>
      </c>
      <c r="N17" s="31">
        <f>VLOOKUP(M20,[18]TS!$B$10:$D$253,3,0)</f>
        <v>510</v>
      </c>
      <c r="P17" s="31">
        <f>VLOOKUP(O20,[18]TS!$B$10:$D$253,3,0)</f>
        <v>380</v>
      </c>
      <c r="R17" s="31">
        <f>VLOOKUP(Q20,[18]TS!$B$10:$D$253,3,0)</f>
        <v>420</v>
      </c>
      <c r="T17" s="31">
        <f>VLOOKUP(S20,[18]TS!$B$10:$D$253,3,0)</f>
        <v>335</v>
      </c>
      <c r="V17" s="31">
        <f>VLOOKUP(U20,[18]TS!$B$10:$D$253,3,0)</f>
        <v>345</v>
      </c>
      <c r="W17" s="62">
        <f>SUM(D17:V17)</f>
        <v>3744.6350000000002</v>
      </c>
    </row>
    <row r="18" spans="1:29" s="31" customFormat="1" ht="13.8" thickBot="1">
      <c r="A18" s="61">
        <v>1</v>
      </c>
      <c r="B18" s="61"/>
      <c r="C18" s="164" t="s">
        <v>240</v>
      </c>
      <c r="E18" s="164" t="s">
        <v>240</v>
      </c>
      <c r="F18" s="217"/>
      <c r="G18" s="164" t="s">
        <v>240</v>
      </c>
      <c r="H18" s="217"/>
      <c r="I18" s="164" t="s">
        <v>689</v>
      </c>
      <c r="J18" s="217"/>
      <c r="K18" s="164" t="s">
        <v>689</v>
      </c>
      <c r="M18" s="164" t="s">
        <v>689</v>
      </c>
      <c r="O18" s="164" t="s">
        <v>240</v>
      </c>
      <c r="Q18" s="164" t="s">
        <v>240</v>
      </c>
      <c r="S18" s="164" t="s">
        <v>240</v>
      </c>
      <c r="U18" s="164" t="s">
        <v>240</v>
      </c>
      <c r="W18" s="64"/>
      <c r="X18" s="31">
        <v>10</v>
      </c>
      <c r="Y18" s="31">
        <v>10</v>
      </c>
      <c r="Z18" s="31">
        <v>6</v>
      </c>
      <c r="AA18" s="31">
        <v>0</v>
      </c>
      <c r="AB18" s="31">
        <v>0</v>
      </c>
      <c r="AC18" s="31" t="s">
        <v>65</v>
      </c>
    </row>
    <row r="19" spans="1:29" s="31" customFormat="1" ht="13.8" thickBot="1">
      <c r="A19" s="61"/>
      <c r="B19" s="61"/>
      <c r="C19" s="274"/>
      <c r="E19" s="195"/>
      <c r="G19" s="274"/>
      <c r="I19" s="195"/>
      <c r="K19" s="195"/>
      <c r="M19" s="195"/>
      <c r="O19" s="274"/>
      <c r="Q19" s="274"/>
      <c r="R19" s="121"/>
      <c r="S19" s="274"/>
      <c r="T19" s="121"/>
      <c r="U19" s="274"/>
      <c r="V19" s="121"/>
      <c r="W19" s="64"/>
      <c r="X19" s="31">
        <v>0</v>
      </c>
      <c r="Y19" s="31">
        <f>COUNTIF($B$19:$U$19,"WIP")</f>
        <v>0</v>
      </c>
      <c r="Z19" s="31">
        <v>1</v>
      </c>
      <c r="AA19" s="31">
        <v>0</v>
      </c>
      <c r="AB19" s="31">
        <v>0</v>
      </c>
      <c r="AC19" s="31" t="s">
        <v>56</v>
      </c>
    </row>
    <row r="20" spans="1:29" s="31" customFormat="1">
      <c r="A20" s="61"/>
      <c r="B20" s="61"/>
      <c r="C20" s="31" t="s">
        <v>23</v>
      </c>
      <c r="E20" s="218" t="s">
        <v>24</v>
      </c>
      <c r="F20" s="218"/>
      <c r="G20" s="218" t="s">
        <v>118</v>
      </c>
      <c r="H20" s="218"/>
      <c r="I20" s="218" t="s">
        <v>119</v>
      </c>
      <c r="J20" s="218"/>
      <c r="K20" s="218" t="s">
        <v>120</v>
      </c>
      <c r="L20" s="218"/>
      <c r="M20" s="218" t="s">
        <v>121</v>
      </c>
      <c r="N20" s="218"/>
      <c r="O20" s="218" t="s">
        <v>122</v>
      </c>
      <c r="P20" s="218"/>
      <c r="Q20" s="218" t="s">
        <v>123</v>
      </c>
      <c r="R20" s="218"/>
      <c r="S20" s="218" t="s">
        <v>124</v>
      </c>
      <c r="T20" s="218"/>
      <c r="U20" s="218" t="s">
        <v>125</v>
      </c>
      <c r="W20" s="64"/>
      <c r="X20" s="31">
        <f>COUNTIF($C$18:$U$18,"ROW")</f>
        <v>0</v>
      </c>
      <c r="Y20" s="31">
        <f>COUNTIF($B$19:$U$19,"ROW")</f>
        <v>0</v>
      </c>
      <c r="Z20" s="31">
        <v>1</v>
      </c>
      <c r="AA20" s="31">
        <v>0</v>
      </c>
      <c r="AB20" s="31">
        <v>0</v>
      </c>
      <c r="AC20" s="31" t="s">
        <v>61</v>
      </c>
    </row>
    <row r="21" spans="1:29" s="31" customFormat="1">
      <c r="A21" s="61"/>
      <c r="B21" s="61"/>
      <c r="C21" s="219" t="s">
        <v>116</v>
      </c>
      <c r="E21" s="219" t="s">
        <v>117</v>
      </c>
      <c r="G21" s="219" t="str">
        <f>VLOOKUP(G20,[18]TS!$B$10:$D$253,2,0)</f>
        <v>1DA-3</v>
      </c>
      <c r="I21" s="219" t="str">
        <f>VLOOKUP(I20,[18]TS!$B$10:$D$253,2,0)</f>
        <v>1DA+6</v>
      </c>
      <c r="K21" s="219" t="str">
        <f>VLOOKUP(K20,[18]TS!$B$10:$D$253,2,0)</f>
        <v>1DA+9</v>
      </c>
      <c r="M21" s="219" t="str">
        <f>VLOOKUP(M20,[18]TS!$B$10:$D$253,2,0)</f>
        <v>1DA+3</v>
      </c>
      <c r="O21" s="219" t="str">
        <f>VLOOKUP(O20,[18]TS!$B$10:$D$253,2,0)</f>
        <v>1DB1+9</v>
      </c>
      <c r="Q21" s="219" t="str">
        <f>VLOOKUP(Q20,[18]TS!$B$10:$D$253,2,0)</f>
        <v>1DB1+9</v>
      </c>
      <c r="S21" s="219" t="str">
        <f>VLOOKUP(S20,[18]TS!$B$10:$D$253,2,0)</f>
        <v>1DA-3</v>
      </c>
      <c r="U21" s="219" t="str">
        <f>VLOOKUP(U20,[18]TS!$B$10:$D$253,2,0)</f>
        <v>1DA-3</v>
      </c>
      <c r="W21" s="64"/>
      <c r="Y21" s="31">
        <f>X18-Y18-Y19-Y20</f>
        <v>0</v>
      </c>
      <c r="Z21" s="31" t="s">
        <v>498</v>
      </c>
      <c r="AA21" s="31">
        <f>Z18-AA19-AA20-AA18</f>
        <v>6</v>
      </c>
      <c r="AC21" s="31" t="s">
        <v>95</v>
      </c>
    </row>
    <row r="22" spans="1:29" s="105" customFormat="1" ht="13.5" customHeight="1">
      <c r="A22" s="104"/>
      <c r="B22" s="108"/>
      <c r="C22" s="694">
        <f>(D17)/1000</f>
        <v>0.249635</v>
      </c>
      <c r="D22" s="694"/>
      <c r="E22" s="694"/>
      <c r="F22" s="679"/>
      <c r="G22" s="679"/>
      <c r="H22" s="679"/>
      <c r="I22" s="679"/>
      <c r="J22" s="679"/>
      <c r="K22" s="679"/>
      <c r="L22" s="679"/>
      <c r="M22" s="679"/>
      <c r="N22" s="679"/>
      <c r="O22" s="679"/>
      <c r="P22" s="679"/>
      <c r="Q22" s="679"/>
      <c r="R22" s="679"/>
      <c r="S22" s="679"/>
      <c r="T22" s="679"/>
      <c r="U22" s="679"/>
      <c r="V22" s="679"/>
      <c r="W22" s="129"/>
    </row>
    <row r="23" spans="1:29" s="31" customFormat="1" ht="11.55" customHeight="1">
      <c r="A23" s="61"/>
      <c r="B23" s="61"/>
      <c r="D23" s="681" t="s">
        <v>198</v>
      </c>
      <c r="E23" s="681"/>
      <c r="F23" s="681"/>
      <c r="G23" s="221"/>
      <c r="H23" s="221"/>
      <c r="J23" s="220" t="s">
        <v>199</v>
      </c>
      <c r="P23" s="221"/>
      <c r="Q23" s="221"/>
      <c r="R23" s="221"/>
      <c r="S23" s="685" t="s">
        <v>200</v>
      </c>
      <c r="T23" s="685"/>
      <c r="U23" s="685"/>
      <c r="W23" s="64"/>
    </row>
    <row r="24" spans="1:29" s="31" customFormat="1" ht="15.6" customHeight="1">
      <c r="A24" s="61"/>
      <c r="B24" s="65"/>
      <c r="C24" s="209" t="s">
        <v>258</v>
      </c>
      <c r="E24" s="209" t="s">
        <v>259</v>
      </c>
      <c r="G24" s="209" t="s">
        <v>260</v>
      </c>
      <c r="I24" s="209" t="s">
        <v>261</v>
      </c>
      <c r="K24" s="209" t="s">
        <v>262</v>
      </c>
      <c r="W24" s="64"/>
    </row>
    <row r="25" spans="1:29" s="31" customFormat="1" ht="16.95" customHeight="1">
      <c r="A25" s="61"/>
      <c r="B25" s="61"/>
      <c r="D25" s="213" t="s">
        <v>638</v>
      </c>
      <c r="W25" s="64"/>
      <c r="X25" s="9" t="s">
        <v>63</v>
      </c>
      <c r="Y25" s="9" t="s">
        <v>92</v>
      </c>
      <c r="Z25" s="9" t="s">
        <v>64</v>
      </c>
      <c r="AA25" s="20" t="s">
        <v>106</v>
      </c>
      <c r="AB25" s="9" t="s">
        <v>62</v>
      </c>
    </row>
    <row r="26" spans="1:29" s="31" customFormat="1" ht="13.8" thickBot="1">
      <c r="A26" s="61"/>
      <c r="B26" s="61"/>
      <c r="C26" s="216"/>
      <c r="D26" s="31">
        <f>VLOOKUP(C29,[18]TS!$B$10:$D$253,3,0)</f>
        <v>365</v>
      </c>
      <c r="F26" s="31">
        <f>VLOOKUP(E29,[18]TS!$B$10:$D$253,3,0)</f>
        <v>356</v>
      </c>
      <c r="G26" s="216"/>
      <c r="H26" s="31">
        <f>VLOOKUP(G29,[18]TS!$B$10:$D$253,3,0)</f>
        <v>332</v>
      </c>
      <c r="I26" s="216"/>
      <c r="J26" s="31">
        <f>VLOOKUP(I29,[18]TS!$B$10:$D$253,3,0)</f>
        <v>384.42399999999998</v>
      </c>
      <c r="L26" s="31">
        <f>VLOOKUP(K29,[18]TS!$B$10:$D$253,3,0)</f>
        <v>385</v>
      </c>
      <c r="W26" s="62">
        <f>SUM(D26:L26)</f>
        <v>1822.424</v>
      </c>
    </row>
    <row r="27" spans="1:29" s="31" customFormat="1" ht="13.8" thickBot="1">
      <c r="A27" s="61">
        <f>A18+1</f>
        <v>2</v>
      </c>
      <c r="B27" s="61"/>
      <c r="C27" s="164" t="s">
        <v>240</v>
      </c>
      <c r="E27" s="164" t="s">
        <v>240</v>
      </c>
      <c r="G27" s="273" t="s">
        <v>499</v>
      </c>
      <c r="I27" s="164" t="s">
        <v>240</v>
      </c>
      <c r="K27" s="164" t="s">
        <v>240</v>
      </c>
      <c r="W27" s="62"/>
      <c r="X27" s="31">
        <v>5</v>
      </c>
      <c r="Y27" s="31">
        <v>5</v>
      </c>
      <c r="Z27" s="31">
        <v>5</v>
      </c>
      <c r="AA27" s="31">
        <v>0</v>
      </c>
      <c r="AB27" s="31">
        <v>0</v>
      </c>
      <c r="AC27" s="31" t="s">
        <v>65</v>
      </c>
    </row>
    <row r="28" spans="1:29" s="31" customFormat="1" ht="13.8" thickBot="1">
      <c r="A28" s="61"/>
      <c r="B28" s="61"/>
      <c r="C28" s="274"/>
      <c r="E28" s="274"/>
      <c r="G28" s="274"/>
      <c r="I28" s="274"/>
      <c r="K28" s="274"/>
      <c r="W28" s="64"/>
      <c r="X28" s="31">
        <v>0</v>
      </c>
      <c r="Y28" s="31">
        <f>COUNTIF($B$28:$U$28,"WIP")</f>
        <v>0</v>
      </c>
      <c r="Z28" s="31">
        <v>0</v>
      </c>
      <c r="AA28" s="31">
        <v>0</v>
      </c>
      <c r="AB28" s="31">
        <v>0</v>
      </c>
      <c r="AC28" s="31" t="s">
        <v>56</v>
      </c>
    </row>
    <row r="29" spans="1:29" s="31" customFormat="1">
      <c r="A29" s="61"/>
      <c r="B29" s="61"/>
      <c r="C29" s="218" t="s">
        <v>126</v>
      </c>
      <c r="D29" s="218"/>
      <c r="E29" s="218" t="s">
        <v>127</v>
      </c>
      <c r="F29" s="218"/>
      <c r="G29" s="218" t="s">
        <v>128</v>
      </c>
      <c r="H29" s="218"/>
      <c r="I29" s="218" t="s">
        <v>129</v>
      </c>
      <c r="J29" s="218"/>
      <c r="K29" s="218" t="s">
        <v>25</v>
      </c>
      <c r="L29" s="218"/>
      <c r="W29" s="64"/>
      <c r="X29" s="31">
        <f>COUNTIF($C$27:$U$27,"ROW")</f>
        <v>0</v>
      </c>
      <c r="Y29" s="31">
        <f>COUNTIF($B$28:$U$28,"ROW")</f>
        <v>0</v>
      </c>
      <c r="Z29" s="31">
        <f>COUNTIF($C$26:$V$26,"ROW")</f>
        <v>0</v>
      </c>
      <c r="AA29" s="31">
        <v>0</v>
      </c>
      <c r="AB29" s="31">
        <v>0</v>
      </c>
      <c r="AC29" s="31" t="s">
        <v>61</v>
      </c>
    </row>
    <row r="30" spans="1:29" s="31" customFormat="1">
      <c r="A30" s="61"/>
      <c r="B30" s="61"/>
      <c r="C30" s="219" t="str">
        <f>VLOOKUP(C29,[18]TS!$B$10:$D$253,2,0)</f>
        <v>1DA-3</v>
      </c>
      <c r="E30" s="219" t="str">
        <f>VLOOKUP(E29,[18]TS!$B$10:$D$253,2,0)</f>
        <v>1DA+0</v>
      </c>
      <c r="G30" s="219" t="str">
        <f>VLOOKUP(G29,[18]TS!$B$10:$D$253,2,0)</f>
        <v>1DA-3</v>
      </c>
      <c r="I30" s="219" t="str">
        <f>VLOOKUP(I29,[18]TS!$B$10:$D$253,2,0)</f>
        <v>1DA+0</v>
      </c>
      <c r="K30" s="219" t="str">
        <f>VLOOKUP(K29,[18]TS!$B$10:$D$253,2,0)</f>
        <v>1DB1+0</v>
      </c>
      <c r="M30" s="219"/>
      <c r="O30" s="219"/>
      <c r="Q30" s="219"/>
      <c r="S30" s="219"/>
      <c r="U30" s="219"/>
      <c r="W30" s="64"/>
      <c r="Y30" s="31">
        <f>X27-Y27-Y28-Y29</f>
        <v>0</v>
      </c>
      <c r="Z30" s="31">
        <f>X27-Z27-Z28-Z29</f>
        <v>0</v>
      </c>
      <c r="AA30" s="31">
        <f>Z27-AA28-AA29-AA27</f>
        <v>5</v>
      </c>
      <c r="AC30" s="31" t="s">
        <v>95</v>
      </c>
    </row>
    <row r="31" spans="1:29" s="105" customFormat="1" ht="13.5" customHeight="1">
      <c r="A31" s="104"/>
      <c r="B31" s="104"/>
      <c r="C31" s="679">
        <f>(F17+H17+J17+L17+N17+P17+R17+T17+V17+D26+H26+F26+J26)/1000</f>
        <v>4.9324240000000001</v>
      </c>
      <c r="D31" s="679"/>
      <c r="E31" s="679"/>
      <c r="F31" s="679"/>
      <c r="G31" s="679"/>
      <c r="H31" s="679"/>
      <c r="I31" s="679"/>
      <c r="J31" s="679"/>
      <c r="K31" s="679"/>
      <c r="L31" s="109"/>
      <c r="M31" s="222"/>
      <c r="N31" s="222"/>
      <c r="O31" s="222"/>
      <c r="P31" s="693"/>
      <c r="Q31" s="693"/>
      <c r="R31" s="693"/>
      <c r="S31" s="693"/>
      <c r="T31" s="693"/>
      <c r="U31" s="693"/>
      <c r="V31" s="693"/>
      <c r="W31" s="110"/>
    </row>
    <row r="32" spans="1:29" s="31" customFormat="1" ht="15.75" customHeight="1">
      <c r="A32" s="61"/>
      <c r="B32" s="65"/>
      <c r="C32" s="681" t="s">
        <v>200</v>
      </c>
      <c r="D32" s="681"/>
      <c r="E32" s="681"/>
      <c r="O32" s="692"/>
      <c r="P32" s="692"/>
      <c r="Q32" s="692"/>
      <c r="W32" s="64"/>
      <c r="X32" s="9" t="s">
        <v>63</v>
      </c>
      <c r="Y32" s="9" t="s">
        <v>92</v>
      </c>
      <c r="Z32" s="9" t="s">
        <v>64</v>
      </c>
      <c r="AA32" s="20" t="s">
        <v>106</v>
      </c>
      <c r="AB32" s="9" t="s">
        <v>62</v>
      </c>
    </row>
    <row r="33" spans="1:31" s="31" customFormat="1" ht="14.55" customHeight="1" thickBot="1">
      <c r="A33" s="61"/>
      <c r="B33" s="65"/>
      <c r="C33" s="224"/>
      <c r="D33" s="224"/>
      <c r="E33" s="224"/>
      <c r="O33" s="223"/>
      <c r="P33" s="223"/>
      <c r="Q33" s="223"/>
      <c r="W33" s="64"/>
      <c r="X33" s="53">
        <f>X18+X27</f>
        <v>15</v>
      </c>
      <c r="Y33" s="53">
        <f t="shared" ref="Y33:AB36" si="1">Y18+Y27</f>
        <v>15</v>
      </c>
      <c r="Z33" s="53">
        <f t="shared" si="1"/>
        <v>11</v>
      </c>
      <c r="AA33" s="53">
        <f t="shared" si="1"/>
        <v>0</v>
      </c>
      <c r="AB33" s="53">
        <f t="shared" si="1"/>
        <v>0</v>
      </c>
      <c r="AC33" s="39" t="s">
        <v>93</v>
      </c>
    </row>
    <row r="34" spans="1:31" s="31" customFormat="1" ht="13.8">
      <c r="A34" s="61"/>
      <c r="B34" s="687" t="s">
        <v>195</v>
      </c>
      <c r="C34" s="688"/>
      <c r="D34" s="688"/>
      <c r="E34" s="688"/>
      <c r="F34" s="688"/>
      <c r="G34" s="688"/>
      <c r="H34" s="688"/>
      <c r="I34" s="688"/>
      <c r="J34" s="688"/>
      <c r="K34" s="688"/>
      <c r="L34" s="688"/>
      <c r="M34" s="688"/>
      <c r="N34" s="688"/>
      <c r="O34" s="688"/>
      <c r="P34" s="688"/>
      <c r="Q34" s="688"/>
      <c r="R34" s="688"/>
      <c r="S34" s="688"/>
      <c r="T34" s="688"/>
      <c r="U34" s="688"/>
      <c r="V34" s="688"/>
      <c r="W34" s="689"/>
      <c r="X34" s="53">
        <f>X19+X28</f>
        <v>0</v>
      </c>
      <c r="Y34" s="53">
        <f t="shared" si="1"/>
        <v>0</v>
      </c>
      <c r="Z34" s="53">
        <f t="shared" si="1"/>
        <v>1</v>
      </c>
      <c r="AA34" s="53">
        <f t="shared" si="1"/>
        <v>0</v>
      </c>
      <c r="AB34" s="53">
        <f t="shared" si="1"/>
        <v>0</v>
      </c>
      <c r="AC34" s="39" t="s">
        <v>56</v>
      </c>
      <c r="AE34" s="48" t="s">
        <v>197</v>
      </c>
    </row>
    <row r="35" spans="1:31" s="31" customFormat="1">
      <c r="A35" s="61"/>
      <c r="B35" s="65"/>
      <c r="C35" s="209" t="s">
        <v>263</v>
      </c>
      <c r="D35" s="213"/>
      <c r="E35" s="209" t="s">
        <v>264</v>
      </c>
      <c r="F35" s="213"/>
      <c r="G35" s="209" t="s">
        <v>265</v>
      </c>
      <c r="H35" s="213"/>
      <c r="I35" s="209" t="s">
        <v>266</v>
      </c>
      <c r="J35" s="213"/>
      <c r="K35" s="209" t="s">
        <v>267</v>
      </c>
      <c r="L35" s="213"/>
      <c r="M35" s="209" t="s">
        <v>268</v>
      </c>
      <c r="N35" s="213"/>
      <c r="O35" s="209" t="s">
        <v>269</v>
      </c>
      <c r="P35" s="213"/>
      <c r="Q35" s="209" t="s">
        <v>270</v>
      </c>
      <c r="R35" s="213"/>
      <c r="S35" s="209" t="s">
        <v>271</v>
      </c>
      <c r="U35" s="209" t="s">
        <v>272</v>
      </c>
      <c r="W35" s="64"/>
      <c r="X35" s="53">
        <f>X20+X29</f>
        <v>0</v>
      </c>
      <c r="Y35" s="53">
        <f t="shared" si="1"/>
        <v>0</v>
      </c>
      <c r="Z35" s="53">
        <f t="shared" si="1"/>
        <v>1</v>
      </c>
      <c r="AA35" s="53">
        <f t="shared" si="1"/>
        <v>0</v>
      </c>
      <c r="AB35" s="53">
        <f t="shared" si="1"/>
        <v>0</v>
      </c>
      <c r="AC35" s="39" t="s">
        <v>61</v>
      </c>
    </row>
    <row r="36" spans="1:31" s="31" customFormat="1">
      <c r="A36" s="61"/>
      <c r="B36" s="61"/>
      <c r="C36" s="213"/>
      <c r="D36" s="213" t="s">
        <v>243</v>
      </c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 t="s">
        <v>245</v>
      </c>
      <c r="W36" s="64"/>
      <c r="X36" s="53">
        <f>X21+X30</f>
        <v>0</v>
      </c>
      <c r="Y36" s="53">
        <f t="shared" si="1"/>
        <v>0</v>
      </c>
      <c r="Z36" s="53" t="e">
        <f t="shared" si="1"/>
        <v>#VALUE!</v>
      </c>
      <c r="AA36" s="53">
        <f t="shared" si="1"/>
        <v>11</v>
      </c>
      <c r="AB36" s="53">
        <f t="shared" si="1"/>
        <v>0</v>
      </c>
      <c r="AC36" s="53" t="s">
        <v>95</v>
      </c>
    </row>
    <row r="37" spans="1:31" s="31" customFormat="1" ht="15.6" customHeight="1" thickBot="1">
      <c r="A37" s="61"/>
      <c r="B37" s="61"/>
      <c r="D37" s="31">
        <f>VLOOKUP(C40,[18]TS!$B$10:$D$253,3,0)</f>
        <v>423</v>
      </c>
      <c r="F37" s="31">
        <f>VLOOKUP(E40,[18]TS!$B$10:$D$253,3,0)</f>
        <v>382</v>
      </c>
      <c r="G37" s="216"/>
      <c r="H37" s="31">
        <f>VLOOKUP(G40,[18]TS!$B$10:$D$253,3,0)</f>
        <v>405</v>
      </c>
      <c r="I37" s="216"/>
      <c r="J37" s="31">
        <f>VLOOKUP(I40,[18]TS!$B$10:$D$253,3,0)</f>
        <v>388.45800000000003</v>
      </c>
      <c r="K37" s="216"/>
      <c r="L37" s="31">
        <f>VLOOKUP(K40,[18]TS!$B$10:$D$253,3,0)</f>
        <v>405</v>
      </c>
      <c r="M37" s="216"/>
      <c r="N37" s="31">
        <f>VLOOKUP(M40,[18]TS!$B$10:$D$253,3,0)</f>
        <v>360</v>
      </c>
      <c r="O37" s="216"/>
      <c r="P37" s="31">
        <f>VLOOKUP(O40,[18]TS!$B$10:$D$253,3,0)</f>
        <v>390</v>
      </c>
      <c r="Q37" s="216"/>
      <c r="R37" s="31">
        <f>VLOOKUP(Q40,[18]TS!$B$10:$D$253,3,0)</f>
        <v>325</v>
      </c>
      <c r="S37" s="216"/>
      <c r="T37" s="31">
        <f>VLOOKUP(S40,[18]TS!$B$10:$D$253,3,0)</f>
        <v>430</v>
      </c>
      <c r="V37" s="31">
        <f>VLOOKUP(U40,[18]TS!$B$10:$D$253,3,0)</f>
        <v>298</v>
      </c>
      <c r="W37" s="62">
        <f>SUM(D37:V37)</f>
        <v>3806.4580000000001</v>
      </c>
    </row>
    <row r="38" spans="1:31" s="31" customFormat="1" ht="13.8" thickBot="1">
      <c r="A38" s="61">
        <f>A27+1</f>
        <v>3</v>
      </c>
      <c r="B38" s="61"/>
      <c r="C38" s="164" t="s">
        <v>240</v>
      </c>
      <c r="E38" s="164" t="s">
        <v>240</v>
      </c>
      <c r="G38" s="164" t="s">
        <v>240</v>
      </c>
      <c r="I38" s="164" t="s">
        <v>240</v>
      </c>
      <c r="K38" s="164" t="s">
        <v>240</v>
      </c>
      <c r="M38" s="164" t="s">
        <v>689</v>
      </c>
      <c r="O38" s="164" t="s">
        <v>689</v>
      </c>
      <c r="Q38" s="164" t="s">
        <v>240</v>
      </c>
      <c r="S38" s="164" t="s">
        <v>240</v>
      </c>
      <c r="U38" s="164" t="s">
        <v>689</v>
      </c>
      <c r="W38" s="62"/>
      <c r="X38" s="31">
        <v>10</v>
      </c>
      <c r="Y38" s="31">
        <v>10</v>
      </c>
      <c r="Z38" s="31">
        <v>10</v>
      </c>
      <c r="AA38" s="31">
        <v>0</v>
      </c>
      <c r="AB38" s="31">
        <v>0</v>
      </c>
      <c r="AC38" s="31" t="s">
        <v>65</v>
      </c>
    </row>
    <row r="39" spans="1:31" s="31" customFormat="1" ht="13.8" thickBot="1">
      <c r="A39" s="61"/>
      <c r="B39" s="61"/>
      <c r="C39" s="195"/>
      <c r="E39" s="274"/>
      <c r="G39" s="195"/>
      <c r="I39" s="195"/>
      <c r="K39" s="274"/>
      <c r="M39" s="274"/>
      <c r="O39" s="274"/>
      <c r="Q39" s="195"/>
      <c r="S39" s="195"/>
      <c r="U39" s="195"/>
      <c r="W39" s="64"/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 t="s">
        <v>56</v>
      </c>
    </row>
    <row r="40" spans="1:31">
      <c r="A40" s="11"/>
      <c r="B40" s="11"/>
      <c r="C40" s="225" t="s">
        <v>16</v>
      </c>
      <c r="D40" s="225"/>
      <c r="E40" s="225" t="s">
        <v>17</v>
      </c>
      <c r="F40" s="225"/>
      <c r="G40" s="225" t="s">
        <v>18</v>
      </c>
      <c r="H40" s="225"/>
      <c r="I40" s="225" t="s">
        <v>130</v>
      </c>
      <c r="J40" s="225"/>
      <c r="K40" s="218" t="s">
        <v>26</v>
      </c>
      <c r="L40" s="225"/>
      <c r="M40" s="225" t="s">
        <v>131</v>
      </c>
      <c r="N40" s="225"/>
      <c r="O40" s="225" t="s">
        <v>132</v>
      </c>
      <c r="P40" s="225"/>
      <c r="Q40" s="225" t="s">
        <v>133</v>
      </c>
      <c r="R40" s="225"/>
      <c r="S40" s="225" t="s">
        <v>134</v>
      </c>
      <c r="T40" s="225"/>
      <c r="U40" s="225" t="s">
        <v>135</v>
      </c>
      <c r="W40" s="12"/>
      <c r="X40" s="9">
        <f>COUNTIF($C$38:$U$38,"ROW")</f>
        <v>0</v>
      </c>
      <c r="Y40" s="9">
        <f>COUNTIF($B$39:$U$39,"ROW")</f>
        <v>0</v>
      </c>
      <c r="Z40" s="9">
        <f>COUNTIF($C$37:$V$37,"ROW")</f>
        <v>0</v>
      </c>
      <c r="AA40" s="9">
        <v>0</v>
      </c>
      <c r="AB40" s="9">
        <v>0</v>
      </c>
      <c r="AC40" s="9" t="s">
        <v>61</v>
      </c>
    </row>
    <row r="41" spans="1:31">
      <c r="A41" s="11"/>
      <c r="B41" s="11"/>
      <c r="C41" s="226" t="str">
        <f>VLOOKUP(C40,[18]TS!$B$10:$D$253,2,0)</f>
        <v>1DA+0</v>
      </c>
      <c r="D41" s="31"/>
      <c r="E41" s="226" t="str">
        <f>VLOOKUP(E40,[18]TS!$B$10:$D$253,2,0)</f>
        <v>1DA+0</v>
      </c>
      <c r="G41" s="226" t="str">
        <f>VLOOKUP(G40,[18]TS!$B$10:$D$253,2,0)</f>
        <v>1DA+0</v>
      </c>
      <c r="I41" s="226" t="str">
        <f>VLOOKUP(I40,[18]TS!$B$10:$D$253,2,0)</f>
        <v>1DA+3</v>
      </c>
      <c r="K41" s="226" t="str">
        <f>VLOOKUP(K40,[18]TS!$B$10:$D$253,2,0)</f>
        <v>1DB1+0</v>
      </c>
      <c r="M41" s="226" t="str">
        <f>VLOOKUP(M40,[18]TS!$B$10:$D$253,2,0)</f>
        <v>1DA+3</v>
      </c>
      <c r="O41" s="226" t="str">
        <f>VLOOKUP(O40,[18]TS!$B$10:$D$253,2,0)</f>
        <v>1DA+3</v>
      </c>
      <c r="Q41" s="226" t="str">
        <f>VLOOKUP(Q40,[18]TS!$B$10:$D$253,2,0)</f>
        <v>1DA-3</v>
      </c>
      <c r="S41" s="226" t="str">
        <f>VLOOKUP(S40,[18]TS!$B$10:$D$253,2,0)</f>
        <v>1DA+0</v>
      </c>
      <c r="U41" s="226" t="str">
        <f>VLOOKUP(U40,[18]TS!$B$10:$D$253,2,0)</f>
        <v>1DA+0</v>
      </c>
      <c r="W41" s="12"/>
      <c r="Y41" s="9">
        <f>X38-Y38-Y39-Y40</f>
        <v>0</v>
      </c>
      <c r="Z41" s="9">
        <f>X38-Z38-Z39-Z40</f>
        <v>0</v>
      </c>
      <c r="AA41" s="9">
        <f>Z38-AA39-AA40-AA38</f>
        <v>10</v>
      </c>
      <c r="AC41" s="9" t="s">
        <v>95</v>
      </c>
    </row>
    <row r="42" spans="1:31" s="103" customFormat="1" ht="13.5" customHeight="1">
      <c r="A42" s="107"/>
      <c r="B42" s="107"/>
      <c r="C42" s="690">
        <f>(L26+D37+F37+H37+J37)/1000</f>
        <v>1.9834580000000002</v>
      </c>
      <c r="D42" s="691"/>
      <c r="E42" s="690"/>
      <c r="F42" s="690"/>
      <c r="G42" s="690"/>
      <c r="H42" s="690"/>
      <c r="I42" s="690"/>
      <c r="J42" s="690"/>
      <c r="K42" s="690"/>
      <c r="L42" s="690"/>
      <c r="M42" s="690"/>
      <c r="N42" s="690"/>
      <c r="O42" s="690"/>
      <c r="P42" s="690"/>
      <c r="Q42" s="690"/>
      <c r="R42" s="690"/>
      <c r="S42" s="690"/>
      <c r="T42" s="690"/>
      <c r="U42" s="690"/>
      <c r="V42" s="690"/>
      <c r="W42" s="106"/>
    </row>
    <row r="43" spans="1:31" s="99" customFormat="1" ht="15" customHeight="1" thickBot="1">
      <c r="A43" s="102"/>
      <c r="B43" s="132"/>
      <c r="C43" s="118"/>
      <c r="D43" s="118"/>
      <c r="E43" s="118"/>
      <c r="F43" s="118"/>
      <c r="G43" s="686" t="s">
        <v>201</v>
      </c>
      <c r="H43" s="686"/>
      <c r="I43" s="118"/>
      <c r="J43" s="118"/>
      <c r="K43" s="118"/>
      <c r="L43" s="686"/>
      <c r="M43" s="686"/>
      <c r="N43" s="118"/>
      <c r="O43" s="118"/>
      <c r="P43" s="118"/>
      <c r="Q43" s="227"/>
      <c r="R43" s="227"/>
      <c r="S43" s="227"/>
      <c r="T43" s="686" t="s">
        <v>203</v>
      </c>
      <c r="U43" s="686"/>
      <c r="V43" s="118"/>
      <c r="W43" s="228"/>
    </row>
    <row r="44" spans="1:31" ht="10.95" customHeight="1">
      <c r="A44" s="11"/>
      <c r="B44" s="126"/>
      <c r="C44" s="229" t="s">
        <v>274</v>
      </c>
      <c r="D44" s="230"/>
      <c r="E44" s="229" t="s">
        <v>275</v>
      </c>
      <c r="F44" s="230"/>
      <c r="G44" s="229" t="s">
        <v>276</v>
      </c>
      <c r="H44" s="230"/>
      <c r="I44" s="229" t="s">
        <v>277</v>
      </c>
      <c r="J44" s="230"/>
      <c r="K44" s="229" t="s">
        <v>278</v>
      </c>
      <c r="L44" s="230"/>
      <c r="M44" s="229" t="s">
        <v>279</v>
      </c>
      <c r="N44" s="230"/>
      <c r="O44" s="229" t="s">
        <v>280</v>
      </c>
      <c r="P44" s="230"/>
      <c r="Q44" s="229" t="s">
        <v>281</v>
      </c>
      <c r="R44" s="230"/>
      <c r="S44" s="229" t="s">
        <v>282</v>
      </c>
      <c r="T44" s="230"/>
      <c r="U44" s="229" t="s">
        <v>283</v>
      </c>
      <c r="V44" s="230"/>
      <c r="W44" s="231"/>
    </row>
    <row r="45" spans="1:31">
      <c r="A45" s="11"/>
      <c r="B45" s="61"/>
      <c r="C45" s="31"/>
      <c r="D45" s="31"/>
      <c r="E45" s="31"/>
      <c r="F45" s="31"/>
      <c r="G45" s="31"/>
      <c r="H45" s="31"/>
      <c r="I45" s="31"/>
      <c r="J45" s="31"/>
      <c r="K45" s="31"/>
      <c r="L45" s="213" t="s">
        <v>242</v>
      </c>
      <c r="M45" s="213"/>
      <c r="N45" s="213" t="s">
        <v>243</v>
      </c>
      <c r="O45" s="31"/>
      <c r="P45" s="31"/>
      <c r="Q45" s="31"/>
      <c r="R45" s="207" t="s">
        <v>273</v>
      </c>
      <c r="S45" s="31"/>
      <c r="T45" s="31"/>
      <c r="U45" s="31"/>
      <c r="V45" s="31"/>
      <c r="W45" s="12"/>
    </row>
    <row r="46" spans="1:31" ht="13.8" thickBot="1">
      <c r="A46" s="11"/>
      <c r="B46" s="61"/>
      <c r="C46" s="216"/>
      <c r="D46" s="31">
        <f>VLOOKUP(C49,[18]TS!$B$10:$D$253,3,0)</f>
        <v>422</v>
      </c>
      <c r="E46" s="216"/>
      <c r="F46" s="31">
        <f>VLOOKUP(E49,[18]TS!$B$10:$D$253,3,0)</f>
        <v>345</v>
      </c>
      <c r="G46" s="216"/>
      <c r="H46" s="31">
        <f>VLOOKUP(G49,[18]TS!$B$10:$D$253,3,0)</f>
        <v>370</v>
      </c>
      <c r="I46" s="31"/>
      <c r="J46" s="31">
        <f>VLOOKUP(I49,[18]TS!$B$10:$D$253,3,0)</f>
        <v>320</v>
      </c>
      <c r="K46" s="216"/>
      <c r="L46" s="31">
        <f>VLOOKUP(K49,[18]TS!$B$10:$D$253,3,0)</f>
        <v>390</v>
      </c>
      <c r="M46" s="216"/>
      <c r="N46" s="31">
        <f>VLOOKUP(M49,[18]TS!$B$10:$D$253,3,0)</f>
        <v>425.02</v>
      </c>
      <c r="O46" s="216"/>
      <c r="P46" s="31">
        <f>VLOOKUP(O49,[18]TS!$B$10:$D$253,3,0)</f>
        <v>480</v>
      </c>
      <c r="Q46" s="216"/>
      <c r="R46" s="31">
        <f>VLOOKUP(Q49,[18]TS!$B$10:$D$253,3,0)</f>
        <v>297.315</v>
      </c>
      <c r="S46" s="216"/>
      <c r="T46" s="31">
        <f>VLOOKUP(S49,[18]TS!$B$10:$D$253,3,0)</f>
        <v>417</v>
      </c>
      <c r="U46" s="31"/>
      <c r="V46" s="31">
        <f>VLOOKUP(U49,[18]TS!$B$10:$D$253,3,0)</f>
        <v>409</v>
      </c>
      <c r="W46" s="14">
        <f>SUM(D46:V46)</f>
        <v>3875.335</v>
      </c>
      <c r="X46" s="9" t="s">
        <v>63</v>
      </c>
      <c r="Y46" s="9" t="s">
        <v>92</v>
      </c>
      <c r="Z46" s="9" t="s">
        <v>64</v>
      </c>
      <c r="AA46" s="20" t="s">
        <v>106</v>
      </c>
      <c r="AB46" s="9" t="s">
        <v>62</v>
      </c>
    </row>
    <row r="47" spans="1:31" ht="13.8" thickBot="1">
      <c r="A47" s="11">
        <f>A38+1</f>
        <v>4</v>
      </c>
      <c r="B47" s="61"/>
      <c r="C47" s="164" t="s">
        <v>240</v>
      </c>
      <c r="D47" s="31"/>
      <c r="E47" s="164" t="s">
        <v>240</v>
      </c>
      <c r="F47" s="31"/>
      <c r="G47" s="164" t="s">
        <v>240</v>
      </c>
      <c r="H47" s="31"/>
      <c r="I47" s="164" t="s">
        <v>689</v>
      </c>
      <c r="J47" s="232"/>
      <c r="K47" s="164" t="s">
        <v>689</v>
      </c>
      <c r="L47" s="31"/>
      <c r="M47" s="164" t="s">
        <v>240</v>
      </c>
      <c r="N47" s="31"/>
      <c r="O47" s="164" t="s">
        <v>240</v>
      </c>
      <c r="P47" s="31"/>
      <c r="Q47" s="164" t="s">
        <v>689</v>
      </c>
      <c r="R47" s="31"/>
      <c r="S47" s="164" t="s">
        <v>240</v>
      </c>
      <c r="T47" s="31"/>
      <c r="U47" s="164" t="s">
        <v>240</v>
      </c>
      <c r="V47" s="31"/>
      <c r="W47" s="14"/>
      <c r="X47" s="9">
        <v>10</v>
      </c>
      <c r="Y47" s="9">
        <v>10</v>
      </c>
      <c r="Z47" s="9">
        <v>10</v>
      </c>
      <c r="AA47" s="9">
        <v>0</v>
      </c>
      <c r="AB47" s="9">
        <v>0</v>
      </c>
      <c r="AC47" s="9" t="s">
        <v>65</v>
      </c>
    </row>
    <row r="48" spans="1:31" ht="13.8" thickBot="1">
      <c r="A48" s="11"/>
      <c r="B48" s="61"/>
      <c r="C48" s="195"/>
      <c r="D48" s="31"/>
      <c r="E48" s="195"/>
      <c r="F48" s="31"/>
      <c r="G48" s="195"/>
      <c r="H48" s="31"/>
      <c r="I48" s="195"/>
      <c r="J48" s="31"/>
      <c r="K48" s="274"/>
      <c r="L48" s="31"/>
      <c r="M48" s="195"/>
      <c r="N48" s="31"/>
      <c r="O48" s="195"/>
      <c r="P48" s="31"/>
      <c r="Q48" s="195"/>
      <c r="R48" s="31"/>
      <c r="S48" s="195"/>
      <c r="T48" s="31"/>
      <c r="U48" s="274"/>
      <c r="V48" s="31"/>
      <c r="W48" s="12"/>
      <c r="X48" s="9">
        <v>0</v>
      </c>
      <c r="Y48" s="9">
        <v>0</v>
      </c>
      <c r="Z48" s="9">
        <v>0</v>
      </c>
      <c r="AA48" s="9">
        <v>0</v>
      </c>
      <c r="AB48" s="50">
        <v>0</v>
      </c>
      <c r="AC48" s="9" t="s">
        <v>56</v>
      </c>
    </row>
    <row r="49" spans="1:29">
      <c r="A49" s="11"/>
      <c r="B49" s="61"/>
      <c r="C49" s="218" t="s">
        <v>136</v>
      </c>
      <c r="D49" s="218"/>
      <c r="E49" s="218" t="s">
        <v>137</v>
      </c>
      <c r="F49" s="218"/>
      <c r="G49" s="218" t="s">
        <v>138</v>
      </c>
      <c r="H49" s="218"/>
      <c r="I49" s="218" t="s">
        <v>139</v>
      </c>
      <c r="J49" s="218"/>
      <c r="K49" s="218" t="s">
        <v>140</v>
      </c>
      <c r="L49" s="218"/>
      <c r="M49" s="218" t="s">
        <v>141</v>
      </c>
      <c r="N49" s="218"/>
      <c r="O49" s="218" t="s">
        <v>27</v>
      </c>
      <c r="P49" s="218"/>
      <c r="Q49" s="218" t="s">
        <v>19</v>
      </c>
      <c r="R49" s="218"/>
      <c r="S49" s="218" t="s">
        <v>28</v>
      </c>
      <c r="T49" s="218"/>
      <c r="U49" s="218" t="s">
        <v>20</v>
      </c>
      <c r="V49" s="31"/>
      <c r="W49" s="12"/>
      <c r="X49" s="9">
        <f>COUNTIF($C$47:$U$47,"ROW")</f>
        <v>0</v>
      </c>
      <c r="Y49" s="9">
        <f>COUNTIF($B$48:$U$48,"ROW")</f>
        <v>0</v>
      </c>
      <c r="Z49" s="9">
        <f>COUNTIF($C$46:$V$46,"ROW")</f>
        <v>0</v>
      </c>
      <c r="AA49" s="9">
        <v>0</v>
      </c>
      <c r="AC49" s="9" t="s">
        <v>61</v>
      </c>
    </row>
    <row r="50" spans="1:29">
      <c r="A50" s="11"/>
      <c r="B50" s="61"/>
      <c r="C50" s="219" t="str">
        <f>VLOOKUP(C49,[18]TS!$B$10:$D$253,2,0)</f>
        <v>1DA+0</v>
      </c>
      <c r="D50" s="31"/>
      <c r="E50" s="219" t="str">
        <f>VLOOKUP(E49,[18]TS!$B$10:$D$253,2,0)</f>
        <v>1DA+9</v>
      </c>
      <c r="F50" s="31"/>
      <c r="G50" s="219" t="str">
        <f>VLOOKUP(G49,[18]TS!$B$10:$D$253,2,0)</f>
        <v>1DA+3</v>
      </c>
      <c r="H50" s="31"/>
      <c r="I50" s="219" t="str">
        <f>VLOOKUP(I49,[18]TS!$B$10:$D$253,2,0)</f>
        <v>1DA+9</v>
      </c>
      <c r="J50" s="31"/>
      <c r="K50" s="219" t="str">
        <f>VLOOKUP(K49,[18]TS!$B$10:$D$253,2,0)</f>
        <v>1DA+9</v>
      </c>
      <c r="L50" s="31"/>
      <c r="M50" s="219" t="str">
        <f>VLOOKUP(M49,[18]TS!$B$10:$D$253,2,0)</f>
        <v>1DA+3</v>
      </c>
      <c r="N50" s="31"/>
      <c r="O50" s="219" t="str">
        <f>VLOOKUP(O49,[18]TS!$B$10:$D$253,2,0)</f>
        <v>1DB1+3</v>
      </c>
      <c r="P50" s="31"/>
      <c r="Q50" s="219" t="str">
        <f>VLOOKUP(Q49,[18]TS!$B$10:$D$253,2,0)</f>
        <v>1DB1+9</v>
      </c>
      <c r="R50" s="31"/>
      <c r="S50" s="219" t="str">
        <f>VLOOKUP(S49,[18]TS!$B$10:$D$253,2,0)</f>
        <v>1DB2+3</v>
      </c>
      <c r="T50" s="31"/>
      <c r="U50" s="219" t="str">
        <f>VLOOKUP(U49,[18]TS!$B$10:$D$253,2,0)</f>
        <v>1DA+3</v>
      </c>
      <c r="V50" s="31"/>
      <c r="W50" s="12"/>
      <c r="Y50" s="9">
        <f>X47-Y47-Y48-Y49</f>
        <v>0</v>
      </c>
      <c r="Z50" s="9">
        <f>X47-Z47-Z48-Z49</f>
        <v>0</v>
      </c>
      <c r="AA50" s="9">
        <f>Z47-AA48-AA49-AA47</f>
        <v>10</v>
      </c>
      <c r="AC50" s="9" t="s">
        <v>95</v>
      </c>
    </row>
    <row r="51" spans="1:29" s="103" customFormat="1" ht="9" customHeight="1">
      <c r="A51" s="107"/>
      <c r="B51" s="104"/>
      <c r="C51" s="679">
        <f>SUM(L37+N37+P37+R37+T37+H46+J46+L46+N46+D46+V37+F46)/1000</f>
        <v>4.4800200000000006</v>
      </c>
      <c r="D51" s="679"/>
      <c r="E51" s="679"/>
      <c r="F51" s="679"/>
      <c r="G51" s="679"/>
      <c r="H51" s="679"/>
      <c r="I51" s="679"/>
      <c r="J51" s="679"/>
      <c r="K51" s="679"/>
      <c r="L51" s="679"/>
      <c r="M51" s="679"/>
      <c r="N51" s="679"/>
      <c r="O51" s="679">
        <f>(P46+R46)/1000</f>
        <v>0.77731500000000009</v>
      </c>
      <c r="P51" s="679"/>
      <c r="Q51" s="679"/>
      <c r="R51" s="679"/>
      <c r="S51" s="679"/>
      <c r="T51" s="679"/>
      <c r="U51" s="679"/>
      <c r="V51" s="679"/>
      <c r="W51" s="106"/>
    </row>
    <row r="52" spans="1:29" s="99" customFormat="1" ht="12" customHeight="1">
      <c r="A52" s="102"/>
      <c r="B52" s="100"/>
      <c r="C52" s="681"/>
      <c r="D52" s="681"/>
      <c r="E52" s="681"/>
      <c r="F52" s="233"/>
      <c r="G52" s="233"/>
      <c r="H52" s="233"/>
      <c r="I52" s="233"/>
      <c r="J52" s="697" t="s">
        <v>204</v>
      </c>
      <c r="K52" s="697"/>
      <c r="L52" s="697"/>
      <c r="M52" s="233"/>
      <c r="N52" s="233"/>
      <c r="O52" s="700"/>
      <c r="P52" s="700"/>
      <c r="Q52" s="700"/>
      <c r="R52" s="234"/>
      <c r="S52" s="233"/>
      <c r="T52" s="233"/>
      <c r="U52" s="233"/>
      <c r="V52" s="233"/>
      <c r="W52" s="101"/>
    </row>
    <row r="53" spans="1:29">
      <c r="A53" s="11"/>
      <c r="B53" s="61"/>
      <c r="C53" s="209" t="s">
        <v>284</v>
      </c>
      <c r="D53" s="235"/>
      <c r="E53" s="209" t="s">
        <v>285</v>
      </c>
      <c r="F53" s="31"/>
      <c r="G53" s="209" t="s">
        <v>286</v>
      </c>
      <c r="H53" s="31"/>
      <c r="I53" s="209" t="s">
        <v>287</v>
      </c>
      <c r="J53" s="31"/>
      <c r="K53" s="209" t="s">
        <v>288</v>
      </c>
      <c r="L53" s="236" t="s">
        <v>208</v>
      </c>
      <c r="M53" s="209" t="s">
        <v>289</v>
      </c>
      <c r="N53" s="31"/>
      <c r="O53" s="209" t="s">
        <v>290</v>
      </c>
      <c r="P53" s="31"/>
      <c r="Q53" s="209" t="s">
        <v>291</v>
      </c>
      <c r="R53" s="31"/>
      <c r="S53" s="209" t="s">
        <v>292</v>
      </c>
      <c r="T53" s="31"/>
      <c r="U53" s="209" t="s">
        <v>293</v>
      </c>
      <c r="V53" s="237"/>
      <c r="W53" s="12"/>
    </row>
    <row r="54" spans="1:29" ht="13.95" customHeight="1">
      <c r="A54" s="11"/>
      <c r="B54" s="61"/>
      <c r="C54" s="31"/>
      <c r="D54" s="237"/>
      <c r="E54" s="31"/>
      <c r="F54" s="238" t="s">
        <v>631</v>
      </c>
      <c r="G54" s="31"/>
      <c r="H54" s="238" t="s">
        <v>241</v>
      </c>
      <c r="I54" s="213"/>
      <c r="J54" s="213"/>
      <c r="K54" s="213"/>
      <c r="L54" s="236" t="s">
        <v>208</v>
      </c>
      <c r="M54" s="213"/>
      <c r="N54" s="213"/>
      <c r="O54" s="213"/>
      <c r="P54" s="213"/>
      <c r="Q54" s="213"/>
      <c r="R54" s="213"/>
      <c r="S54" s="213"/>
      <c r="T54" s="213" t="s">
        <v>241</v>
      </c>
      <c r="U54" s="31"/>
      <c r="V54" s="31"/>
      <c r="W54" s="12"/>
      <c r="X54" s="9" t="s">
        <v>63</v>
      </c>
      <c r="Y54" s="9" t="s">
        <v>92</v>
      </c>
      <c r="Z54" s="9" t="s">
        <v>64</v>
      </c>
      <c r="AA54" s="20" t="s">
        <v>106</v>
      </c>
      <c r="AB54" s="9" t="s">
        <v>62</v>
      </c>
    </row>
    <row r="55" spans="1:29" ht="16.2" customHeight="1" thickBot="1">
      <c r="A55" s="11"/>
      <c r="B55" s="61"/>
      <c r="C55" s="216"/>
      <c r="D55" s="31">
        <f>VLOOKUP(C58,[18]TS!$B$10:$D$253,3,0)</f>
        <v>432.78199999999998</v>
      </c>
      <c r="E55" s="216"/>
      <c r="F55" s="31">
        <f>VLOOKUP(E58,[18]TS!$B$10:$D$253,3,0)</f>
        <v>469</v>
      </c>
      <c r="G55" s="216"/>
      <c r="H55" s="31">
        <f>VLOOKUP(G58,[18]TS!$B$10:$D$253,3,0)</f>
        <v>387</v>
      </c>
      <c r="I55" s="216"/>
      <c r="J55" s="31">
        <v>444.76</v>
      </c>
      <c r="K55" s="216"/>
      <c r="L55" s="31">
        <v>230.87</v>
      </c>
      <c r="M55" s="216"/>
      <c r="N55" s="31">
        <f>VLOOKUP(M58,[18]TS!$B$10:$D$253,3,0)</f>
        <v>430</v>
      </c>
      <c r="O55" s="216"/>
      <c r="P55" s="31">
        <f>VLOOKUP(O58,[18]TS!$B$10:$D$253,3,0)</f>
        <v>400</v>
      </c>
      <c r="Q55" s="216"/>
      <c r="R55" s="31">
        <f>VLOOKUP(Q58,[18]TS!$B$10:$D$253,3,0)</f>
        <v>410</v>
      </c>
      <c r="S55" s="216"/>
      <c r="T55" s="31">
        <f>VLOOKUP(S58,[18]TS!$B$10:$D$253,3,0)</f>
        <v>435</v>
      </c>
      <c r="U55" s="216"/>
      <c r="V55" s="31">
        <f>VLOOKUP(U58,[18]TS!$B$10:$D$253,3,0)</f>
        <v>360</v>
      </c>
      <c r="W55" s="14">
        <f>SUM(D55:V55)</f>
        <v>3999.4119999999998</v>
      </c>
    </row>
    <row r="56" spans="1:29" ht="13.8" thickBot="1">
      <c r="A56" s="11">
        <f>A47+1</f>
        <v>5</v>
      </c>
      <c r="B56" s="61"/>
      <c r="C56" s="164" t="s">
        <v>240</v>
      </c>
      <c r="D56" s="31"/>
      <c r="E56" s="119"/>
      <c r="F56" s="31"/>
      <c r="G56" s="164" t="s">
        <v>240</v>
      </c>
      <c r="H56" s="66"/>
      <c r="I56" s="164" t="s">
        <v>240</v>
      </c>
      <c r="J56" s="66"/>
      <c r="K56" s="164" t="s">
        <v>240</v>
      </c>
      <c r="L56" s="66"/>
      <c r="M56" s="164" t="s">
        <v>240</v>
      </c>
      <c r="N56" s="31"/>
      <c r="O56" s="164" t="s">
        <v>240</v>
      </c>
      <c r="P56" s="31"/>
      <c r="Q56" s="164" t="s">
        <v>240</v>
      </c>
      <c r="R56" s="31"/>
      <c r="S56" s="164" t="s">
        <v>240</v>
      </c>
      <c r="T56" s="66"/>
      <c r="U56" s="164" t="s">
        <v>240</v>
      </c>
      <c r="V56" s="66"/>
      <c r="W56" s="14"/>
      <c r="X56" s="9">
        <v>9</v>
      </c>
      <c r="Y56" s="9">
        <v>9</v>
      </c>
      <c r="Z56" s="9">
        <v>8</v>
      </c>
      <c r="AA56" s="9">
        <v>0</v>
      </c>
      <c r="AB56" s="9">
        <v>0</v>
      </c>
      <c r="AC56" s="9" t="s">
        <v>65</v>
      </c>
    </row>
    <row r="57" spans="1:29" ht="13.8" thickBot="1">
      <c r="A57" s="11"/>
      <c r="B57" s="61"/>
      <c r="C57" s="274"/>
      <c r="D57" s="31"/>
      <c r="E57" s="72"/>
      <c r="F57" s="31"/>
      <c r="G57" s="274"/>
      <c r="H57" s="31"/>
      <c r="I57" s="274"/>
      <c r="J57" s="31"/>
      <c r="K57" s="195"/>
      <c r="L57" s="31"/>
      <c r="M57" s="274"/>
      <c r="N57" s="31"/>
      <c r="O57" s="195"/>
      <c r="P57" s="31"/>
      <c r="Q57" s="188"/>
      <c r="R57" s="31"/>
      <c r="S57" s="188"/>
      <c r="T57" s="31"/>
      <c r="U57" s="195"/>
      <c r="V57" s="31"/>
      <c r="W57" s="12"/>
      <c r="X57" s="9">
        <v>0</v>
      </c>
      <c r="Y57" s="9">
        <f>COUNTIF($B$57:$U$57,"WIP")</f>
        <v>0</v>
      </c>
      <c r="Z57" s="9">
        <v>0</v>
      </c>
      <c r="AA57" s="9">
        <v>0</v>
      </c>
      <c r="AB57" s="9">
        <v>0</v>
      </c>
      <c r="AC57" s="9" t="s">
        <v>56</v>
      </c>
    </row>
    <row r="58" spans="1:29">
      <c r="A58" s="11"/>
      <c r="B58" s="61"/>
      <c r="C58" s="218" t="s">
        <v>21</v>
      </c>
      <c r="D58" s="218"/>
      <c r="E58" s="218" t="s">
        <v>22</v>
      </c>
      <c r="F58" s="218"/>
      <c r="G58" s="218" t="s">
        <v>143</v>
      </c>
      <c r="H58" s="218"/>
      <c r="I58" s="366" t="s">
        <v>627</v>
      </c>
      <c r="J58" s="218"/>
      <c r="K58" s="218" t="s">
        <v>29</v>
      </c>
      <c r="L58" s="218"/>
      <c r="M58" s="218" t="s">
        <v>30</v>
      </c>
      <c r="N58" s="218"/>
      <c r="O58" s="218" t="s">
        <v>2</v>
      </c>
      <c r="P58" s="218"/>
      <c r="Q58" s="218" t="s">
        <v>49</v>
      </c>
      <c r="R58" s="218"/>
      <c r="S58" s="218" t="s">
        <v>50</v>
      </c>
      <c r="T58" s="218"/>
      <c r="U58" s="218" t="s">
        <v>144</v>
      </c>
      <c r="V58" s="31"/>
      <c r="W58" s="12"/>
      <c r="X58" s="9">
        <f>COUNTIF($C$56:$U$56,"ROW")</f>
        <v>0</v>
      </c>
      <c r="Y58" s="9">
        <f>COUNTIF($B$57:$U$57,"ROW")</f>
        <v>0</v>
      </c>
      <c r="Z58" s="9">
        <f>COUNTIF($C$55:$V$55,"ROW")</f>
        <v>0</v>
      </c>
      <c r="AA58" s="9">
        <v>0</v>
      </c>
      <c r="AC58" s="9" t="s">
        <v>61</v>
      </c>
    </row>
    <row r="59" spans="1:29">
      <c r="A59" s="11"/>
      <c r="B59" s="61"/>
      <c r="C59" s="219" t="str">
        <f>VLOOKUP(C58,[18]TS!$B$10:$D$253,2,0)</f>
        <v>1DA+0</v>
      </c>
      <c r="D59" s="31"/>
      <c r="E59" s="219" t="str">
        <f>VLOOKUP(E58,[18]TS!$B$10:$D$253,2,0)</f>
        <v>1DD60+6</v>
      </c>
      <c r="F59" s="31"/>
      <c r="G59" s="219" t="str">
        <f>VLOOKUP(G58,[18]TS!$B$10:$D$253,2,0)</f>
        <v>1DA+9</v>
      </c>
      <c r="H59" s="31"/>
      <c r="I59" s="219" t="str">
        <f>VLOOKUP(I58,[18]TS!$B$10:$D$253,2,0)</f>
        <v>1DA+0</v>
      </c>
      <c r="J59" s="31"/>
      <c r="K59" s="219" t="s">
        <v>521</v>
      </c>
      <c r="L59" s="31"/>
      <c r="M59" s="219" t="str">
        <f>VLOOKUP(M58,[18]TS!$B$10:$D$253,2,0)</f>
        <v>1DB2+9</v>
      </c>
      <c r="N59" s="31"/>
      <c r="O59" s="219" t="str">
        <f>VLOOKUP(O58,[18]TS!$B$10:$D$253,2,0)</f>
        <v>1DA+0</v>
      </c>
      <c r="P59" s="31"/>
      <c r="Q59" s="219" t="str">
        <f>VLOOKUP(Q58,[18]TS!$B$10:$D$253,2,0)</f>
        <v>1DA+0</v>
      </c>
      <c r="R59" s="31"/>
      <c r="S59" s="219" t="str">
        <f>VLOOKUP(S58,[18]TS!$B$10:$D$253,2,0)</f>
        <v>1DA+3</v>
      </c>
      <c r="T59" s="31"/>
      <c r="U59" s="219" t="str">
        <f>VLOOKUP(U58,[18]TS!$B$10:$D$253,2,0)</f>
        <v>1DA+0</v>
      </c>
      <c r="V59" s="31"/>
      <c r="W59" s="12"/>
      <c r="Y59" s="9">
        <f>X56-Y56-Y57-Y58</f>
        <v>0</v>
      </c>
      <c r="Z59" s="9">
        <f>X56-Z56-Z57-Z58</f>
        <v>1</v>
      </c>
      <c r="AA59" s="9">
        <f>Z56-AA57-AA58-AA56</f>
        <v>8</v>
      </c>
      <c r="AC59" s="9" t="s">
        <v>95</v>
      </c>
    </row>
    <row r="60" spans="1:29" s="103" customFormat="1" ht="13.5" customHeight="1">
      <c r="A60" s="107"/>
      <c r="B60" s="104"/>
      <c r="C60" s="679">
        <f>SUM(T46+V46+D55+F55)/1000</f>
        <v>1.7277819999999999</v>
      </c>
      <c r="D60" s="679"/>
      <c r="E60" s="679"/>
      <c r="F60" s="679"/>
      <c r="G60" s="679">
        <f>SUM(H55+J55)/1000</f>
        <v>0.83175999999999994</v>
      </c>
      <c r="H60" s="679"/>
      <c r="I60" s="679"/>
      <c r="J60" s="679"/>
      <c r="K60" s="679">
        <f>SUM(L55)/1000</f>
        <v>0.23086999999999999</v>
      </c>
      <c r="L60" s="679"/>
      <c r="M60" s="679"/>
      <c r="N60" s="679"/>
      <c r="O60" s="679"/>
      <c r="P60" s="679"/>
      <c r="Q60" s="679"/>
      <c r="R60" s="679"/>
      <c r="S60" s="679"/>
      <c r="T60" s="679"/>
      <c r="U60" s="679"/>
      <c r="V60" s="105"/>
      <c r="W60" s="106"/>
    </row>
    <row r="61" spans="1:29" s="99" customFormat="1" ht="12">
      <c r="A61" s="102"/>
      <c r="B61" s="100"/>
      <c r="C61" s="233"/>
      <c r="D61" s="220" t="s">
        <v>205</v>
      </c>
      <c r="E61" s="220"/>
      <c r="F61" s="220"/>
      <c r="I61" s="233"/>
      <c r="J61" s="681"/>
      <c r="K61" s="681"/>
      <c r="L61" s="681"/>
      <c r="M61" s="233"/>
      <c r="N61" s="233"/>
      <c r="O61" s="233"/>
      <c r="P61" s="233"/>
      <c r="Q61" s="233"/>
      <c r="R61" s="682" t="s">
        <v>212</v>
      </c>
      <c r="S61" s="682"/>
      <c r="T61" s="233"/>
      <c r="U61" s="233"/>
      <c r="V61" s="233"/>
      <c r="W61" s="101"/>
    </row>
    <row r="62" spans="1:29" ht="3" customHeight="1" thickBot="1">
      <c r="A62" s="11"/>
      <c r="B62" s="68"/>
      <c r="C62" s="69"/>
      <c r="D62" s="73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29"/>
    </row>
    <row r="63" spans="1:29" ht="12.6" customHeight="1">
      <c r="A63" s="11"/>
      <c r="B63" s="61"/>
      <c r="C63" s="209" t="s">
        <v>294</v>
      </c>
      <c r="D63" s="235"/>
      <c r="E63" s="209" t="s">
        <v>295</v>
      </c>
      <c r="F63" s="31"/>
      <c r="G63" s="209" t="s">
        <v>296</v>
      </c>
      <c r="H63" s="31"/>
      <c r="I63" s="209" t="s">
        <v>297</v>
      </c>
      <c r="J63" s="31"/>
      <c r="K63" s="209" t="s">
        <v>298</v>
      </c>
      <c r="L63" s="31"/>
      <c r="M63" s="209" t="s">
        <v>299</v>
      </c>
      <c r="N63" s="31"/>
      <c r="O63" s="209" t="s">
        <v>300</v>
      </c>
      <c r="P63" s="31"/>
      <c r="Q63" s="209" t="s">
        <v>301</v>
      </c>
      <c r="R63" s="31"/>
      <c r="S63" s="209" t="s">
        <v>302</v>
      </c>
      <c r="T63" s="31"/>
      <c r="U63" s="209" t="s">
        <v>303</v>
      </c>
      <c r="V63" s="31"/>
      <c r="W63" s="12"/>
    </row>
    <row r="64" spans="1:29">
      <c r="A64" s="11"/>
      <c r="B64" s="61"/>
      <c r="C64" s="31"/>
      <c r="D64" s="237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13"/>
      <c r="R64" s="213"/>
      <c r="S64" s="31"/>
      <c r="T64" s="31"/>
      <c r="U64" s="31"/>
      <c r="V64" s="31"/>
      <c r="W64" s="12"/>
      <c r="X64" s="9" t="s">
        <v>63</v>
      </c>
      <c r="Y64" s="9" t="s">
        <v>92</v>
      </c>
      <c r="Z64" s="9" t="s">
        <v>64</v>
      </c>
      <c r="AA64" s="20" t="s">
        <v>106</v>
      </c>
      <c r="AB64" s="9" t="s">
        <v>62</v>
      </c>
    </row>
    <row r="65" spans="1:35" ht="13.8" thickBot="1">
      <c r="A65" s="11"/>
      <c r="B65" s="61"/>
      <c r="C65" s="31"/>
      <c r="D65" s="233">
        <f>VLOOKUP(C68,[18]TS!$B$10:$D$253,3,0)</f>
        <v>391.45100000000002</v>
      </c>
      <c r="E65" s="525"/>
      <c r="F65" s="233">
        <f>VLOOKUP(E68,[18]TS!$B$10:$D$253,3,0)</f>
        <v>380</v>
      </c>
      <c r="G65" s="233"/>
      <c r="H65" s="233">
        <f>VLOOKUP(G68,[18]TS!$B$10:$D$253,3,0)</f>
        <v>475</v>
      </c>
      <c r="I65" s="525"/>
      <c r="J65" s="233">
        <f>VLOOKUP(I68,[18]TS!$B$10:$D$253,3,0)</f>
        <v>380</v>
      </c>
      <c r="K65" s="525"/>
      <c r="L65" s="233">
        <f>VLOOKUP(K68,[18]TS!$B$10:$D$253,3,0)</f>
        <v>390</v>
      </c>
      <c r="M65" s="525"/>
      <c r="N65" s="233">
        <f>VLOOKUP(M68,[18]TS!$B$10:$D$253,3,0)</f>
        <v>465</v>
      </c>
      <c r="O65" s="525"/>
      <c r="P65" s="233">
        <f>VLOOKUP(O68,[18]TS!$B$10:$D$253,3,0)</f>
        <v>383.20800000000003</v>
      </c>
      <c r="Q65" s="216"/>
      <c r="R65" s="523">
        <f>VLOOKUP(Q68,[18]TS!$B$10:$D$253,3,0)</f>
        <v>380</v>
      </c>
      <c r="S65" s="524"/>
      <c r="T65" s="523">
        <f>VLOOKUP(S68,[18]TS!$B$10:$D$253,3,0)</f>
        <v>348</v>
      </c>
      <c r="U65" s="524"/>
      <c r="V65" s="523">
        <f>VLOOKUP(U68,[18]TS!$B$10:$D$253,3,0)</f>
        <v>377.78399999999999</v>
      </c>
      <c r="W65" s="14">
        <f>SUM(D65:V65)</f>
        <v>3970.4430000000002</v>
      </c>
    </row>
    <row r="66" spans="1:35" ht="13.8" thickBot="1">
      <c r="A66" s="11" t="e">
        <f>#REF!+1</f>
        <v>#REF!</v>
      </c>
      <c r="B66" s="61"/>
      <c r="C66" s="164" t="s">
        <v>240</v>
      </c>
      <c r="D66" s="31"/>
      <c r="E66" s="164" t="s">
        <v>240</v>
      </c>
      <c r="F66" s="31"/>
      <c r="G66" s="164" t="s">
        <v>240</v>
      </c>
      <c r="H66" s="31"/>
      <c r="I66" s="164" t="s">
        <v>240</v>
      </c>
      <c r="J66" s="31"/>
      <c r="K66" s="164" t="s">
        <v>240</v>
      </c>
      <c r="L66" s="31"/>
      <c r="M66" s="164" t="s">
        <v>240</v>
      </c>
      <c r="N66" s="31"/>
      <c r="O66" s="164" t="s">
        <v>689</v>
      </c>
      <c r="P66" s="31"/>
      <c r="Q66" s="388" t="s">
        <v>240</v>
      </c>
      <c r="R66" s="31"/>
      <c r="S66" s="164" t="s">
        <v>240</v>
      </c>
      <c r="T66" s="31"/>
      <c r="U66" s="164" t="s">
        <v>240</v>
      </c>
      <c r="V66" s="31"/>
      <c r="W66" s="14"/>
      <c r="X66" s="9">
        <v>10</v>
      </c>
      <c r="Y66" s="9">
        <v>10</v>
      </c>
      <c r="Z66" s="9">
        <v>10</v>
      </c>
      <c r="AA66" s="9">
        <v>0</v>
      </c>
      <c r="AB66" s="9">
        <f>R65+V65+T65</f>
        <v>1105.7840000000001</v>
      </c>
      <c r="AC66" s="9" t="s">
        <v>65</v>
      </c>
    </row>
    <row r="67" spans="1:35" ht="13.8" thickBot="1">
      <c r="A67" s="11"/>
      <c r="B67" s="61"/>
      <c r="C67" s="196"/>
      <c r="D67" s="31"/>
      <c r="E67" s="274"/>
      <c r="F67" s="31"/>
      <c r="G67" s="195"/>
      <c r="H67" s="31"/>
      <c r="I67" s="195"/>
      <c r="J67" s="31"/>
      <c r="K67" s="188"/>
      <c r="L67" s="31"/>
      <c r="M67" s="195"/>
      <c r="N67" s="31"/>
      <c r="O67" s="274"/>
      <c r="P67" s="31"/>
      <c r="Q67" s="274"/>
      <c r="R67" s="31"/>
      <c r="S67" s="195"/>
      <c r="T67" s="31"/>
      <c r="U67" s="274"/>
      <c r="V67" s="31"/>
      <c r="W67" s="12"/>
      <c r="X67" s="9">
        <v>0</v>
      </c>
      <c r="Y67" s="9">
        <v>0</v>
      </c>
      <c r="Z67" s="9">
        <v>0</v>
      </c>
      <c r="AA67" s="9">
        <v>0</v>
      </c>
      <c r="AB67" s="9">
        <f>F65+H65+J65+L65+N65+P65</f>
        <v>2473.2080000000001</v>
      </c>
      <c r="AC67" s="9" t="s">
        <v>56</v>
      </c>
    </row>
    <row r="68" spans="1:35" ht="16.5" customHeight="1">
      <c r="A68" s="11"/>
      <c r="B68" s="61"/>
      <c r="C68" s="239" t="s">
        <v>145</v>
      </c>
      <c r="D68" s="239"/>
      <c r="E68" s="239" t="s">
        <v>31</v>
      </c>
      <c r="F68" s="239"/>
      <c r="G68" s="239" t="s">
        <v>146</v>
      </c>
      <c r="H68" s="239"/>
      <c r="I68" s="239" t="s">
        <v>147</v>
      </c>
      <c r="J68" s="239"/>
      <c r="K68" s="239" t="s">
        <v>148</v>
      </c>
      <c r="L68" s="239"/>
      <c r="M68" s="239" t="s">
        <v>149</v>
      </c>
      <c r="N68" s="239"/>
      <c r="O68" s="239" t="s">
        <v>150</v>
      </c>
      <c r="P68" s="239"/>
      <c r="Q68" s="239" t="s">
        <v>32</v>
      </c>
      <c r="R68" s="239"/>
      <c r="S68" s="239" t="s">
        <v>51</v>
      </c>
      <c r="T68" s="239"/>
      <c r="U68" s="239" t="s">
        <v>52</v>
      </c>
      <c r="V68" s="31"/>
      <c r="W68" s="12"/>
      <c r="X68" s="9">
        <v>0</v>
      </c>
      <c r="Y68" s="9">
        <f>COUNTIF($B$67:$U$67,"ROW")</f>
        <v>0</v>
      </c>
      <c r="Z68" s="9">
        <f>COUNTIF($C$65:$V$65,"ROW")</f>
        <v>0</v>
      </c>
      <c r="AA68" s="9">
        <v>0</v>
      </c>
      <c r="AC68" s="9" t="s">
        <v>61</v>
      </c>
    </row>
    <row r="69" spans="1:35" ht="16.5" customHeight="1">
      <c r="A69" s="11"/>
      <c r="B69" s="61"/>
      <c r="C69" s="240" t="str">
        <f>VLOOKUP(C68,[18]TS!$B$10:$D$253,2,0)</f>
        <v>1DA-3</v>
      </c>
      <c r="D69" s="31"/>
      <c r="E69" s="240" t="str">
        <f>VLOOKUP(E68,[18]TS!$B$10:$D$253,2,0)</f>
        <v>1DB1+0</v>
      </c>
      <c r="F69" s="31"/>
      <c r="G69" s="240" t="str">
        <f>VLOOKUP(G68,[18]TS!$B$10:$D$253,2,0)</f>
        <v>1DA+6</v>
      </c>
      <c r="H69" s="31"/>
      <c r="I69" s="240" t="str">
        <f>VLOOKUP(I68,[18]TS!$B$10:$D$253,2,0)</f>
        <v>1DA+3</v>
      </c>
      <c r="J69" s="31"/>
      <c r="K69" s="240" t="str">
        <f>VLOOKUP(K68,[18]TS!$B$10:$D$253,2,0)</f>
        <v>1DA+0</v>
      </c>
      <c r="L69" s="31"/>
      <c r="M69" s="240" t="str">
        <f>VLOOKUP(M68,[18]TS!$B$10:$D$253,2,0)</f>
        <v>1DA+3</v>
      </c>
      <c r="N69" s="31"/>
      <c r="O69" s="240" t="str">
        <f>VLOOKUP(O68,[18]TS!$B$10:$D$253,2,0)</f>
        <v>1DA+3</v>
      </c>
      <c r="P69" s="31"/>
      <c r="Q69" s="240" t="str">
        <f>VLOOKUP(Q68,[18]TS!$B$10:$D$253,2,0)</f>
        <v>1DB2+3</v>
      </c>
      <c r="R69" s="31"/>
      <c r="S69" s="240" t="str">
        <f>VLOOKUP(S68,[18]TS!$B$10:$D$253,2,0)</f>
        <v>1DA+0</v>
      </c>
      <c r="T69" s="31"/>
      <c r="U69" s="240" t="str">
        <f>VLOOKUP(U68,[18]TS!$B$10:$D$253,2,0)</f>
        <v>1DA+0</v>
      </c>
      <c r="V69" s="31"/>
      <c r="W69" s="12"/>
      <c r="Y69" s="9">
        <f>X66-Y66-Y67-Y68</f>
        <v>0</v>
      </c>
      <c r="Z69" s="9">
        <f>X66-Z66-Z67-Z68</f>
        <v>0</v>
      </c>
      <c r="AA69" s="9">
        <f>Z66-AA67-AA68-AA66</f>
        <v>10</v>
      </c>
      <c r="AC69" s="9" t="s">
        <v>95</v>
      </c>
    </row>
    <row r="70" spans="1:35" s="91" customFormat="1" ht="16.5" customHeight="1">
      <c r="A70" s="130"/>
      <c r="B70" s="92"/>
      <c r="C70" s="679">
        <f>SUM(N55+P55+R55+T55+V55+D65)/1000</f>
        <v>2.4264510000000001</v>
      </c>
      <c r="D70" s="679"/>
      <c r="E70" s="679">
        <f>SUM(F65+H65+J65+L65+N65+P65)/1000</f>
        <v>2.4732080000000001</v>
      </c>
      <c r="F70" s="679"/>
      <c r="G70" s="679"/>
      <c r="H70" s="679"/>
      <c r="I70" s="679"/>
      <c r="J70" s="679"/>
      <c r="K70" s="679"/>
      <c r="L70" s="679"/>
      <c r="M70" s="679"/>
      <c r="N70" s="679"/>
      <c r="O70" s="679"/>
      <c r="P70" s="679"/>
      <c r="Q70" s="679"/>
      <c r="R70" s="679">
        <f>SUM(R65+T65+V65)/1000</f>
        <v>1.1057840000000001</v>
      </c>
      <c r="S70" s="679"/>
      <c r="T70" s="679"/>
      <c r="U70" s="679"/>
      <c r="V70" s="679"/>
      <c r="W70" s="98"/>
    </row>
    <row r="71" spans="1:35" s="99" customFormat="1" ht="16.5" customHeight="1">
      <c r="A71" s="102"/>
      <c r="B71" s="100"/>
      <c r="C71" s="233"/>
      <c r="D71" s="233"/>
      <c r="E71" s="241" t="s">
        <v>213</v>
      </c>
      <c r="F71" s="233"/>
      <c r="G71" s="233"/>
      <c r="H71" s="233"/>
      <c r="I71" s="233"/>
      <c r="J71" s="233"/>
      <c r="K71" s="233"/>
      <c r="L71" s="220"/>
      <c r="M71" s="233"/>
      <c r="N71" s="233"/>
      <c r="O71" s="233"/>
      <c r="P71" s="233"/>
      <c r="Q71" s="233"/>
      <c r="R71" s="233"/>
      <c r="S71" s="233"/>
      <c r="T71" s="681" t="s">
        <v>214</v>
      </c>
      <c r="U71" s="681"/>
      <c r="V71" s="233"/>
      <c r="W71" s="101"/>
    </row>
    <row r="72" spans="1:35">
      <c r="A72" s="11"/>
      <c r="B72" s="61"/>
      <c r="C72" s="209" t="s">
        <v>304</v>
      </c>
      <c r="D72" s="31"/>
      <c r="E72" s="209" t="s">
        <v>305</v>
      </c>
      <c r="F72" s="31"/>
      <c r="G72" s="209" t="s">
        <v>306</v>
      </c>
      <c r="H72" s="31"/>
      <c r="I72" s="209" t="s">
        <v>307</v>
      </c>
      <c r="J72" s="31"/>
      <c r="K72" s="209" t="s">
        <v>308</v>
      </c>
      <c r="L72" s="31"/>
      <c r="M72" s="209" t="s">
        <v>309</v>
      </c>
      <c r="N72" s="31"/>
      <c r="O72" s="209" t="s">
        <v>310</v>
      </c>
      <c r="Q72" s="209" t="s">
        <v>311</v>
      </c>
      <c r="R72" s="31"/>
      <c r="S72" s="209" t="s">
        <v>312</v>
      </c>
      <c r="T72" s="31"/>
      <c r="U72" s="209" t="s">
        <v>313</v>
      </c>
      <c r="V72" s="31"/>
      <c r="W72" s="12"/>
    </row>
    <row r="73" spans="1:35">
      <c r="A73" s="11"/>
      <c r="B73" s="61"/>
      <c r="C73" s="31"/>
      <c r="D73" s="31"/>
      <c r="E73" s="31"/>
      <c r="F73" s="31"/>
      <c r="G73" s="31"/>
      <c r="H73" s="31"/>
      <c r="I73" s="31"/>
      <c r="J73" s="213" t="s">
        <v>243</v>
      </c>
      <c r="K73" s="31"/>
      <c r="L73" s="31"/>
      <c r="M73" s="31"/>
      <c r="N73" s="31"/>
      <c r="O73" s="31"/>
      <c r="P73" s="242" t="s">
        <v>207</v>
      </c>
      <c r="Q73" s="31"/>
      <c r="R73" s="213" t="s">
        <v>242</v>
      </c>
      <c r="S73" s="31"/>
      <c r="T73" s="213" t="s">
        <v>243</v>
      </c>
      <c r="U73" s="31"/>
      <c r="V73" s="31"/>
      <c r="W73" s="12"/>
      <c r="X73" s="9" t="s">
        <v>63</v>
      </c>
      <c r="Y73" s="9" t="s">
        <v>92</v>
      </c>
      <c r="Z73" s="9" t="s">
        <v>64</v>
      </c>
      <c r="AA73" s="20" t="s">
        <v>106</v>
      </c>
      <c r="AB73" s="9" t="s">
        <v>62</v>
      </c>
      <c r="AD73" s="9" t="s">
        <v>63</v>
      </c>
      <c r="AE73" s="9" t="s">
        <v>92</v>
      </c>
      <c r="AF73" s="9" t="s">
        <v>64</v>
      </c>
      <c r="AG73" s="20" t="s">
        <v>106</v>
      </c>
      <c r="AH73" s="9" t="s">
        <v>62</v>
      </c>
    </row>
    <row r="74" spans="1:35" ht="13.8" thickBot="1">
      <c r="A74" s="11"/>
      <c r="B74" s="61"/>
      <c r="C74" s="216"/>
      <c r="D74" s="31">
        <f>VLOOKUP(C77,[18]TS!$B$10:$D$253,3,0)</f>
        <v>410</v>
      </c>
      <c r="E74" s="216"/>
      <c r="F74" s="31">
        <f>VLOOKUP(E77,[18]TS!$B$10:$D$253,3,0)</f>
        <v>380</v>
      </c>
      <c r="G74" s="216"/>
      <c r="H74" s="31">
        <f>VLOOKUP(G77,[18]TS!$B$10:$D$253,3,0)</f>
        <v>325</v>
      </c>
      <c r="I74" s="216"/>
      <c r="J74" s="31">
        <f>VLOOKUP(I77,[18]TS!$B$10:$D$253,3,0)</f>
        <v>329.8</v>
      </c>
      <c r="K74" s="216"/>
      <c r="L74" s="31">
        <f>VLOOKUP(K77,[18]TS!$B$10:$D$253,3,0)</f>
        <v>385</v>
      </c>
      <c r="M74" s="216"/>
      <c r="N74" s="31">
        <f>VLOOKUP(M77,[18]TS!$B$10:$D$253,3,0)</f>
        <v>312.55799999999999</v>
      </c>
      <c r="O74" s="31"/>
      <c r="P74" s="31">
        <f>VLOOKUP(O77,[18]TS!$B$10:$D$253,3,0)</f>
        <v>242</v>
      </c>
      <c r="Q74" s="31"/>
      <c r="R74" s="31">
        <f>VLOOKUP(Q77,[18]TS!$B$10:$D$253,3,0)</f>
        <v>464</v>
      </c>
      <c r="S74" s="216"/>
      <c r="T74" s="31">
        <f>VLOOKUP(S77,[18]TS!$B$10:$D$253,3,0)</f>
        <v>391</v>
      </c>
      <c r="U74" s="216"/>
      <c r="V74" s="31">
        <f>VLOOKUP(U77,[18]TS!$B$10:$D$253,3,0)</f>
        <v>417.51799999999997</v>
      </c>
      <c r="W74" s="14">
        <f>SUM(D74:V74)</f>
        <v>3656.8760000000002</v>
      </c>
    </row>
    <row r="75" spans="1:35" ht="13.8" thickBot="1">
      <c r="A75" s="11" t="e">
        <f>A66+1</f>
        <v>#REF!</v>
      </c>
      <c r="B75" s="61"/>
      <c r="C75" s="164" t="s">
        <v>240</v>
      </c>
      <c r="D75" s="31"/>
      <c r="E75" s="164" t="s">
        <v>689</v>
      </c>
      <c r="F75" s="31"/>
      <c r="G75" s="164" t="s">
        <v>689</v>
      </c>
      <c r="H75" s="31"/>
      <c r="I75" s="164" t="s">
        <v>689</v>
      </c>
      <c r="J75" s="31"/>
      <c r="K75" s="164" t="s">
        <v>689</v>
      </c>
      <c r="L75" s="31"/>
      <c r="M75" s="164" t="s">
        <v>689</v>
      </c>
      <c r="N75" s="31"/>
      <c r="O75" s="164" t="s">
        <v>240</v>
      </c>
      <c r="P75" s="31"/>
      <c r="Q75" s="164" t="s">
        <v>240</v>
      </c>
      <c r="R75" s="31"/>
      <c r="S75" s="164" t="s">
        <v>240</v>
      </c>
      <c r="T75" s="31"/>
      <c r="U75" s="164" t="s">
        <v>689</v>
      </c>
      <c r="V75" s="31"/>
      <c r="W75" s="12"/>
      <c r="X75" s="9">
        <v>10</v>
      </c>
      <c r="Y75" s="9">
        <v>10</v>
      </c>
      <c r="Z75" s="9">
        <v>5</v>
      </c>
      <c r="AA75" s="9">
        <v>0</v>
      </c>
      <c r="AB75" s="9">
        <v>0</v>
      </c>
      <c r="AC75" s="9" t="s">
        <v>65</v>
      </c>
      <c r="AD75" s="9">
        <f>COUNTIF($L$75:$V$75,"F")</f>
        <v>0</v>
      </c>
      <c r="AE75" s="9">
        <f>COUNTIF($L$75:$V$75,"ET")</f>
        <v>0</v>
      </c>
      <c r="AF75" s="9">
        <f>COUNTIF($L$75:$V$75,"E")</f>
        <v>0</v>
      </c>
      <c r="AG75" s="9">
        <v>0</v>
      </c>
      <c r="AH75" s="9">
        <v>0</v>
      </c>
      <c r="AI75" s="9" t="s">
        <v>65</v>
      </c>
    </row>
    <row r="76" spans="1:35" ht="13.8" thickBot="1">
      <c r="A76" s="11"/>
      <c r="B76" s="61"/>
      <c r="C76" s="274"/>
      <c r="D76" s="31"/>
      <c r="E76" s="195"/>
      <c r="F76" s="31"/>
      <c r="G76" s="195"/>
      <c r="H76" s="31"/>
      <c r="I76" s="195"/>
      <c r="J76" s="31"/>
      <c r="K76" s="195"/>
      <c r="L76" s="31"/>
      <c r="M76" s="195"/>
      <c r="N76" s="31"/>
      <c r="O76" s="435"/>
      <c r="P76" s="31"/>
      <c r="Q76" s="274"/>
      <c r="R76" s="31"/>
      <c r="S76" s="274"/>
      <c r="T76" s="31"/>
      <c r="U76" s="188"/>
      <c r="V76" s="31"/>
      <c r="W76" s="12"/>
      <c r="X76" s="9">
        <v>0</v>
      </c>
      <c r="Y76" s="9">
        <v>0</v>
      </c>
      <c r="Z76" s="9">
        <v>2</v>
      </c>
      <c r="AA76" s="9">
        <v>0</v>
      </c>
      <c r="AB76" s="9">
        <v>0</v>
      </c>
      <c r="AC76" s="9" t="s">
        <v>56</v>
      </c>
      <c r="AD76" s="9">
        <f>COUNTIF($L$75:$V$75,"WIP")</f>
        <v>0</v>
      </c>
      <c r="AE76" s="9">
        <f>COUNTIF($L$75:$V$75,"WIP")</f>
        <v>0</v>
      </c>
      <c r="AF76" s="9">
        <f>COUNTIF($L$75:$V$75,"WIP")</f>
        <v>0</v>
      </c>
      <c r="AG76" s="9">
        <v>0</v>
      </c>
      <c r="AH76" s="9">
        <v>0</v>
      </c>
      <c r="AI76" s="9" t="s">
        <v>56</v>
      </c>
    </row>
    <row r="77" spans="1:35" ht="16.5" customHeight="1">
      <c r="A77" s="11"/>
      <c r="B77" s="61"/>
      <c r="C77" s="218" t="s">
        <v>33</v>
      </c>
      <c r="D77" s="218"/>
      <c r="E77" s="218" t="s">
        <v>151</v>
      </c>
      <c r="F77" s="218"/>
      <c r="G77" s="218" t="s">
        <v>152</v>
      </c>
      <c r="H77" s="218"/>
      <c r="I77" s="218" t="s">
        <v>153</v>
      </c>
      <c r="J77" s="218"/>
      <c r="K77" s="218" t="s">
        <v>34</v>
      </c>
      <c r="L77" s="218"/>
      <c r="M77" s="218" t="s">
        <v>154</v>
      </c>
      <c r="N77" s="218"/>
      <c r="O77" s="218" t="s">
        <v>35</v>
      </c>
      <c r="P77" s="218"/>
      <c r="Q77" s="218" t="s">
        <v>4</v>
      </c>
      <c r="R77" s="218"/>
      <c r="S77" s="218" t="s">
        <v>5</v>
      </c>
      <c r="T77" s="218"/>
      <c r="U77" s="218" t="s">
        <v>155</v>
      </c>
      <c r="V77" s="31"/>
      <c r="W77" s="12"/>
      <c r="X77" s="9">
        <f>COUNTIF($C$75:$K$75,"ROW")</f>
        <v>0</v>
      </c>
      <c r="Y77" s="9">
        <f>COUNTIF($C$75:$K$75,"ROW")</f>
        <v>0</v>
      </c>
      <c r="Z77" s="9">
        <f>COUNTIF($C$75:$K77,"ROW")</f>
        <v>0</v>
      </c>
      <c r="AA77" s="9">
        <v>0</v>
      </c>
      <c r="AB77" s="9">
        <v>0</v>
      </c>
      <c r="AC77" s="9" t="s">
        <v>61</v>
      </c>
      <c r="AD77" s="9">
        <f>COUNTIF($L$75:$V$75,"ROW")</f>
        <v>0</v>
      </c>
      <c r="AE77" s="9">
        <f>COUNTIF($L$75:$V$75,"ROW")</f>
        <v>0</v>
      </c>
      <c r="AF77" s="9">
        <f>COUNTIF($L$75:$V$75,"ROW")</f>
        <v>0</v>
      </c>
      <c r="AG77" s="9">
        <v>0</v>
      </c>
      <c r="AH77" s="9">
        <v>0</v>
      </c>
      <c r="AI77" s="9" t="s">
        <v>61</v>
      </c>
    </row>
    <row r="78" spans="1:35" ht="16.5" customHeight="1">
      <c r="A78" s="11"/>
      <c r="B78" s="61"/>
      <c r="C78" s="240" t="str">
        <f>VLOOKUP(C77,[18]TS!$B$10:$D$253,2,0)</f>
        <v>1DB1+0</v>
      </c>
      <c r="D78" s="31"/>
      <c r="E78" s="240" t="str">
        <f>VLOOKUP(E77,[18]TS!$B$10:$D$253,2,0)</f>
        <v>1DA+0</v>
      </c>
      <c r="F78" s="31"/>
      <c r="G78" s="240" t="str">
        <f>VLOOKUP(G77,[18]TS!$B$10:$D$253,2,0)</f>
        <v>1DA+0</v>
      </c>
      <c r="H78" s="31"/>
      <c r="I78" s="240" t="str">
        <f>VLOOKUP(I77,[18]TS!$B$10:$D$253,2,0)</f>
        <v>1DA-3</v>
      </c>
      <c r="J78" s="31"/>
      <c r="K78" s="240" t="str">
        <f>VLOOKUP(K77,[18]TS!$B$10:$D$253,2,0)</f>
        <v>1DC1-3</v>
      </c>
      <c r="L78" s="243"/>
      <c r="M78" s="240" t="str">
        <f>VLOOKUP(M77,[18]TS!$B$10:$D$253,2,0)</f>
        <v>1DA+0</v>
      </c>
      <c r="N78" s="31"/>
      <c r="O78" s="240" t="str">
        <f>VLOOKUP(O77,[18]TS!$B$10:$D$253,2,0)</f>
        <v>1DC1+3</v>
      </c>
      <c r="P78" s="31"/>
      <c r="Q78" s="240" t="str">
        <f>VLOOKUP(Q77,[18]TS!$B$10:$D$253,2,0)</f>
        <v>1DB1+6</v>
      </c>
      <c r="R78" s="31"/>
      <c r="S78" s="240" t="str">
        <f>VLOOKUP(S77,[18]TS!$B$10:$D$253,2,0)</f>
        <v>1DA+0</v>
      </c>
      <c r="T78" s="31"/>
      <c r="U78" s="240" t="str">
        <f>VLOOKUP(U77,[18]TS!$B$10:$D$253,2,0)</f>
        <v>1DA+6</v>
      </c>
      <c r="V78" s="31"/>
      <c r="W78" s="12"/>
      <c r="Y78" s="9">
        <f>X75-Y75-Y76-Y77</f>
        <v>0</v>
      </c>
      <c r="Z78" s="9">
        <f>X75-Z75-Z76-Z77</f>
        <v>3</v>
      </c>
      <c r="AA78" s="9">
        <f>Z75-AA76-AA77-AA75</f>
        <v>5</v>
      </c>
      <c r="AC78" s="9" t="s">
        <v>95</v>
      </c>
      <c r="AE78" s="9">
        <f>AD75-AE75-AE76-AE77</f>
        <v>0</v>
      </c>
      <c r="AF78" s="9">
        <f>AD75-AF75-AF76-AF77</f>
        <v>0</v>
      </c>
      <c r="AG78" s="9">
        <f>AF75-AG76-AG77-AG75</f>
        <v>0</v>
      </c>
      <c r="AI78" s="9" t="s">
        <v>95</v>
      </c>
    </row>
    <row r="79" spans="1:35" s="91" customFormat="1" ht="17.25" customHeight="1">
      <c r="A79" s="130"/>
      <c r="B79" s="92"/>
      <c r="C79" s="679">
        <f>SUM(D74+F74+H74+J74)/1000</f>
        <v>1.4447999999999999</v>
      </c>
      <c r="D79" s="679"/>
      <c r="E79" s="679"/>
      <c r="F79" s="679"/>
      <c r="G79" s="679"/>
      <c r="H79" s="679"/>
      <c r="I79" s="679"/>
      <c r="J79" s="679"/>
      <c r="K79" s="679"/>
      <c r="L79" s="679">
        <f>SUM(N74+L74)/1000</f>
        <v>0.69755800000000001</v>
      </c>
      <c r="M79" s="679"/>
      <c r="N79" s="679"/>
      <c r="O79" s="679"/>
      <c r="P79" s="679">
        <f>SUM(P74+R74+T74+V74)/1000</f>
        <v>1.514518</v>
      </c>
      <c r="Q79" s="679"/>
      <c r="R79" s="679"/>
      <c r="S79" s="679"/>
      <c r="T79" s="679"/>
      <c r="U79" s="679"/>
      <c r="V79" s="679"/>
      <c r="W79" s="93"/>
      <c r="X79" s="96">
        <f>X38+X47+X56+X66+X75</f>
        <v>49</v>
      </c>
      <c r="Y79" s="96">
        <f t="shared" ref="Y79:AB82" si="2">Y38+Y47+Y56+Y66+Y75</f>
        <v>49</v>
      </c>
      <c r="Z79" s="96">
        <f t="shared" si="2"/>
        <v>43</v>
      </c>
      <c r="AA79" s="96">
        <f t="shared" si="2"/>
        <v>0</v>
      </c>
      <c r="AB79" s="96">
        <f t="shared" si="2"/>
        <v>1105.7840000000001</v>
      </c>
      <c r="AC79" s="97" t="s">
        <v>93</v>
      </c>
    </row>
    <row r="80" spans="1:35" s="99" customFormat="1" ht="17.25" customHeight="1">
      <c r="A80" s="102"/>
      <c r="B80" s="100"/>
      <c r="C80" s="681" t="s">
        <v>214</v>
      </c>
      <c r="D80" s="681"/>
      <c r="E80" s="233"/>
      <c r="F80" s="233"/>
      <c r="G80" s="233"/>
      <c r="H80" s="233"/>
      <c r="I80" s="233"/>
      <c r="J80" s="241" t="s">
        <v>215</v>
      </c>
      <c r="K80" s="233"/>
      <c r="L80" s="233"/>
      <c r="M80" s="244"/>
      <c r="N80" s="244"/>
      <c r="O80" s="244"/>
      <c r="P80" s="244"/>
      <c r="Q80" s="233"/>
      <c r="R80" s="233"/>
      <c r="S80" s="233"/>
      <c r="T80" s="681" t="s">
        <v>216</v>
      </c>
      <c r="U80" s="681"/>
      <c r="V80" s="233"/>
      <c r="W80" s="111"/>
      <c r="X80" s="94">
        <f>X39+X48+X57+X67+X76</f>
        <v>0</v>
      </c>
      <c r="Y80" s="94">
        <f t="shared" si="2"/>
        <v>0</v>
      </c>
      <c r="Z80" s="94">
        <f t="shared" si="2"/>
        <v>2</v>
      </c>
      <c r="AA80" s="94">
        <f t="shared" si="2"/>
        <v>0</v>
      </c>
      <c r="AB80" s="94">
        <f t="shared" si="2"/>
        <v>2473.2080000000001</v>
      </c>
      <c r="AC80" s="95" t="s">
        <v>56</v>
      </c>
      <c r="AE80" s="112" t="s">
        <v>202</v>
      </c>
    </row>
    <row r="81" spans="1:29" ht="12.75" customHeight="1">
      <c r="A81" s="11"/>
      <c r="B81" s="61"/>
      <c r="C81" s="209" t="s">
        <v>314</v>
      </c>
      <c r="D81" s="31"/>
      <c r="E81" s="209" t="s">
        <v>315</v>
      </c>
      <c r="F81" s="235"/>
      <c r="G81" s="209" t="s">
        <v>316</v>
      </c>
      <c r="H81" s="235"/>
      <c r="I81" s="209" t="s">
        <v>317</v>
      </c>
      <c r="J81" s="235"/>
      <c r="K81" s="209" t="s">
        <v>318</v>
      </c>
      <c r="L81" s="235"/>
      <c r="M81" s="209" t="s">
        <v>319</v>
      </c>
      <c r="N81" s="235"/>
      <c r="O81" s="209" t="s">
        <v>321</v>
      </c>
      <c r="P81" s="31"/>
      <c r="Q81" s="209" t="s">
        <v>322</v>
      </c>
      <c r="R81" s="31"/>
      <c r="S81" s="209" t="s">
        <v>323</v>
      </c>
      <c r="T81" s="31"/>
      <c r="U81" s="209" t="s">
        <v>324</v>
      </c>
      <c r="V81" s="31"/>
      <c r="W81" s="12"/>
      <c r="X81" s="74">
        <f>X40+X49+X58+X68+X77</f>
        <v>0</v>
      </c>
      <c r="Y81" s="74">
        <f t="shared" si="2"/>
        <v>0</v>
      </c>
      <c r="Z81" s="74">
        <f t="shared" si="2"/>
        <v>0</v>
      </c>
      <c r="AA81" s="74">
        <f t="shared" si="2"/>
        <v>0</v>
      </c>
      <c r="AB81" s="74">
        <f t="shared" si="2"/>
        <v>0</v>
      </c>
      <c r="AC81" s="75" t="s">
        <v>61</v>
      </c>
    </row>
    <row r="82" spans="1:29" ht="20.399999999999999">
      <c r="A82" s="11"/>
      <c r="B82" s="61"/>
      <c r="C82" s="31"/>
      <c r="D82" s="213" t="s">
        <v>244</v>
      </c>
      <c r="E82" s="213"/>
      <c r="F82" s="213" t="s">
        <v>640</v>
      </c>
      <c r="G82" s="31"/>
      <c r="H82" s="237"/>
      <c r="I82" s="31"/>
      <c r="J82" s="31"/>
      <c r="K82" s="31"/>
      <c r="L82" s="237"/>
      <c r="M82" s="31"/>
      <c r="N82" s="237"/>
      <c r="O82" s="31"/>
      <c r="P82" s="31"/>
      <c r="Q82" s="31"/>
      <c r="R82" s="31"/>
      <c r="S82" s="31"/>
      <c r="T82" s="237"/>
      <c r="U82" s="31"/>
      <c r="V82" s="31"/>
      <c r="W82" s="12"/>
      <c r="X82" s="74">
        <f>X41+X50+X59+X69+X78</f>
        <v>0</v>
      </c>
      <c r="Y82" s="74">
        <f t="shared" si="2"/>
        <v>0</v>
      </c>
      <c r="Z82" s="74">
        <f t="shared" si="2"/>
        <v>4</v>
      </c>
      <c r="AA82" s="74">
        <f t="shared" si="2"/>
        <v>43</v>
      </c>
      <c r="AB82" s="74">
        <f t="shared" si="2"/>
        <v>0</v>
      </c>
      <c r="AC82" s="74" t="s">
        <v>95</v>
      </c>
    </row>
    <row r="83" spans="1:29" ht="13.8" thickBot="1">
      <c r="A83" s="11"/>
      <c r="B83" s="61"/>
      <c r="C83" s="216"/>
      <c r="D83" s="31">
        <f>VLOOKUP(C86,[18]TS!$B$10:$D$253,3,0)</f>
        <v>315</v>
      </c>
      <c r="E83" s="216"/>
      <c r="F83" s="31">
        <f>VLOOKUP(E86,[18]TS!$B$10:$D$253,3,0)</f>
        <v>375</v>
      </c>
      <c r="G83" s="216"/>
      <c r="H83" s="31">
        <f>VLOOKUP(G86,[18]TS!$B$10:$D$253,3,0)</f>
        <v>416</v>
      </c>
      <c r="I83" s="216"/>
      <c r="J83" s="31">
        <f>VLOOKUP(I86,[18]TS!$B$10:$D$253,3,0)</f>
        <v>422</v>
      </c>
      <c r="K83" s="216"/>
      <c r="L83" s="31">
        <f>VLOOKUP(K86,[18]TS!$B$10:$D$253,3,0)</f>
        <v>388</v>
      </c>
      <c r="M83" s="31"/>
      <c r="N83" s="31">
        <f>VLOOKUP(M86,[18]TS!$B$10:$D$253,3,0)</f>
        <v>409</v>
      </c>
      <c r="O83" s="31"/>
      <c r="P83" s="31">
        <f>VLOOKUP(O86,[18]TS!$B$10:$D$253,3,0)</f>
        <v>420</v>
      </c>
      <c r="Q83" s="216"/>
      <c r="R83" s="31">
        <f>VLOOKUP(Q86,[18]TS!$B$10:$D$253,3,0)</f>
        <v>399</v>
      </c>
      <c r="S83" s="31"/>
      <c r="T83" s="31">
        <f>VLOOKUP(S86,[18]TS!$B$10:$D$253,3,0)</f>
        <v>381</v>
      </c>
      <c r="U83" s="31"/>
      <c r="V83" s="31">
        <f>VLOOKUP(U86,[18]TS!$B$10:$D$253,3,0)</f>
        <v>382</v>
      </c>
      <c r="W83" s="14">
        <f>SUM(D83:V83)</f>
        <v>3907</v>
      </c>
    </row>
    <row r="84" spans="1:29" ht="13.8" thickBot="1">
      <c r="A84" s="11" t="e">
        <f>A75+1</f>
        <v>#REF!</v>
      </c>
      <c r="B84" s="61"/>
      <c r="C84" s="164" t="s">
        <v>240</v>
      </c>
      <c r="D84" s="31"/>
      <c r="E84" s="164" t="s">
        <v>240</v>
      </c>
      <c r="F84" s="31"/>
      <c r="G84" s="164" t="s">
        <v>448</v>
      </c>
      <c r="H84" s="31"/>
      <c r="I84" s="164" t="s">
        <v>689</v>
      </c>
      <c r="J84" s="31"/>
      <c r="K84" s="164" t="s">
        <v>240</v>
      </c>
      <c r="L84" s="31"/>
      <c r="M84" s="164" t="s">
        <v>240</v>
      </c>
      <c r="N84" s="31"/>
      <c r="O84" s="164" t="s">
        <v>687</v>
      </c>
      <c r="P84" s="31"/>
      <c r="Q84" s="164" t="s">
        <v>240</v>
      </c>
      <c r="R84" s="31"/>
      <c r="S84" s="164" t="s">
        <v>240</v>
      </c>
      <c r="T84" s="31"/>
      <c r="U84" s="164" t="s">
        <v>240</v>
      </c>
      <c r="V84" s="31"/>
      <c r="W84" s="14"/>
      <c r="X84" s="9">
        <v>10</v>
      </c>
      <c r="Y84" s="9">
        <v>10</v>
      </c>
      <c r="Z84" s="9">
        <v>8</v>
      </c>
      <c r="AA84" s="9">
        <v>0</v>
      </c>
      <c r="AB84" s="50">
        <v>0</v>
      </c>
      <c r="AC84" s="9" t="s">
        <v>65</v>
      </c>
    </row>
    <row r="85" spans="1:29" ht="13.8" thickBot="1">
      <c r="A85" s="11"/>
      <c r="B85" s="61"/>
      <c r="C85" s="274"/>
      <c r="D85" s="31"/>
      <c r="E85" s="195"/>
      <c r="F85" s="31"/>
      <c r="G85" s="274"/>
      <c r="H85" s="31"/>
      <c r="I85" s="195"/>
      <c r="J85" s="31"/>
      <c r="K85" s="274"/>
      <c r="L85" s="31"/>
      <c r="M85" s="274"/>
      <c r="N85" s="31"/>
      <c r="O85" s="195"/>
      <c r="P85" s="31"/>
      <c r="Q85" s="274"/>
      <c r="R85" s="31"/>
      <c r="S85" s="274"/>
      <c r="T85" s="31"/>
      <c r="U85" s="274"/>
      <c r="V85" s="31"/>
      <c r="W85" s="14"/>
      <c r="X85" s="9">
        <v>0</v>
      </c>
      <c r="Y85" s="9">
        <f>COUNTIF($B$85:$U$85,"WIP")</f>
        <v>0</v>
      </c>
      <c r="Z85" s="9">
        <v>0</v>
      </c>
      <c r="AA85" s="9">
        <v>0</v>
      </c>
      <c r="AB85" s="9">
        <v>0</v>
      </c>
      <c r="AC85" s="9" t="s">
        <v>56</v>
      </c>
    </row>
    <row r="86" spans="1:29" ht="16.5" customHeight="1">
      <c r="A86" s="11"/>
      <c r="B86" s="61"/>
      <c r="C86" s="218" t="s">
        <v>36</v>
      </c>
      <c r="D86" s="218"/>
      <c r="E86" s="218" t="s">
        <v>6</v>
      </c>
      <c r="F86" s="218"/>
      <c r="G86" s="218" t="s">
        <v>37</v>
      </c>
      <c r="H86" s="218"/>
      <c r="I86" s="218" t="s">
        <v>156</v>
      </c>
      <c r="J86" s="218"/>
      <c r="K86" s="218" t="s">
        <v>157</v>
      </c>
      <c r="L86" s="218"/>
      <c r="M86" s="218" t="s">
        <v>158</v>
      </c>
      <c r="N86" s="218"/>
      <c r="O86" s="218" t="s">
        <v>159</v>
      </c>
      <c r="P86" s="218"/>
      <c r="Q86" s="218" t="s">
        <v>160</v>
      </c>
      <c r="R86" s="218"/>
      <c r="S86" s="218" t="s">
        <v>161</v>
      </c>
      <c r="T86" s="218"/>
      <c r="U86" s="218" t="s">
        <v>162</v>
      </c>
      <c r="V86" s="31"/>
      <c r="W86" s="14"/>
      <c r="X86" s="9">
        <f>COUNTIF($C$84:$U$84,"ROW")</f>
        <v>0</v>
      </c>
      <c r="Y86" s="9">
        <f>COUNTIF($B$85:$U$85,"ROW")</f>
        <v>0</v>
      </c>
      <c r="Z86" s="9">
        <f>COUNTIF($C$83:$V$83,"ROW")</f>
        <v>0</v>
      </c>
      <c r="AA86" s="9">
        <v>0</v>
      </c>
      <c r="AC86" s="9" t="s">
        <v>61</v>
      </c>
    </row>
    <row r="87" spans="1:29" ht="16.5" customHeight="1">
      <c r="A87" s="11"/>
      <c r="B87" s="61"/>
      <c r="C87" s="240" t="str">
        <f>VLOOKUP(C86,[18]TS!$B$10:$D$253,2,0)</f>
        <v>1DB1+0</v>
      </c>
      <c r="D87" s="31"/>
      <c r="E87" s="240" t="str">
        <f>VLOOKUP(E86,[18]TS!$B$10:$D$253,2,0)</f>
        <v>1DA-3</v>
      </c>
      <c r="F87" s="31"/>
      <c r="G87" s="240" t="str">
        <f>VLOOKUP(G86,[18]TS!$B$10:$D$253,2,0)</f>
        <v>1DA+0</v>
      </c>
      <c r="H87" s="31"/>
      <c r="I87" s="240" t="str">
        <f>VLOOKUP(I86,[18]TS!$B$10:$D$253,2,0)</f>
        <v>1DA+0</v>
      </c>
      <c r="J87" s="31"/>
      <c r="K87" s="240" t="str">
        <f>VLOOKUP(K86,[18]TS!$B$10:$D$253,2,0)</f>
        <v>1DA+0</v>
      </c>
      <c r="L87" s="31"/>
      <c r="M87" s="240" t="str">
        <f>VLOOKUP(M86,[18]TS!$B$10:$D$253,2,0)</f>
        <v>1DA+6</v>
      </c>
      <c r="N87" s="31"/>
      <c r="O87" s="240" t="str">
        <f>VLOOKUP(O86,[18]TS!$B$10:$D$253,2,0)</f>
        <v>1DA+0</v>
      </c>
      <c r="P87" s="31"/>
      <c r="Q87" s="240" t="str">
        <f>VLOOKUP(Q86,[18]TS!$B$10:$D$253,2,0)</f>
        <v>1DB1+0</v>
      </c>
      <c r="R87" s="243"/>
      <c r="S87" s="240" t="str">
        <f>VLOOKUP(S86,[18]TS!$B$10:$D$253,2,0)</f>
        <v>1DA+3</v>
      </c>
      <c r="T87" s="31"/>
      <c r="U87" s="240" t="str">
        <f>VLOOKUP(U86,[18]TS!$B$10:$D$253,2,0)</f>
        <v>1DA+0</v>
      </c>
      <c r="V87" s="31"/>
      <c r="W87" s="14"/>
      <c r="Y87" s="9">
        <f>X84-Y84-Y85-Y86</f>
        <v>0</v>
      </c>
      <c r="Z87" s="9">
        <f>X84-Z84-Z85-Z86</f>
        <v>2</v>
      </c>
      <c r="AA87" s="9">
        <f>Z84-AA85-AA86-AA84</f>
        <v>8</v>
      </c>
      <c r="AC87" s="9" t="s">
        <v>95</v>
      </c>
    </row>
    <row r="88" spans="1:29" s="91" customFormat="1" ht="16.5" customHeight="1">
      <c r="A88" s="130"/>
      <c r="B88" s="92"/>
      <c r="C88" s="679"/>
      <c r="D88" s="679"/>
      <c r="E88" s="679"/>
      <c r="F88" s="679"/>
      <c r="G88" s="679"/>
      <c r="H88" s="679"/>
      <c r="I88" s="679"/>
      <c r="J88" s="679"/>
      <c r="K88" s="679"/>
      <c r="L88" s="679"/>
      <c r="M88" s="679"/>
      <c r="N88" s="679"/>
      <c r="O88" s="679"/>
      <c r="P88" s="679"/>
      <c r="Q88" s="679"/>
      <c r="R88" s="679"/>
      <c r="S88" s="679"/>
      <c r="T88" s="679"/>
      <c r="U88" s="679"/>
      <c r="V88" s="679"/>
      <c r="W88" s="93"/>
    </row>
    <row r="89" spans="1:29" s="99" customFormat="1" ht="17.25" customHeight="1" thickBot="1">
      <c r="A89" s="102"/>
      <c r="B89" s="113"/>
      <c r="C89" s="683" t="s">
        <v>216</v>
      </c>
      <c r="D89" s="683"/>
      <c r="E89" s="683"/>
      <c r="F89" s="114"/>
      <c r="G89" s="114"/>
      <c r="H89" s="114"/>
      <c r="I89" s="114"/>
      <c r="J89" s="114"/>
      <c r="K89" s="114"/>
      <c r="L89" s="114"/>
      <c r="M89" s="114"/>
      <c r="N89" s="114"/>
      <c r="O89" s="117"/>
      <c r="P89" s="114"/>
      <c r="Q89" s="114"/>
      <c r="R89" s="114"/>
      <c r="S89" s="114"/>
      <c r="T89" s="118"/>
      <c r="U89" s="683" t="s">
        <v>218</v>
      </c>
      <c r="V89" s="683"/>
      <c r="W89" s="116"/>
    </row>
    <row r="90" spans="1:29" ht="12.6" customHeight="1">
      <c r="A90" s="11"/>
      <c r="B90" s="245"/>
      <c r="C90" s="229" t="s">
        <v>325</v>
      </c>
      <c r="D90" s="246"/>
      <c r="E90" s="229" t="s">
        <v>326</v>
      </c>
      <c r="F90" s="246"/>
      <c r="G90" s="229" t="s">
        <v>327</v>
      </c>
      <c r="H90" s="246"/>
      <c r="I90" s="229" t="s">
        <v>328</v>
      </c>
      <c r="J90" s="246"/>
      <c r="K90" s="229" t="s">
        <v>329</v>
      </c>
      <c r="L90" s="246"/>
      <c r="M90" s="229" t="s">
        <v>330</v>
      </c>
      <c r="N90" s="246"/>
      <c r="O90" s="229" t="s">
        <v>331</v>
      </c>
      <c r="P90" s="246"/>
      <c r="Q90" s="229" t="s">
        <v>332</v>
      </c>
      <c r="R90" s="246"/>
      <c r="S90" s="229" t="s">
        <v>333</v>
      </c>
      <c r="T90" s="246"/>
      <c r="U90" s="229" t="s">
        <v>334</v>
      </c>
      <c r="V90" s="246"/>
      <c r="W90" s="247"/>
    </row>
    <row r="91" spans="1:29" ht="18.600000000000001" customHeight="1">
      <c r="A91" s="11"/>
      <c r="B91" s="61"/>
      <c r="C91" s="31"/>
      <c r="D91" s="31"/>
      <c r="E91" s="31"/>
      <c r="F91" s="31"/>
      <c r="G91" s="31"/>
      <c r="H91" s="31"/>
      <c r="I91" s="31"/>
      <c r="J91" s="213" t="s">
        <v>243</v>
      </c>
      <c r="K91" s="213"/>
      <c r="L91" s="213"/>
      <c r="M91" s="213"/>
      <c r="N91" s="213" t="s">
        <v>242</v>
      </c>
      <c r="O91" s="213"/>
      <c r="P91" s="213" t="s">
        <v>243</v>
      </c>
      <c r="Q91" s="213"/>
      <c r="R91" s="213" t="s">
        <v>243</v>
      </c>
      <c r="S91" s="213"/>
      <c r="T91" s="213" t="s">
        <v>633</v>
      </c>
      <c r="U91" s="31"/>
      <c r="V91" s="213" t="s">
        <v>241</v>
      </c>
      <c r="W91" s="14"/>
      <c r="X91" s="9" t="s">
        <v>63</v>
      </c>
      <c r="Y91" s="9" t="s">
        <v>92</v>
      </c>
      <c r="Z91" s="9" t="s">
        <v>64</v>
      </c>
      <c r="AA91" s="20" t="s">
        <v>106</v>
      </c>
      <c r="AB91" s="9" t="s">
        <v>62</v>
      </c>
    </row>
    <row r="92" spans="1:29" ht="13.8" thickBot="1">
      <c r="A92" s="11"/>
      <c r="B92" s="61"/>
      <c r="C92" s="31"/>
      <c r="D92" s="31">
        <f>VLOOKUP(C95,[18]TS!$B$10:$D$253,3,0)</f>
        <v>391</v>
      </c>
      <c r="E92" s="216"/>
      <c r="F92" s="31">
        <f>VLOOKUP(E95,[18]TS!$B$10:$D$253,3,0)</f>
        <v>433</v>
      </c>
      <c r="G92" s="216"/>
      <c r="H92" s="31">
        <f>VLOOKUP(G95,[18]TS!$B$10:$D$253,3,0)</f>
        <v>415</v>
      </c>
      <c r="I92" s="31"/>
      <c r="J92" s="31">
        <f>VLOOKUP(I95,[18]TS!$B$10:$D$253,3,0)</f>
        <v>430</v>
      </c>
      <c r="K92" s="216"/>
      <c r="L92" s="31">
        <f>VLOOKUP(K95,[18]TS!$B$10:$D$253,3,0)</f>
        <v>314</v>
      </c>
      <c r="M92" s="216"/>
      <c r="N92" s="31">
        <f>VLOOKUP(M95,[18]TS!$B$10:$D$253,3,0)</f>
        <v>402.24900000000002</v>
      </c>
      <c r="O92" s="31"/>
      <c r="P92" s="31">
        <f>VLOOKUP(O95,[18]TS!$B$10:$D$253,3,0)</f>
        <v>394</v>
      </c>
      <c r="Q92" s="31"/>
      <c r="R92" s="31">
        <f>VLOOKUP(Q95,[18]TS!$B$10:$D$253,3,0)</f>
        <v>419.44499999999999</v>
      </c>
      <c r="S92" s="31"/>
      <c r="T92" s="31">
        <f>VLOOKUP(S95,[18]TS!$B$10:$D$253,3,0)</f>
        <v>402</v>
      </c>
      <c r="U92" s="31"/>
      <c r="V92" s="31">
        <f>VLOOKUP(U95,[18]TS!$B$10:$D$253,3,0)</f>
        <v>426</v>
      </c>
      <c r="W92" s="14">
        <f>SUM(D92:V92)</f>
        <v>4026.694</v>
      </c>
    </row>
    <row r="93" spans="1:29" ht="13.8" thickBot="1">
      <c r="A93" s="11">
        <v>10</v>
      </c>
      <c r="B93" s="61"/>
      <c r="C93" s="164" t="s">
        <v>687</v>
      </c>
      <c r="D93" s="31"/>
      <c r="E93" s="164" t="s">
        <v>687</v>
      </c>
      <c r="F93" s="31"/>
      <c r="G93" s="164" t="s">
        <v>687</v>
      </c>
      <c r="H93" s="31"/>
      <c r="I93" s="164" t="s">
        <v>687</v>
      </c>
      <c r="J93" s="31"/>
      <c r="K93" s="164" t="s">
        <v>240</v>
      </c>
      <c r="L93" s="31"/>
      <c r="M93" s="164" t="s">
        <v>240</v>
      </c>
      <c r="N93" s="31"/>
      <c r="O93" s="164" t="s">
        <v>240</v>
      </c>
      <c r="P93" s="31"/>
      <c r="Q93" s="164" t="s">
        <v>240</v>
      </c>
      <c r="R93" s="31"/>
      <c r="S93" s="164" t="s">
        <v>240</v>
      </c>
      <c r="T93" s="31"/>
      <c r="U93" s="164" t="s">
        <v>687</v>
      </c>
      <c r="V93" s="31"/>
      <c r="W93" s="14"/>
      <c r="X93" s="9">
        <v>10</v>
      </c>
      <c r="Y93" s="9">
        <v>10</v>
      </c>
      <c r="Z93" s="9">
        <v>5</v>
      </c>
      <c r="AA93" s="9">
        <v>0</v>
      </c>
      <c r="AB93" s="13">
        <v>0</v>
      </c>
      <c r="AC93" s="9" t="s">
        <v>65</v>
      </c>
    </row>
    <row r="94" spans="1:29" ht="13.8" thickBot="1">
      <c r="A94" s="11"/>
      <c r="B94" s="61"/>
      <c r="C94" s="271"/>
      <c r="D94" s="31"/>
      <c r="E94" s="271"/>
      <c r="F94" s="31"/>
      <c r="G94" s="271"/>
      <c r="H94" s="31"/>
      <c r="I94" s="271"/>
      <c r="J94" s="31"/>
      <c r="K94" s="456"/>
      <c r="L94" s="31"/>
      <c r="M94" s="271"/>
      <c r="N94" s="31"/>
      <c r="O94" s="271"/>
      <c r="P94" s="31"/>
      <c r="Q94" s="458"/>
      <c r="R94" s="31"/>
      <c r="S94" s="271"/>
      <c r="T94" s="31"/>
      <c r="U94" s="271"/>
      <c r="V94" s="31"/>
      <c r="W94" s="14"/>
      <c r="X94" s="9">
        <v>0</v>
      </c>
      <c r="Y94" s="9">
        <f>COUNTIF($B$94:$U$94,"WIP")</f>
        <v>0</v>
      </c>
      <c r="Z94" s="9">
        <v>0</v>
      </c>
      <c r="AA94" s="9">
        <v>0</v>
      </c>
      <c r="AB94" s="50">
        <v>0</v>
      </c>
      <c r="AC94" s="9" t="s">
        <v>56</v>
      </c>
    </row>
    <row r="95" spans="1:29" ht="16.5" customHeight="1">
      <c r="A95" s="11"/>
      <c r="B95" s="61"/>
      <c r="C95" s="218" t="s">
        <v>163</v>
      </c>
      <c r="D95" s="218"/>
      <c r="E95" s="218" t="s">
        <v>164</v>
      </c>
      <c r="F95" s="218"/>
      <c r="G95" s="218" t="s">
        <v>165</v>
      </c>
      <c r="H95" s="218"/>
      <c r="I95" s="218" t="s">
        <v>166</v>
      </c>
      <c r="J95" s="218"/>
      <c r="K95" s="218" t="s">
        <v>167</v>
      </c>
      <c r="L95" s="218"/>
      <c r="M95" s="218" t="s">
        <v>168</v>
      </c>
      <c r="N95" s="218"/>
      <c r="O95" s="218" t="s">
        <v>38</v>
      </c>
      <c r="P95" s="218"/>
      <c r="Q95" s="218" t="s">
        <v>169</v>
      </c>
      <c r="R95" s="218"/>
      <c r="S95" s="218" t="s">
        <v>39</v>
      </c>
      <c r="T95" s="218"/>
      <c r="U95" s="218" t="s">
        <v>8</v>
      </c>
      <c r="V95" s="31"/>
      <c r="W95" s="14"/>
      <c r="X95" s="9">
        <v>0</v>
      </c>
      <c r="Y95" s="9">
        <f>COUNTIF($B$94:$U$94,"ROW")</f>
        <v>0</v>
      </c>
      <c r="Z95" s="9">
        <v>1</v>
      </c>
      <c r="AA95" s="9">
        <v>0</v>
      </c>
      <c r="AB95" s="9">
        <v>0</v>
      </c>
      <c r="AC95" s="9" t="s">
        <v>61</v>
      </c>
    </row>
    <row r="96" spans="1:29" ht="16.5" customHeight="1">
      <c r="A96" s="11"/>
      <c r="B96" s="61"/>
      <c r="C96" s="240" t="str">
        <f>VLOOKUP(C95,[18]TS!$B$10:$D$253,2,0)</f>
        <v>1DA+0</v>
      </c>
      <c r="D96" s="31"/>
      <c r="E96" s="240" t="str">
        <f>VLOOKUP(E95,[18]TS!$B$10:$D$253,2,0)</f>
        <v>1DA-1.5</v>
      </c>
      <c r="F96" s="31"/>
      <c r="G96" s="240" t="str">
        <f>VLOOKUP(G95,[18]TS!$B$10:$D$253,2,0)</f>
        <v>1DA+0</v>
      </c>
      <c r="H96" s="31"/>
      <c r="I96" s="240" t="str">
        <f>VLOOKUP(I95,[18]TS!$B$10:$D$253,2,0)</f>
        <v>1DA+0</v>
      </c>
      <c r="J96" s="31"/>
      <c r="K96" s="240" t="str">
        <f>VLOOKUP(K95,[18]TS!$B$10:$D$253,2,0)</f>
        <v>1DA+0</v>
      </c>
      <c r="L96" s="31"/>
      <c r="M96" s="240" t="str">
        <f>VLOOKUP(M95,[18]TS!$B$10:$D$253,2,0)</f>
        <v>1DA+9</v>
      </c>
      <c r="N96" s="243"/>
      <c r="O96" s="240" t="str">
        <f>VLOOKUP(O95,[18]TS!$B$10:$D$253,2,0)</f>
        <v>1DC1+0</v>
      </c>
      <c r="P96" s="31"/>
      <c r="Q96" s="240" t="str">
        <f>VLOOKUP(Q95,[18]TS!$B$10:$D$253,2,0)</f>
        <v>1DA+3</v>
      </c>
      <c r="R96" s="31"/>
      <c r="S96" s="240" t="str">
        <f>VLOOKUP(S95,[18]TS!$B$10:$D$253,2,0)</f>
        <v>1DB2+0</v>
      </c>
      <c r="T96" s="31"/>
      <c r="U96" s="240" t="str">
        <f>VLOOKUP(U95,[18]TS!$B$10:$D$253,2,0)</f>
        <v>1DA+6</v>
      </c>
      <c r="V96" s="31"/>
      <c r="W96" s="14"/>
      <c r="Y96" s="9">
        <f>X93-Y93-Y94-Y95</f>
        <v>0</v>
      </c>
      <c r="Z96" s="9">
        <f>X93-Z93-Z94-Z95</f>
        <v>4</v>
      </c>
      <c r="AA96" s="9">
        <f>Z93-AA94-AA95-AA93</f>
        <v>5</v>
      </c>
      <c r="AC96" s="9" t="s">
        <v>95</v>
      </c>
    </row>
    <row r="97" spans="1:33" s="91" customFormat="1" ht="16.5" customHeight="1">
      <c r="A97" s="130"/>
      <c r="B97" s="92"/>
      <c r="C97" s="679">
        <f>SUM(D83+F83+H83+J83+L83+N83+P83+R83+T83+V83+D92+F92+H92+J92+L92+N92)/1000</f>
        <v>6.292249</v>
      </c>
      <c r="D97" s="679"/>
      <c r="E97" s="679"/>
      <c r="F97" s="679"/>
      <c r="G97" s="679"/>
      <c r="H97" s="679"/>
      <c r="I97" s="679"/>
      <c r="J97" s="679"/>
      <c r="K97" s="679"/>
      <c r="L97" s="679"/>
      <c r="M97" s="679"/>
      <c r="N97" s="679"/>
      <c r="O97" s="679">
        <f>(P92+R92)/1000</f>
        <v>0.81344499999999997</v>
      </c>
      <c r="P97" s="679"/>
      <c r="Q97" s="679"/>
      <c r="R97" s="679"/>
      <c r="S97" s="679"/>
      <c r="T97" s="679"/>
      <c r="U97" s="679"/>
      <c r="V97" s="679"/>
      <c r="W97" s="93"/>
    </row>
    <row r="98" spans="1:33" s="99" customFormat="1" ht="19.5" customHeight="1">
      <c r="A98" s="102"/>
      <c r="B98" s="100"/>
      <c r="C98" s="233"/>
      <c r="D98" s="233"/>
      <c r="E98" s="233"/>
      <c r="F98" s="233"/>
      <c r="G98" s="233"/>
      <c r="H98" s="233"/>
      <c r="J98" s="681" t="s">
        <v>219</v>
      </c>
      <c r="K98" s="681"/>
      <c r="L98" s="233"/>
      <c r="M98" s="233"/>
      <c r="N98" s="248" t="s">
        <v>211</v>
      </c>
      <c r="O98" s="233"/>
      <c r="P98" s="233"/>
      <c r="Q98" s="233"/>
      <c r="R98" s="233"/>
      <c r="S98" s="233"/>
      <c r="T98" s="681" t="s">
        <v>220</v>
      </c>
      <c r="U98" s="681"/>
      <c r="V98" s="681"/>
      <c r="W98" s="111"/>
    </row>
    <row r="99" spans="1:33" ht="15" customHeight="1">
      <c r="A99" s="11"/>
      <c r="B99" s="61"/>
      <c r="C99" s="209" t="s">
        <v>335</v>
      </c>
      <c r="D99" s="31"/>
      <c r="E99" s="209" t="s">
        <v>336</v>
      </c>
      <c r="F99" s="31"/>
      <c r="G99" s="209" t="s">
        <v>337</v>
      </c>
      <c r="H99" s="31"/>
      <c r="I99" s="209" t="s">
        <v>338</v>
      </c>
      <c r="J99" s="31"/>
      <c r="K99" s="209" t="s">
        <v>339</v>
      </c>
      <c r="L99" s="31"/>
      <c r="M99" s="209" t="s">
        <v>340</v>
      </c>
      <c r="O99" s="209" t="s">
        <v>320</v>
      </c>
      <c r="P99" s="31"/>
      <c r="Q99" s="209" t="s">
        <v>341</v>
      </c>
      <c r="R99" s="31"/>
      <c r="S99" s="209" t="s">
        <v>342</v>
      </c>
      <c r="T99" s="31"/>
      <c r="U99" s="209" t="s">
        <v>343</v>
      </c>
      <c r="V99" s="31"/>
      <c r="W99" s="14"/>
      <c r="AG99" s="9">
        <f>36189-384</f>
        <v>35805</v>
      </c>
    </row>
    <row r="100" spans="1:33">
      <c r="A100" s="11"/>
      <c r="B100" s="61"/>
      <c r="C100" s="31"/>
      <c r="D100" s="213" t="s">
        <v>243</v>
      </c>
      <c r="E100" s="31"/>
      <c r="F100" s="213" t="s">
        <v>243</v>
      </c>
      <c r="G100" s="31"/>
      <c r="H100" s="31"/>
      <c r="I100" s="31"/>
      <c r="J100" s="31"/>
      <c r="K100" s="31"/>
      <c r="L100" s="213" t="s">
        <v>243</v>
      </c>
      <c r="M100" s="213"/>
      <c r="N100" s="213" t="s">
        <v>634</v>
      </c>
      <c r="O100" s="31"/>
      <c r="P100" s="31"/>
      <c r="Q100" s="31"/>
      <c r="R100" s="31"/>
      <c r="S100" s="31"/>
      <c r="T100" s="31"/>
      <c r="U100" s="31"/>
      <c r="V100" s="31"/>
      <c r="W100" s="14"/>
      <c r="X100" s="9" t="s">
        <v>63</v>
      </c>
      <c r="Y100" s="9" t="s">
        <v>92</v>
      </c>
      <c r="Z100" s="9" t="s">
        <v>64</v>
      </c>
      <c r="AA100" s="20" t="s">
        <v>106</v>
      </c>
      <c r="AB100" s="9" t="s">
        <v>62</v>
      </c>
    </row>
    <row r="101" spans="1:33" ht="13.8" thickBot="1">
      <c r="A101" s="11"/>
      <c r="B101" s="61"/>
      <c r="C101" s="31"/>
      <c r="D101" s="31">
        <f>VLOOKUP(C104,[18]TS!$B$10:$D$253,3,0)</f>
        <v>429.05900000000003</v>
      </c>
      <c r="E101" s="216"/>
      <c r="F101" s="31">
        <f>VLOOKUP(E104,[18]TS!$B$10:$D$253,3,0)</f>
        <v>336</v>
      </c>
      <c r="G101" s="216"/>
      <c r="H101" s="31">
        <f>VLOOKUP(G104,[18]TS!$B$10:$D$253,3,0)</f>
        <v>441</v>
      </c>
      <c r="I101" s="31"/>
      <c r="J101" s="31">
        <f>VLOOKUP(I104,[18]TS!$B$10:$D$253,3,0)</f>
        <v>324.04899999999998</v>
      </c>
      <c r="K101" s="216"/>
      <c r="L101" s="31">
        <f>VLOOKUP(K104,[18]TS!$B$10:$D$253,3,0)</f>
        <v>417.21899999999999</v>
      </c>
      <c r="M101" s="216"/>
      <c r="N101" s="31">
        <f>VLOOKUP(M104,[18]TS!$B$10:$D$253,3,0)</f>
        <v>249.602</v>
      </c>
      <c r="O101" s="31"/>
      <c r="P101" s="31">
        <f>VLOOKUP(O104,[18]TS!$B$10:$D$253,3,0)</f>
        <v>333.60199999999998</v>
      </c>
      <c r="Q101" s="31"/>
      <c r="R101" s="31">
        <f>VLOOKUP(Q104,[18]TS!$B$10:$D$253,3,0)</f>
        <v>313</v>
      </c>
      <c r="S101" s="31"/>
      <c r="T101" s="31">
        <f>VLOOKUP(S104,[18]TS!$B$10:$D$253,3,0)</f>
        <v>337</v>
      </c>
      <c r="U101" s="216"/>
      <c r="V101" s="31">
        <f>VLOOKUP(U104,[18]TS!$B$10:$D$253,3,0)</f>
        <v>384.09800000000001</v>
      </c>
      <c r="W101" s="14">
        <f>SUM(D101:V101)</f>
        <v>3564.6289999999999</v>
      </c>
    </row>
    <row r="102" spans="1:33" ht="13.8" thickBot="1">
      <c r="A102" s="11">
        <v>11</v>
      </c>
      <c r="B102" s="61"/>
      <c r="C102" s="164" t="s">
        <v>687</v>
      </c>
      <c r="D102" s="31"/>
      <c r="E102" s="164" t="s">
        <v>240</v>
      </c>
      <c r="F102" s="31"/>
      <c r="G102" s="453" t="s">
        <v>85</v>
      </c>
      <c r="H102" s="31"/>
      <c r="I102" s="453" t="s">
        <v>85</v>
      </c>
      <c r="J102" s="63"/>
      <c r="K102" s="119"/>
      <c r="L102" s="31"/>
      <c r="M102" s="272" t="s">
        <v>85</v>
      </c>
      <c r="N102" s="31"/>
      <c r="O102" s="272" t="s">
        <v>85</v>
      </c>
      <c r="P102" s="31"/>
      <c r="Q102" s="164" t="s">
        <v>240</v>
      </c>
      <c r="R102" s="31"/>
      <c r="S102" s="164" t="s">
        <v>240</v>
      </c>
      <c r="T102" s="31"/>
      <c r="U102" s="270" t="s">
        <v>240</v>
      </c>
      <c r="V102" s="31"/>
      <c r="W102" s="14"/>
      <c r="X102" s="9">
        <v>5</v>
      </c>
      <c r="Y102" s="9">
        <v>4</v>
      </c>
      <c r="Z102" s="9">
        <v>3</v>
      </c>
      <c r="AA102" s="9">
        <v>0</v>
      </c>
      <c r="AB102" s="9">
        <v>0</v>
      </c>
      <c r="AC102" s="9" t="s">
        <v>65</v>
      </c>
    </row>
    <row r="103" spans="1:33" ht="13.8" thickBot="1">
      <c r="A103" s="11"/>
      <c r="B103" s="61"/>
      <c r="C103" s="470"/>
      <c r="D103" s="31"/>
      <c r="E103" s="271"/>
      <c r="F103" s="31"/>
      <c r="G103" s="119"/>
      <c r="H103" s="31"/>
      <c r="I103" s="119"/>
      <c r="J103" s="31"/>
      <c r="K103" s="119"/>
      <c r="L103" s="31"/>
      <c r="M103" s="119"/>
      <c r="N103" s="31"/>
      <c r="O103" s="119"/>
      <c r="P103" s="31"/>
      <c r="Q103" s="271"/>
      <c r="R103" s="31"/>
      <c r="S103" s="119"/>
      <c r="T103" s="31"/>
      <c r="U103" s="271"/>
      <c r="V103" s="31"/>
      <c r="W103" s="14"/>
      <c r="X103" s="9">
        <f>COUNTIF($B$102:$U$102,"WIP")</f>
        <v>0</v>
      </c>
      <c r="Y103" s="9">
        <f>COUNTIF($B$103:$U$103,"WIP")</f>
        <v>0</v>
      </c>
      <c r="Z103" s="9">
        <v>0</v>
      </c>
      <c r="AA103" s="9">
        <v>0</v>
      </c>
      <c r="AB103" s="9">
        <v>0</v>
      </c>
      <c r="AC103" s="9" t="s">
        <v>56</v>
      </c>
    </row>
    <row r="104" spans="1:33" ht="16.5" customHeight="1">
      <c r="A104" s="11"/>
      <c r="B104" s="61"/>
      <c r="C104" s="218" t="s">
        <v>40</v>
      </c>
      <c r="D104" s="218"/>
      <c r="E104" s="218" t="s">
        <v>632</v>
      </c>
      <c r="F104" s="218"/>
      <c r="G104" s="218" t="s">
        <v>628</v>
      </c>
      <c r="H104" s="218"/>
      <c r="I104" s="218" t="s">
        <v>629</v>
      </c>
      <c r="J104" s="218"/>
      <c r="K104" s="218" t="s">
        <v>41</v>
      </c>
      <c r="L104" s="218"/>
      <c r="M104" s="218" t="s">
        <v>42</v>
      </c>
      <c r="N104" s="218"/>
      <c r="O104" s="218" t="s">
        <v>43</v>
      </c>
      <c r="P104" s="218"/>
      <c r="Q104" s="218" t="s">
        <v>44</v>
      </c>
      <c r="R104" s="218"/>
      <c r="S104" s="218" t="s">
        <v>172</v>
      </c>
      <c r="T104" s="218"/>
      <c r="U104" s="218" t="s">
        <v>173</v>
      </c>
      <c r="V104" s="31"/>
      <c r="W104" s="14"/>
      <c r="X104" s="9">
        <f>COUNTIF($C$102:$U$102,"ROW")</f>
        <v>0</v>
      </c>
      <c r="Y104" s="9">
        <f>COUNTIF($B$103:$U$103,"ROW")</f>
        <v>0</v>
      </c>
      <c r="Z104" s="9">
        <f>COUNTIF($C$101:$V$101,"ROW")</f>
        <v>0</v>
      </c>
      <c r="AA104" s="9">
        <v>0</v>
      </c>
      <c r="AC104" s="9" t="s">
        <v>61</v>
      </c>
    </row>
    <row r="105" spans="1:33" ht="16.5" customHeight="1">
      <c r="A105" s="11"/>
      <c r="B105" s="61"/>
      <c r="C105" s="240" t="str">
        <f>VLOOKUP(C104,[18]TS!$B$10:$D$253,2,0)</f>
        <v>1DA+3</v>
      </c>
      <c r="D105" s="31"/>
      <c r="E105" s="240" t="str">
        <f>VLOOKUP(E104,[18]TS!$B$10:$D$253,2,0)</f>
        <v>1DC1+0</v>
      </c>
      <c r="F105" s="243"/>
      <c r="G105" s="240" t="str">
        <f>VLOOKUP(G104,[18]TS!$B$10:$D$253,2,0)</f>
        <v>1DA+9</v>
      </c>
      <c r="H105" s="31"/>
      <c r="I105" s="240" t="str">
        <f>VLOOKUP(I104,[18]TS!$B$10:$D$253,2,0)</f>
        <v>1DA-1.5</v>
      </c>
      <c r="J105" s="31"/>
      <c r="K105" s="240" t="str">
        <f>VLOOKUP(K104,[18]TS!$B$10:$D$253,2,0)</f>
        <v>1DC1+3</v>
      </c>
      <c r="L105" s="249"/>
      <c r="M105" s="240" t="str">
        <f>VLOOKUP(M104,[18]TS!$B$10:$D$253,2,0)</f>
        <v>1DC1+0</v>
      </c>
      <c r="N105" s="31"/>
      <c r="O105" s="240" t="str">
        <f>VLOOKUP(O104,[18]TS!$B$10:$D$253,2,0)</f>
        <v>1DB1-3</v>
      </c>
      <c r="P105" s="31"/>
      <c r="Q105" s="240" t="str">
        <f>VLOOKUP(Q104,[18]TS!$B$10:$D$253,2,0)</f>
        <v>1DC2+0</v>
      </c>
      <c r="R105" s="31"/>
      <c r="S105" s="240" t="str">
        <f>VLOOKUP(S104,[18]TS!$B$10:$D$253,2,0)</f>
        <v>1DA-3</v>
      </c>
      <c r="T105" s="31"/>
      <c r="U105" s="240" t="str">
        <f>VLOOKUP(U104,[18]TS!$B$10:$D$253,2,0)</f>
        <v>1DA-3</v>
      </c>
      <c r="V105" s="31"/>
      <c r="W105" s="14"/>
      <c r="Y105" s="9">
        <f>X102-Y102-Y103-Y104</f>
        <v>1</v>
      </c>
      <c r="Z105" s="9">
        <f>X102-Z102-Z103-Z104</f>
        <v>2</v>
      </c>
      <c r="AA105" s="9">
        <f>Z102-AA103-AA104-AA102</f>
        <v>3</v>
      </c>
      <c r="AC105" s="9" t="s">
        <v>95</v>
      </c>
    </row>
    <row r="106" spans="1:33" s="56" customFormat="1" ht="16.5" customHeight="1">
      <c r="A106" s="131"/>
      <c r="B106" s="67"/>
      <c r="C106" s="679">
        <f>(T92+V92+D101+F101+H101+J101)/1000</f>
        <v>2.3581080000000001</v>
      </c>
      <c r="D106" s="679"/>
      <c r="E106" s="679"/>
      <c r="F106" s="679"/>
      <c r="G106" s="679"/>
      <c r="H106" s="679"/>
      <c r="I106" s="679"/>
      <c r="J106" s="679"/>
      <c r="K106" s="679"/>
      <c r="L106" s="680">
        <f>L101/1000</f>
        <v>0.41721900000000001</v>
      </c>
      <c r="M106" s="680"/>
      <c r="N106" s="680">
        <f>N101/1000</f>
        <v>0.24960199999999999</v>
      </c>
      <c r="O106" s="680"/>
      <c r="P106" s="680">
        <f>P101/1000</f>
        <v>0.33360199999999995</v>
      </c>
      <c r="Q106" s="680"/>
      <c r="R106" s="679">
        <f>SUM(R101+T101+V101)/1000</f>
        <v>1.034098</v>
      </c>
      <c r="S106" s="679"/>
      <c r="T106" s="679"/>
      <c r="U106" s="679"/>
      <c r="V106" s="679"/>
      <c r="W106" s="57"/>
      <c r="AG106" s="41"/>
    </row>
    <row r="107" spans="1:33" s="99" customFormat="1" ht="21.75" customHeight="1" thickBot="1">
      <c r="A107" s="102"/>
      <c r="B107" s="113"/>
      <c r="C107" s="114"/>
      <c r="D107" s="115"/>
      <c r="E107" s="115"/>
      <c r="F107" s="115"/>
      <c r="G107" s="11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699" t="s">
        <v>221</v>
      </c>
      <c r="U107" s="699"/>
      <c r="V107" s="114"/>
      <c r="W107" s="116"/>
    </row>
    <row r="108" spans="1:33" ht="21.6" customHeight="1">
      <c r="A108" s="11"/>
      <c r="B108" s="61"/>
      <c r="C108" s="209" t="s">
        <v>344</v>
      </c>
      <c r="D108" s="250" t="s">
        <v>246</v>
      </c>
      <c r="E108" s="209" t="s">
        <v>345</v>
      </c>
      <c r="F108" s="31"/>
      <c r="G108" s="209" t="s">
        <v>346</v>
      </c>
      <c r="H108" s="31"/>
      <c r="I108" s="209" t="s">
        <v>347</v>
      </c>
      <c r="J108" s="31"/>
      <c r="K108" s="209" t="s">
        <v>348</v>
      </c>
      <c r="L108" s="235"/>
      <c r="M108" s="209" t="s">
        <v>349</v>
      </c>
      <c r="N108" s="235"/>
      <c r="O108" s="209" t="s">
        <v>350</v>
      </c>
      <c r="P108" s="251"/>
      <c r="Q108" s="209" t="s">
        <v>351</v>
      </c>
      <c r="R108" s="252"/>
      <c r="S108" s="209" t="s">
        <v>352</v>
      </c>
      <c r="T108" s="31"/>
      <c r="U108" s="209" t="s">
        <v>353</v>
      </c>
      <c r="V108" s="31"/>
      <c r="W108" s="14"/>
    </row>
    <row r="109" spans="1:33" ht="20.399999999999999">
      <c r="A109" s="11"/>
      <c r="B109" s="61"/>
      <c r="C109" s="31"/>
      <c r="D109" s="31"/>
      <c r="E109" s="31"/>
      <c r="F109" s="213" t="s">
        <v>635</v>
      </c>
      <c r="G109" s="213"/>
      <c r="H109" s="213"/>
      <c r="I109" s="213"/>
      <c r="J109" s="213"/>
      <c r="K109" s="213"/>
      <c r="L109" s="213" t="s">
        <v>591</v>
      </c>
      <c r="M109" s="213"/>
      <c r="N109" s="213" t="s">
        <v>636</v>
      </c>
      <c r="O109" s="31"/>
      <c r="P109" s="237"/>
      <c r="Q109" s="31"/>
      <c r="R109" s="213" t="s">
        <v>242</v>
      </c>
      <c r="S109" s="213"/>
      <c r="T109" s="213" t="s">
        <v>243</v>
      </c>
      <c r="U109" s="31"/>
      <c r="V109" s="213" t="s">
        <v>247</v>
      </c>
      <c r="W109" s="14"/>
      <c r="X109" s="9" t="s">
        <v>63</v>
      </c>
      <c r="Y109" s="9" t="s">
        <v>92</v>
      </c>
      <c r="Z109" s="9" t="s">
        <v>64</v>
      </c>
      <c r="AA109" s="20" t="s">
        <v>106</v>
      </c>
      <c r="AB109" s="9" t="s">
        <v>62</v>
      </c>
    </row>
    <row r="110" spans="1:33" ht="13.8" thickBot="1">
      <c r="A110" s="11"/>
      <c r="B110" s="61"/>
      <c r="C110" s="31"/>
      <c r="D110" s="31">
        <f>VLOOKUP(C113,[18]TS!$B$10:$D$253,3,0)</f>
        <v>258.61599999999999</v>
      </c>
      <c r="E110" s="216"/>
      <c r="F110" s="31">
        <f>VLOOKUP(E113,[18]TS!$B$10:$D$253,3,0)</f>
        <v>390</v>
      </c>
      <c r="G110" s="216"/>
      <c r="H110" s="31">
        <f>VLOOKUP(G113,[18]TS!$B$10:$D$253,3,0)</f>
        <v>290</v>
      </c>
      <c r="I110" s="31"/>
      <c r="J110" s="31">
        <f>VLOOKUP(I113,[18]TS!$B$10:$D$253,3,0)</f>
        <v>345</v>
      </c>
      <c r="K110" s="216"/>
      <c r="L110" s="31">
        <f>VLOOKUP(K113,[18]TS!$B$10:$D$253,3,0)</f>
        <v>423</v>
      </c>
      <c r="M110" s="216"/>
      <c r="N110" s="31">
        <f>VLOOKUP(M113,[18]TS!$B$10:$D$253,3,0)</f>
        <v>388.69299999999998</v>
      </c>
      <c r="O110" s="31"/>
      <c r="P110" s="31">
        <f>VLOOKUP(O113,[18]TS!$B$10:$D$253,3,0)</f>
        <v>405</v>
      </c>
      <c r="Q110" s="31"/>
      <c r="R110" s="31">
        <f>VLOOKUP(Q113,[18]TS!$B$10:$D$253,3,0)</f>
        <v>385</v>
      </c>
      <c r="S110" s="31"/>
      <c r="T110" s="31">
        <f>VLOOKUP(S113,[18]TS!$B$10:$D$253,3,0)</f>
        <v>366</v>
      </c>
      <c r="U110" s="216"/>
      <c r="V110" s="31">
        <f>VLOOKUP(U113,[18]TS!$B$10:$D$253,3,0)</f>
        <v>444</v>
      </c>
      <c r="W110" s="14">
        <f>SUM(D110:V110)</f>
        <v>3695.3090000000002</v>
      </c>
    </row>
    <row r="111" spans="1:33" ht="13.8" thickBot="1">
      <c r="A111" s="11">
        <v>12</v>
      </c>
      <c r="B111" s="61"/>
      <c r="C111" s="164" t="s">
        <v>240</v>
      </c>
      <c r="D111" s="31"/>
      <c r="E111" s="164" t="s">
        <v>240</v>
      </c>
      <c r="F111" s="31"/>
      <c r="G111" s="164" t="s">
        <v>685</v>
      </c>
      <c r="H111" s="31"/>
      <c r="I111" s="164" t="s">
        <v>240</v>
      </c>
      <c r="J111" s="31"/>
      <c r="K111" s="164" t="s">
        <v>240</v>
      </c>
      <c r="L111" s="31"/>
      <c r="M111" s="164" t="s">
        <v>448</v>
      </c>
      <c r="N111" s="71"/>
      <c r="O111" s="164" t="s">
        <v>240</v>
      </c>
      <c r="P111" s="31"/>
      <c r="Q111" s="164" t="s">
        <v>240</v>
      </c>
      <c r="R111" s="31"/>
      <c r="S111" s="164" t="s">
        <v>240</v>
      </c>
      <c r="T111" s="31"/>
      <c r="U111" s="164" t="s">
        <v>240</v>
      </c>
      <c r="V111" s="31"/>
      <c r="W111" s="14"/>
      <c r="X111" s="9">
        <v>10</v>
      </c>
      <c r="Y111" s="9">
        <v>7</v>
      </c>
      <c r="Z111" s="9">
        <v>7</v>
      </c>
      <c r="AA111" s="9">
        <v>0</v>
      </c>
      <c r="AB111" s="9">
        <v>0</v>
      </c>
      <c r="AC111" s="9" t="s">
        <v>65</v>
      </c>
    </row>
    <row r="112" spans="1:33" ht="13.8" thickBot="1">
      <c r="A112" s="11"/>
      <c r="B112" s="61"/>
      <c r="C112" s="271"/>
      <c r="D112" s="31"/>
      <c r="E112" s="271"/>
      <c r="F112" s="31"/>
      <c r="G112" s="120"/>
      <c r="H112" s="31"/>
      <c r="I112" s="457"/>
      <c r="J112" s="31"/>
      <c r="K112" s="120"/>
      <c r="L112" s="31"/>
      <c r="M112" s="435"/>
      <c r="N112" s="31"/>
      <c r="O112" s="435"/>
      <c r="P112" s="31"/>
      <c r="Q112" s="435"/>
      <c r="R112" s="31"/>
      <c r="S112" s="120"/>
      <c r="T112" s="31"/>
      <c r="U112" s="461"/>
      <c r="V112" s="31"/>
      <c r="W112" s="14"/>
      <c r="X112" s="9">
        <v>0</v>
      </c>
      <c r="Y112" s="9">
        <f>COUNTIF($B$112:$U$112,"WIP")</f>
        <v>0</v>
      </c>
      <c r="Z112" s="9">
        <v>2</v>
      </c>
      <c r="AA112" s="9">
        <v>0</v>
      </c>
      <c r="AB112" s="9">
        <v>0</v>
      </c>
      <c r="AC112" s="9" t="s">
        <v>56</v>
      </c>
    </row>
    <row r="113" spans="1:29" ht="16.5" customHeight="1">
      <c r="A113" s="11"/>
      <c r="B113" s="61"/>
      <c r="C113" s="218" t="s">
        <v>45</v>
      </c>
      <c r="D113" s="218"/>
      <c r="E113" s="218" t="s">
        <v>46</v>
      </c>
      <c r="F113" s="218"/>
      <c r="G113" s="218" t="s">
        <v>174</v>
      </c>
      <c r="H113" s="218"/>
      <c r="I113" s="218" t="s">
        <v>175</v>
      </c>
      <c r="J113" s="218"/>
      <c r="K113" s="218" t="s">
        <v>176</v>
      </c>
      <c r="L113" s="218"/>
      <c r="M113" s="218" t="s">
        <v>177</v>
      </c>
      <c r="N113" s="218"/>
      <c r="O113" s="218" t="s">
        <v>47</v>
      </c>
      <c r="P113" s="218"/>
      <c r="Q113" s="218" t="s">
        <v>178</v>
      </c>
      <c r="R113" s="218"/>
      <c r="S113" s="218" t="s">
        <v>179</v>
      </c>
      <c r="T113" s="218"/>
      <c r="U113" s="218" t="s">
        <v>180</v>
      </c>
      <c r="V113" s="31"/>
      <c r="W113" s="14"/>
      <c r="X113" s="9">
        <f>COUNTIF($C$111:$U$111,"ROW")</f>
        <v>0</v>
      </c>
      <c r="Y113" s="9">
        <f>COUNTIF($B$112:$U$112,"ROW")</f>
        <v>0</v>
      </c>
      <c r="Z113" s="9">
        <v>0</v>
      </c>
      <c r="AA113" s="9">
        <v>0</v>
      </c>
      <c r="AC113" s="9" t="s">
        <v>61</v>
      </c>
    </row>
    <row r="114" spans="1:29" ht="16.5" customHeight="1">
      <c r="A114" s="11"/>
      <c r="B114" s="61"/>
      <c r="C114" s="240" t="str">
        <f>VLOOKUP(C113,[18]TS!$B$10:$D$253,2,0)</f>
        <v>1DC2+6</v>
      </c>
      <c r="D114" s="31"/>
      <c r="E114" s="240" t="str">
        <f>VLOOKUP(E113,[18]TS!$B$10:$D$253,2,0)</f>
        <v>1DC1+6</v>
      </c>
      <c r="F114" s="243"/>
      <c r="G114" s="240" t="str">
        <f>VLOOKUP(G113,[18]TS!$B$10:$D$253,2,0)</f>
        <v>1DA-3</v>
      </c>
      <c r="H114" s="31"/>
      <c r="I114" s="240" t="str">
        <f>VLOOKUP(I113,[18]TS!$B$10:$D$253,2,0)</f>
        <v>1DA-3</v>
      </c>
      <c r="J114" s="31"/>
      <c r="K114" s="240" t="str">
        <f>VLOOKUP(K113,[18]TS!$B$10:$D$253,2,0)</f>
        <v>1DA+3</v>
      </c>
      <c r="L114" s="31"/>
      <c r="M114" s="240" t="str">
        <f>VLOOKUP(M113,[18]TS!$B$10:$D$253,2,0)</f>
        <v>1DA+0</v>
      </c>
      <c r="N114" s="31"/>
      <c r="O114" s="240" t="str">
        <f>VLOOKUP(O113,[18]TS!$B$10:$D$253,2,0)</f>
        <v>1DB2+0</v>
      </c>
      <c r="P114" s="31"/>
      <c r="Q114" s="240" t="str">
        <f>VLOOKUP(Q113,[18]TS!$B$10:$D$253,2,0)</f>
        <v>1DA+3</v>
      </c>
      <c r="R114" s="31"/>
      <c r="S114" s="240" t="str">
        <f>VLOOKUP(S113,[18]TS!$B$10:$D$253,2,0)</f>
        <v>1DA+0</v>
      </c>
      <c r="T114" s="31"/>
      <c r="U114" s="240" t="str">
        <f>VLOOKUP(U113,[18]TS!$B$10:$D$253,2,0)</f>
        <v>1DA+3</v>
      </c>
      <c r="V114" s="31"/>
      <c r="W114" s="14"/>
      <c r="Y114" s="9">
        <f>X111-Y111-Y112-Y113</f>
        <v>3</v>
      </c>
      <c r="Z114" s="9">
        <f>X111-Z111-Z112-Z113</f>
        <v>1</v>
      </c>
      <c r="AA114" s="9">
        <f>Z111-AA112-AA113-AA111</f>
        <v>7</v>
      </c>
      <c r="AC114" s="9" t="s">
        <v>95</v>
      </c>
    </row>
    <row r="115" spans="1:29" ht="16.5" customHeight="1">
      <c r="A115" s="11"/>
      <c r="B115" s="61"/>
      <c r="C115" s="680">
        <f>D110/1000</f>
        <v>0.25861600000000001</v>
      </c>
      <c r="D115" s="680"/>
      <c r="E115" s="680"/>
      <c r="F115" s="680">
        <f>SUM(F110+H110+J110+L110+N110)/1000</f>
        <v>1.8366929999999999</v>
      </c>
      <c r="G115" s="680"/>
      <c r="H115" s="680"/>
      <c r="I115" s="680"/>
      <c r="J115" s="680"/>
      <c r="K115" s="680"/>
      <c r="L115" s="680"/>
      <c r="M115" s="680"/>
      <c r="N115" s="680"/>
      <c r="O115" s="680"/>
      <c r="P115" s="680"/>
      <c r="Q115" s="680"/>
      <c r="R115" s="680"/>
      <c r="S115" s="680"/>
      <c r="T115" s="680"/>
      <c r="U115" s="680"/>
      <c r="V115" s="680"/>
      <c r="W115" s="14"/>
    </row>
    <row r="116" spans="1:29" s="99" customFormat="1" ht="16.5" customHeight="1">
      <c r="A116" s="102"/>
      <c r="B116" s="100"/>
      <c r="C116" s="233"/>
      <c r="D116" s="233"/>
      <c r="E116" s="233"/>
      <c r="F116" s="233"/>
      <c r="G116" s="233"/>
      <c r="H116" s="220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U116" s="220" t="s">
        <v>222</v>
      </c>
      <c r="V116" s="233"/>
      <c r="W116" s="111"/>
    </row>
    <row r="117" spans="1:29" ht="21" customHeight="1">
      <c r="A117" s="11"/>
      <c r="B117" s="61"/>
      <c r="C117" s="209" t="s">
        <v>354</v>
      </c>
      <c r="D117" s="235"/>
      <c r="E117" s="209" t="s">
        <v>355</v>
      </c>
      <c r="F117" s="31"/>
      <c r="G117" s="209" t="s">
        <v>356</v>
      </c>
      <c r="H117" s="31"/>
      <c r="I117" s="209" t="s">
        <v>357</v>
      </c>
      <c r="J117" s="31"/>
      <c r="K117" s="209" t="s">
        <v>358</v>
      </c>
      <c r="L117" s="31"/>
      <c r="M117" s="209" t="s">
        <v>360</v>
      </c>
      <c r="N117" s="235"/>
      <c r="O117" s="209" t="s">
        <v>359</v>
      </c>
      <c r="P117" s="426" t="s">
        <v>248</v>
      </c>
      <c r="Q117" s="209" t="s">
        <v>361</v>
      </c>
      <c r="R117" s="31"/>
      <c r="S117" s="209" t="s">
        <v>362</v>
      </c>
      <c r="T117" s="31"/>
      <c r="U117" s="209" t="s">
        <v>363</v>
      </c>
      <c r="V117" s="253"/>
      <c r="W117" s="14"/>
    </row>
    <row r="118" spans="1:29">
      <c r="A118" s="11"/>
      <c r="B118" s="61"/>
      <c r="C118" s="31"/>
      <c r="D118" s="213" t="s">
        <v>243</v>
      </c>
      <c r="E118" s="31"/>
      <c r="F118" s="237"/>
      <c r="G118" s="31"/>
      <c r="H118" s="31"/>
      <c r="I118" s="31"/>
      <c r="J118" s="213" t="s">
        <v>241</v>
      </c>
      <c r="K118" s="31"/>
      <c r="L118" s="213" t="s">
        <v>242</v>
      </c>
      <c r="M118" s="31"/>
      <c r="N118" s="237"/>
      <c r="O118" s="31"/>
      <c r="P118" s="213" t="s">
        <v>634</v>
      </c>
      <c r="Q118" s="31"/>
      <c r="R118" s="213" t="s">
        <v>590</v>
      </c>
      <c r="S118" s="31"/>
      <c r="T118" s="213" t="s">
        <v>242</v>
      </c>
      <c r="U118" s="31"/>
      <c r="V118" s="213"/>
      <c r="W118" s="14"/>
      <c r="X118" s="9" t="s">
        <v>63</v>
      </c>
      <c r="Y118" s="9" t="s">
        <v>92</v>
      </c>
      <c r="Z118" s="9" t="s">
        <v>64</v>
      </c>
      <c r="AA118" s="20" t="s">
        <v>106</v>
      </c>
      <c r="AB118" s="9" t="s">
        <v>62</v>
      </c>
    </row>
    <row r="119" spans="1:29" ht="13.8" thickBot="1">
      <c r="A119" s="11"/>
      <c r="B119" s="61"/>
      <c r="C119" s="31"/>
      <c r="D119" s="31">
        <f>VLOOKUP(C122,[18]TS!$B$10:$D$253,3,0)</f>
        <v>355</v>
      </c>
      <c r="E119" s="31"/>
      <c r="F119" s="31">
        <f>VLOOKUP(E122,[18]TS!$B$10:$D$253,3,0)</f>
        <v>375</v>
      </c>
      <c r="G119" s="31"/>
      <c r="H119" s="31">
        <f>VLOOKUP(G122,[18]TS!$B$10:$D$253,3,0)</f>
        <v>374.49</v>
      </c>
      <c r="I119" s="31"/>
      <c r="J119" s="31">
        <f>VLOOKUP(I122,[18]TS!$B$10:$D$253,3,0)</f>
        <v>434</v>
      </c>
      <c r="K119" s="31"/>
      <c r="L119" s="31">
        <f>VLOOKUP(K122,[18]TS!$B$10:$D$253,3,0)</f>
        <v>406</v>
      </c>
      <c r="M119" s="31"/>
      <c r="N119" s="31">
        <f>VLOOKUP(M122,[18]TS!$B$10:$D$253,3,0)</f>
        <v>390</v>
      </c>
      <c r="O119" s="31"/>
      <c r="P119" s="31">
        <f>VLOOKUP(O122,[18]TS!$B$10:$D$253,3,0)</f>
        <v>276.49200000000002</v>
      </c>
      <c r="Q119" s="31"/>
      <c r="R119" s="31">
        <f>VLOOKUP(Q122,[18]TS!$B$10:$D$253,3,0)</f>
        <v>397</v>
      </c>
      <c r="S119" s="31"/>
      <c r="T119" s="31">
        <f>VLOOKUP(S122,[18]TS!$B$10:$D$253,3,0)</f>
        <v>380</v>
      </c>
      <c r="U119" s="31"/>
      <c r="V119" s="31">
        <f>VLOOKUP(U122,[18]TS!$B$10:$D$253,3,0)</f>
        <v>342</v>
      </c>
      <c r="W119" s="14">
        <f>SUM(D119:V119)</f>
        <v>3729.982</v>
      </c>
    </row>
    <row r="120" spans="1:29" ht="13.8" thickBot="1">
      <c r="A120" s="11">
        <v>13</v>
      </c>
      <c r="B120" s="61"/>
      <c r="C120" s="270" t="s">
        <v>240</v>
      </c>
      <c r="D120" s="31"/>
      <c r="E120" s="119"/>
      <c r="F120" s="31"/>
      <c r="G120" s="119"/>
      <c r="H120" s="31"/>
      <c r="I120" s="164" t="s">
        <v>240</v>
      </c>
      <c r="J120" s="31"/>
      <c r="K120" s="164" t="s">
        <v>240</v>
      </c>
      <c r="L120" s="31"/>
      <c r="M120" s="164" t="s">
        <v>240</v>
      </c>
      <c r="N120" s="31"/>
      <c r="O120" s="164" t="s">
        <v>240</v>
      </c>
      <c r="P120" s="31"/>
      <c r="Q120" s="119"/>
      <c r="R120" s="31"/>
      <c r="S120" s="164" t="s">
        <v>687</v>
      </c>
      <c r="T120" s="31"/>
      <c r="U120" s="164" t="s">
        <v>687</v>
      </c>
      <c r="V120" s="31"/>
      <c r="W120" s="14"/>
      <c r="X120" s="9">
        <v>7</v>
      </c>
      <c r="Y120" s="9">
        <v>6</v>
      </c>
      <c r="Z120" s="9">
        <v>1</v>
      </c>
      <c r="AA120" s="9">
        <v>0</v>
      </c>
      <c r="AB120" s="9">
        <v>0</v>
      </c>
      <c r="AC120" s="9" t="s">
        <v>65</v>
      </c>
    </row>
    <row r="121" spans="1:29" ht="13.8" thickBot="1">
      <c r="A121" s="11"/>
      <c r="B121" s="61"/>
      <c r="C121" s="455"/>
      <c r="D121" s="31"/>
      <c r="E121" s="120"/>
      <c r="F121" s="31"/>
      <c r="G121" s="120"/>
      <c r="H121" s="31"/>
      <c r="I121" s="467"/>
      <c r="J121" s="31"/>
      <c r="K121" s="120"/>
      <c r="L121" s="31"/>
      <c r="M121" s="435"/>
      <c r="N121" s="31"/>
      <c r="O121" s="435"/>
      <c r="P121" s="31"/>
      <c r="Q121" s="120"/>
      <c r="R121" s="31"/>
      <c r="S121" s="435"/>
      <c r="T121" s="31"/>
      <c r="U121" s="455"/>
      <c r="V121" s="31"/>
      <c r="W121" s="14"/>
      <c r="X121" s="9">
        <v>0</v>
      </c>
      <c r="Y121" s="9">
        <f>COUNTIF($B$121:$U$121,"WIP")</f>
        <v>0</v>
      </c>
      <c r="Z121" s="9">
        <v>1</v>
      </c>
      <c r="AA121" s="9">
        <v>0</v>
      </c>
      <c r="AC121" s="9" t="s">
        <v>56</v>
      </c>
    </row>
    <row r="122" spans="1:29" ht="16.5" customHeight="1">
      <c r="A122" s="11"/>
      <c r="B122" s="61"/>
      <c r="C122" s="218" t="s">
        <v>181</v>
      </c>
      <c r="D122" s="218"/>
      <c r="E122" s="218" t="s">
        <v>182</v>
      </c>
      <c r="F122" s="218"/>
      <c r="G122" s="218" t="s">
        <v>183</v>
      </c>
      <c r="H122" s="218"/>
      <c r="I122" s="218" t="s">
        <v>48</v>
      </c>
      <c r="J122" s="218"/>
      <c r="K122" s="218" t="s">
        <v>184</v>
      </c>
      <c r="L122" s="218"/>
      <c r="M122" s="218" t="s">
        <v>185</v>
      </c>
      <c r="N122" s="218"/>
      <c r="O122" s="218" t="s">
        <v>186</v>
      </c>
      <c r="P122" s="218"/>
      <c r="Q122" s="218" t="s">
        <v>54</v>
      </c>
      <c r="R122" s="218"/>
      <c r="S122" s="218" t="s">
        <v>187</v>
      </c>
      <c r="T122" s="218"/>
      <c r="U122" s="218" t="s">
        <v>188</v>
      </c>
      <c r="V122" s="31"/>
      <c r="W122" s="14"/>
      <c r="X122" s="9">
        <v>0</v>
      </c>
      <c r="Y122" s="9">
        <f>COUNTIF($B$121:$U$121,"ROW")</f>
        <v>0</v>
      </c>
      <c r="Z122" s="9">
        <v>0</v>
      </c>
      <c r="AA122" s="9">
        <v>0</v>
      </c>
      <c r="AC122" s="9" t="s">
        <v>61</v>
      </c>
    </row>
    <row r="123" spans="1:29" ht="16.5" customHeight="1">
      <c r="A123" s="11"/>
      <c r="B123" s="61"/>
      <c r="C123" s="240" t="str">
        <f>VLOOKUP(C122,[18]TS!$B$10:$D$253,2,0)</f>
        <v>1DA+3</v>
      </c>
      <c r="D123" s="243"/>
      <c r="E123" s="240" t="str">
        <f>VLOOKUP(E122,[18]TS!$B$10:$D$253,2,0)</f>
        <v>1DA+0</v>
      </c>
      <c r="F123" s="243"/>
      <c r="G123" s="240" t="str">
        <f>VLOOKUP(G122,[18]TS!$B$10:$D$253,2,0)</f>
        <v>1DA-3</v>
      </c>
      <c r="H123" s="243"/>
      <c r="I123" s="240" t="str">
        <f>VLOOKUP(I122,[18]TS!$B$10:$D$253,2,0)</f>
        <v>1DB1+0</v>
      </c>
      <c r="J123" s="31"/>
      <c r="K123" s="240" t="str">
        <f>VLOOKUP(K122,[18]TS!$B$10:$D$253,2,0)</f>
        <v>1DA+6</v>
      </c>
      <c r="L123" s="243"/>
      <c r="M123" s="240" t="str">
        <f>VLOOKUP(M122,[18]TS!$B$10:$D$253,2,0)</f>
        <v>1DA-3</v>
      </c>
      <c r="N123" s="31"/>
      <c r="O123" s="240" t="str">
        <f>VLOOKUP(O122,[18]TS!$B$10:$D$253,2,0)</f>
        <v>1DB1+6</v>
      </c>
      <c r="P123" s="31"/>
      <c r="Q123" s="240" t="str">
        <f>VLOOKUP(Q122,[18]TS!$B$10:$D$253,2,0)</f>
        <v>1DC1+6</v>
      </c>
      <c r="R123" s="31"/>
      <c r="S123" s="240" t="str">
        <f>VLOOKUP(S122,[18]TS!$B$10:$D$253,2,0)</f>
        <v>1DA-1.5</v>
      </c>
      <c r="T123" s="243"/>
      <c r="U123" s="240" t="str">
        <f>VLOOKUP(U122,[18]TS!$B$10:$D$253,2,0)</f>
        <v>1DA+0</v>
      </c>
      <c r="V123" s="243"/>
      <c r="W123" s="14"/>
      <c r="Y123" s="9">
        <f>X120-Y120-Y121-Y122</f>
        <v>1</v>
      </c>
      <c r="Z123" s="9">
        <f>X120-Z120-Z121-Z122</f>
        <v>5</v>
      </c>
      <c r="AA123" s="9">
        <f>Z120-AA121-AA122-AA120</f>
        <v>1</v>
      </c>
      <c r="AC123" s="9" t="s">
        <v>95</v>
      </c>
    </row>
    <row r="124" spans="1:29" ht="16.5" customHeight="1">
      <c r="A124" s="11"/>
      <c r="B124" s="61"/>
      <c r="C124" s="680">
        <f>SUM(P110+D119+R110+T110+V110+F119+H119)/1000</f>
        <v>2.7044899999999998</v>
      </c>
      <c r="D124" s="680"/>
      <c r="E124" s="680"/>
      <c r="F124" s="680"/>
      <c r="G124" s="680"/>
      <c r="H124" s="680"/>
      <c r="I124" s="680"/>
      <c r="J124" s="680">
        <f>(J119+L119+N119+P119)/1000</f>
        <v>1.5064919999999999</v>
      </c>
      <c r="K124" s="680"/>
      <c r="L124" s="680"/>
      <c r="M124" s="680"/>
      <c r="N124" s="680"/>
      <c r="O124" s="680"/>
      <c r="P124" s="680"/>
      <c r="Q124" s="680"/>
      <c r="R124" s="680"/>
      <c r="S124" s="680"/>
      <c r="T124" s="680"/>
      <c r="U124" s="680"/>
      <c r="V124" s="680"/>
      <c r="W124" s="14"/>
    </row>
    <row r="125" spans="1:29" s="99" customFormat="1" ht="13.95" customHeight="1">
      <c r="A125" s="102"/>
      <c r="B125" s="100"/>
      <c r="C125" s="220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681" t="s">
        <v>223</v>
      </c>
      <c r="O125" s="681"/>
      <c r="P125" s="233"/>
      <c r="Q125" s="233"/>
      <c r="R125" s="233"/>
      <c r="S125" s="681"/>
      <c r="T125" s="681"/>
      <c r="U125" s="233"/>
      <c r="V125" s="233"/>
      <c r="W125" s="111"/>
    </row>
    <row r="126" spans="1:29" ht="4.95" customHeight="1">
      <c r="A126" s="11"/>
      <c r="B126" s="6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W126" s="14"/>
    </row>
    <row r="127" spans="1:29" ht="12" customHeight="1">
      <c r="A127" s="11"/>
      <c r="B127" s="61"/>
      <c r="C127" s="209" t="s">
        <v>364</v>
      </c>
      <c r="D127" s="31"/>
      <c r="E127" s="209" t="s">
        <v>365</v>
      </c>
      <c r="F127" s="31"/>
      <c r="G127" s="209" t="s">
        <v>366</v>
      </c>
      <c r="H127" s="235"/>
      <c r="I127" s="209" t="s">
        <v>367</v>
      </c>
      <c r="J127" s="254"/>
      <c r="K127" s="209" t="s">
        <v>368</v>
      </c>
      <c r="L127" s="31"/>
      <c r="M127" s="209" t="s">
        <v>369</v>
      </c>
      <c r="N127" s="31"/>
      <c r="O127" s="209" t="s">
        <v>582</v>
      </c>
      <c r="P127" s="31"/>
      <c r="Q127" s="209" t="s">
        <v>583</v>
      </c>
      <c r="S127" s="209" t="s">
        <v>584</v>
      </c>
      <c r="U127" s="209" t="s">
        <v>585</v>
      </c>
      <c r="W127" s="14"/>
    </row>
    <row r="128" spans="1:29" ht="22.95" customHeight="1">
      <c r="A128" s="11"/>
      <c r="B128" s="61"/>
      <c r="C128" s="31"/>
      <c r="D128" s="213" t="s">
        <v>588</v>
      </c>
      <c r="E128" s="31"/>
      <c r="F128" s="367" t="s">
        <v>589</v>
      </c>
      <c r="G128" s="213"/>
      <c r="H128" s="213" t="s">
        <v>590</v>
      </c>
      <c r="I128" s="213"/>
      <c r="J128" s="213" t="s">
        <v>243</v>
      </c>
      <c r="K128" s="31"/>
      <c r="L128" s="213" t="s">
        <v>242</v>
      </c>
      <c r="M128" s="31"/>
      <c r="N128" s="213" t="s">
        <v>242</v>
      </c>
      <c r="O128" s="31"/>
      <c r="P128" s="31"/>
      <c r="Q128" s="31"/>
      <c r="S128" s="31"/>
      <c r="T128" s="213" t="s">
        <v>242</v>
      </c>
      <c r="U128" s="31"/>
      <c r="W128" s="36"/>
      <c r="X128" s="9" t="s">
        <v>63</v>
      </c>
      <c r="Y128" s="9" t="s">
        <v>92</v>
      </c>
      <c r="Z128" s="9" t="s">
        <v>64</v>
      </c>
      <c r="AA128" s="20" t="s">
        <v>106</v>
      </c>
      <c r="AB128" s="9" t="s">
        <v>62</v>
      </c>
    </row>
    <row r="129" spans="1:29" ht="13.8" thickBot="1">
      <c r="A129" s="11"/>
      <c r="B129" s="61"/>
      <c r="C129" s="31"/>
      <c r="D129" s="31">
        <f>VLOOKUP(C132,[18]TS!$B$10:$D$253,3,0)</f>
        <v>416.81</v>
      </c>
      <c r="E129" s="31"/>
      <c r="F129" s="31">
        <f>VLOOKUP(E132,[18]TS!$B$10:$D$253,3,0)</f>
        <v>203.90199999999999</v>
      </c>
      <c r="G129" s="31"/>
      <c r="H129" s="31">
        <f>VLOOKUP(G132,[18]TS!$B$10:$D$253,3,0)</f>
        <v>382</v>
      </c>
      <c r="I129" s="216"/>
      <c r="J129" s="31">
        <f>VLOOKUP(I132,[18]TS!$B$10:$D$253,3,0)</f>
        <v>320.79599999999999</v>
      </c>
      <c r="K129" s="216"/>
      <c r="L129" s="31">
        <f>VLOOKUP(K132,[18]TS!$B$10:$D$253,3,0)</f>
        <v>414</v>
      </c>
      <c r="M129" s="31"/>
      <c r="N129" s="31">
        <f>VLOOKUP(M132,[18]TS!$B$10:$D$253,3,0)</f>
        <v>425</v>
      </c>
      <c r="O129" s="31"/>
      <c r="P129" s="31">
        <f>VLOOKUP(O132,[18]TS!$B$10:$D$253,3,0)</f>
        <v>373</v>
      </c>
      <c r="Q129" s="31"/>
      <c r="R129" s="31">
        <f>VLOOKUP(Q132,[18]TS!$B$10:$D$263,3,0)</f>
        <v>357</v>
      </c>
      <c r="S129" s="31"/>
      <c r="T129" s="31">
        <f>VLOOKUP(S132,[18]TS!$B$10:$D$263,3,0)</f>
        <v>372.20100000000002</v>
      </c>
      <c r="U129" s="31"/>
      <c r="V129" s="31">
        <f>VLOOKUP(U132,[18]TS!$B$10:$D$263,3,0)</f>
        <v>358.08600000000001</v>
      </c>
      <c r="W129" s="14">
        <f>SUM(D129:V129)</f>
        <v>3622.7950000000001</v>
      </c>
    </row>
    <row r="130" spans="1:29" ht="13.8" thickBot="1">
      <c r="A130" s="11">
        <v>14</v>
      </c>
      <c r="B130" s="61"/>
      <c r="C130" s="164" t="s">
        <v>240</v>
      </c>
      <c r="D130" s="31"/>
      <c r="E130" s="164" t="s">
        <v>240</v>
      </c>
      <c r="F130" s="31"/>
      <c r="G130" s="164" t="s">
        <v>240</v>
      </c>
      <c r="H130" s="31"/>
      <c r="I130" s="119"/>
      <c r="J130" s="31"/>
      <c r="K130" s="164" t="s">
        <v>240</v>
      </c>
      <c r="L130" s="31"/>
      <c r="M130" s="164" t="s">
        <v>240</v>
      </c>
      <c r="N130" s="31"/>
      <c r="O130" s="164" t="s">
        <v>240</v>
      </c>
      <c r="P130" s="31"/>
      <c r="Q130" s="119"/>
      <c r="S130" s="164" t="s">
        <v>240</v>
      </c>
      <c r="U130" s="164" t="s">
        <v>240</v>
      </c>
      <c r="W130" s="14"/>
      <c r="X130" s="9">
        <v>8</v>
      </c>
      <c r="Y130" s="9">
        <v>8</v>
      </c>
      <c r="Z130" s="9">
        <v>1</v>
      </c>
      <c r="AA130" s="9">
        <v>0</v>
      </c>
      <c r="AB130" s="9">
        <v>0</v>
      </c>
      <c r="AC130" s="9" t="s">
        <v>65</v>
      </c>
    </row>
    <row r="131" spans="1:29" ht="13.8" thickBot="1">
      <c r="A131" s="11"/>
      <c r="B131" s="61"/>
      <c r="C131" s="195"/>
      <c r="D131" s="31"/>
      <c r="E131" s="195"/>
      <c r="F131" s="31"/>
      <c r="G131" s="274"/>
      <c r="H131" s="31"/>
      <c r="I131" s="72"/>
      <c r="J131" s="31"/>
      <c r="K131" s="274"/>
      <c r="L131" s="31"/>
      <c r="M131" s="435"/>
      <c r="N131" s="31"/>
      <c r="O131" s="435"/>
      <c r="P131" s="31"/>
      <c r="Q131" s="120"/>
      <c r="S131" s="435"/>
      <c r="U131" s="461"/>
      <c r="W131" s="14"/>
      <c r="X131" s="9">
        <f>COUNTIF($B$130:$U$130,"WIP")</f>
        <v>0</v>
      </c>
      <c r="Y131" s="9">
        <f>COUNTIF($B$131:$U$131,"WIP")</f>
        <v>0</v>
      </c>
      <c r="Z131" s="9">
        <v>0</v>
      </c>
      <c r="AA131" s="9">
        <v>0</v>
      </c>
      <c r="AB131" s="9">
        <v>0</v>
      </c>
      <c r="AC131" s="9" t="s">
        <v>56</v>
      </c>
    </row>
    <row r="132" spans="1:29" ht="17.25" customHeight="1">
      <c r="A132" s="11"/>
      <c r="B132" s="61"/>
      <c r="C132" s="218" t="s">
        <v>189</v>
      </c>
      <c r="D132" s="218"/>
      <c r="E132" s="218" t="s">
        <v>191</v>
      </c>
      <c r="F132" s="218"/>
      <c r="G132" s="218" t="s">
        <v>193</v>
      </c>
      <c r="H132" s="218"/>
      <c r="I132" s="366" t="s">
        <v>568</v>
      </c>
      <c r="J132" s="218"/>
      <c r="K132" s="218" t="s">
        <v>194</v>
      </c>
      <c r="L132" s="218"/>
      <c r="M132" s="366" t="s">
        <v>570</v>
      </c>
      <c r="N132" s="218"/>
      <c r="O132" s="366" t="s">
        <v>571</v>
      </c>
      <c r="P132" s="218"/>
      <c r="Q132" s="366" t="s">
        <v>572</v>
      </c>
      <c r="S132" s="366" t="s">
        <v>573</v>
      </c>
      <c r="U132" s="218" t="s">
        <v>579</v>
      </c>
      <c r="W132" s="14"/>
      <c r="X132" s="9">
        <f>COUNTIF($C$130:$U$130,"ROW")</f>
        <v>0</v>
      </c>
      <c r="Y132" s="9">
        <f>COUNTIF($B$131:$U$131,"ROW")</f>
        <v>0</v>
      </c>
      <c r="Z132" s="9">
        <v>1</v>
      </c>
      <c r="AA132" s="9">
        <v>0</v>
      </c>
      <c r="AC132" s="9" t="s">
        <v>61</v>
      </c>
    </row>
    <row r="133" spans="1:29" ht="17.25" customHeight="1">
      <c r="A133" s="11"/>
      <c r="B133" s="61"/>
      <c r="C133" s="240" t="str">
        <f>VLOOKUP(C132,[18]TS!$B$10:$D$253,2,0)</f>
        <v>1DA-3</v>
      </c>
      <c r="D133" s="31"/>
      <c r="E133" s="240" t="str">
        <f>VLOOKUP(E132,[18]TS!$B$10:$D$253,2,0)</f>
        <v>1DD60+6</v>
      </c>
      <c r="F133" s="31"/>
      <c r="G133" s="240" t="str">
        <f>VLOOKUP(G132,[18]TS!$B$10:$D$253,2,0)</f>
        <v>1DD60+6</v>
      </c>
      <c r="H133" s="31"/>
      <c r="I133" s="240" t="str">
        <f>VLOOKUP(I132,[18]TS!$B$10:$D$253,2,0)</f>
        <v>1DA-3</v>
      </c>
      <c r="J133" s="31"/>
      <c r="K133" s="240" t="str">
        <f>VLOOKUP(K132,[18]TS!$B$10:$D$253,2,0)</f>
        <v>1DC2+0</v>
      </c>
      <c r="L133" s="31"/>
      <c r="M133" s="240" t="str">
        <f>VLOOKUP(M132,[18]TS!$B$10:$D$253,2,0)</f>
        <v>1DA+6</v>
      </c>
      <c r="N133" s="31"/>
      <c r="O133" s="240" t="str">
        <f>VLOOKUP(O132,[18]TS!$B$10:$D$253,2,0)</f>
        <v>1DA+0</v>
      </c>
      <c r="P133" s="31"/>
      <c r="Q133" s="240" t="str">
        <f>VLOOKUP(Q132,[18]TS!$B$10:$D$263,2,0)</f>
        <v>1DA+0</v>
      </c>
      <c r="R133" s="31"/>
      <c r="S133" s="240" t="str">
        <f>VLOOKUP(S132,[18]TS!$B$10:$D$263,2,0)</f>
        <v>1DA+0</v>
      </c>
      <c r="T133" s="31"/>
      <c r="U133" s="240" t="str">
        <f>VLOOKUP(U132,[18]TS!$B$10:$D$263,2,0)</f>
        <v>1DC2+0</v>
      </c>
      <c r="V133" s="31"/>
      <c r="W133" s="14"/>
      <c r="Y133" s="9">
        <f>X130-Y130-Y131-Y132</f>
        <v>0</v>
      </c>
      <c r="Z133" s="9">
        <f>X130-Z130-Z131-Z132</f>
        <v>6</v>
      </c>
      <c r="AA133" s="9">
        <f>Z130-AA131-AA132-AA130</f>
        <v>1</v>
      </c>
      <c r="AC133" s="9" t="s">
        <v>95</v>
      </c>
    </row>
    <row r="134" spans="1:29" ht="17.25" customHeight="1">
      <c r="A134" s="11"/>
      <c r="B134" s="61"/>
      <c r="C134" s="659">
        <f>(R119+T119+V119+D129)/1000</f>
        <v>1.5358099999999999</v>
      </c>
      <c r="D134" s="660"/>
      <c r="E134" s="659">
        <f>F129/1000</f>
        <v>0.203902</v>
      </c>
      <c r="F134" s="661"/>
      <c r="G134" s="660"/>
      <c r="H134" s="680">
        <f>(H129+J129)/1000</f>
        <v>0.70279600000000009</v>
      </c>
      <c r="I134" s="680"/>
      <c r="J134" s="680"/>
      <c r="K134" s="680"/>
      <c r="L134" s="659">
        <f>(L129+N129+P129+R129+T129)/1000</f>
        <v>1.941201</v>
      </c>
      <c r="M134" s="661"/>
      <c r="N134" s="661"/>
      <c r="O134" s="661"/>
      <c r="P134" s="661"/>
      <c r="Q134" s="661"/>
      <c r="R134" s="661"/>
      <c r="S134" s="661"/>
      <c r="T134" s="661"/>
      <c r="U134" s="660"/>
      <c r="V134" s="659">
        <f>V129/1000</f>
        <v>0.35808600000000002</v>
      </c>
      <c r="W134" s="660"/>
    </row>
    <row r="135" spans="1:29" s="99" customFormat="1" ht="17.25" customHeight="1" thickBot="1">
      <c r="A135" s="132"/>
      <c r="B135" s="113"/>
      <c r="C135" s="683" t="s">
        <v>224</v>
      </c>
      <c r="D135" s="683"/>
      <c r="E135" s="683"/>
      <c r="F135" s="114"/>
      <c r="G135" s="114"/>
      <c r="H135" s="118"/>
      <c r="I135" s="118"/>
      <c r="J135" s="118"/>
      <c r="K135" s="114"/>
      <c r="L135" s="114"/>
      <c r="M135" s="114"/>
      <c r="N135" s="114"/>
      <c r="O135" s="114"/>
      <c r="P135" s="117"/>
      <c r="Q135" s="114"/>
      <c r="R135" s="114"/>
      <c r="S135" s="114"/>
      <c r="T135" s="114"/>
      <c r="U135" s="114"/>
      <c r="V135" s="114"/>
      <c r="W135" s="116"/>
      <c r="X135" s="99" t="s">
        <v>63</v>
      </c>
      <c r="Y135" s="99" t="s">
        <v>92</v>
      </c>
      <c r="Z135" s="99" t="s">
        <v>64</v>
      </c>
      <c r="AA135" s="8" t="s">
        <v>106</v>
      </c>
      <c r="AB135" s="99" t="s">
        <v>62</v>
      </c>
    </row>
    <row r="136" spans="1:29" s="99" customFormat="1" ht="7.95" customHeight="1">
      <c r="B136" s="100"/>
      <c r="C136" s="220"/>
      <c r="D136" s="220"/>
      <c r="E136" s="220"/>
      <c r="F136" s="233"/>
      <c r="G136" s="233"/>
      <c r="K136" s="233"/>
      <c r="L136" s="233"/>
      <c r="M136" s="233"/>
      <c r="N136" s="233"/>
      <c r="O136" s="233"/>
      <c r="P136" s="220"/>
      <c r="Q136" s="233"/>
      <c r="R136" s="233"/>
      <c r="S136" s="233"/>
      <c r="T136" s="233"/>
      <c r="U136" s="233"/>
      <c r="V136" s="233"/>
      <c r="W136" s="111"/>
      <c r="AA136" s="8"/>
    </row>
    <row r="137" spans="1:29" s="99" customFormat="1" ht="17.25" customHeight="1">
      <c r="B137" s="100"/>
      <c r="C137" s="209" t="s">
        <v>586</v>
      </c>
      <c r="D137" s="31"/>
      <c r="E137" s="209" t="s">
        <v>587</v>
      </c>
      <c r="F137" s="233"/>
      <c r="G137" s="233"/>
      <c r="K137" s="233"/>
      <c r="L137" s="233"/>
      <c r="M137" s="233"/>
      <c r="N137" s="233"/>
      <c r="O137" s="233"/>
      <c r="P137" s="220"/>
      <c r="Q137" s="233"/>
      <c r="R137" s="233"/>
      <c r="S137" s="233"/>
      <c r="T137" s="233"/>
      <c r="U137" s="233"/>
      <c r="V137" s="233"/>
      <c r="W137" s="111"/>
      <c r="AA137" s="8"/>
    </row>
    <row r="138" spans="1:29" s="99" customFormat="1" ht="17.25" customHeight="1">
      <c r="B138" s="100"/>
      <c r="C138" s="31"/>
      <c r="D138" s="237"/>
      <c r="E138" s="31"/>
      <c r="F138" s="233"/>
      <c r="G138" s="233"/>
      <c r="K138" s="233"/>
      <c r="L138" s="233"/>
      <c r="M138" s="233"/>
      <c r="N138" s="233"/>
      <c r="O138" s="233"/>
      <c r="P138" s="220"/>
      <c r="Q138" s="233"/>
      <c r="R138" s="233"/>
      <c r="S138" s="233"/>
      <c r="T138" s="233"/>
      <c r="U138" s="233"/>
      <c r="V138" s="233"/>
      <c r="W138" s="111"/>
      <c r="X138" s="9" t="s">
        <v>63</v>
      </c>
      <c r="Y138" s="9" t="s">
        <v>92</v>
      </c>
      <c r="Z138" s="9" t="s">
        <v>64</v>
      </c>
      <c r="AA138" s="20" t="s">
        <v>106</v>
      </c>
      <c r="AB138" s="9" t="s">
        <v>62</v>
      </c>
      <c r="AC138" s="9"/>
    </row>
    <row r="139" spans="1:29" s="99" customFormat="1" ht="17.25" customHeight="1" thickBot="1">
      <c r="B139" s="100"/>
      <c r="C139" s="31"/>
      <c r="D139" s="31">
        <f>VLOOKUP(C142,[18]TS!$B$10:$D$263,3,0)</f>
        <v>278.70400000000001</v>
      </c>
      <c r="E139" s="31"/>
      <c r="F139" s="31">
        <f>VLOOKUP(E142,[18]TS!$B$10:$D$263,3,0)</f>
        <v>135.00800000000001</v>
      </c>
      <c r="G139" s="233"/>
      <c r="K139" s="233"/>
      <c r="L139" s="233"/>
      <c r="M139" s="233"/>
      <c r="N139" s="233"/>
      <c r="O139" s="233"/>
      <c r="P139" s="220"/>
      <c r="Q139" s="233"/>
      <c r="R139" s="233"/>
      <c r="S139" s="233"/>
      <c r="T139" s="233"/>
      <c r="U139" s="233"/>
      <c r="V139" s="105"/>
      <c r="W139" s="14">
        <f>SUM(D139:V139)</f>
        <v>413.71199999999999</v>
      </c>
      <c r="X139" s="9"/>
      <c r="Y139" s="9"/>
      <c r="Z139" s="9"/>
      <c r="AA139" s="9"/>
      <c r="AB139" s="9"/>
      <c r="AC139" s="9"/>
    </row>
    <row r="140" spans="1:29" s="99" customFormat="1" ht="17.25" customHeight="1" thickBot="1">
      <c r="B140" s="100"/>
      <c r="C140" s="164" t="s">
        <v>240</v>
      </c>
      <c r="D140" s="31"/>
      <c r="E140" s="119"/>
      <c r="F140" s="233"/>
      <c r="G140" s="233"/>
      <c r="K140" s="233"/>
      <c r="L140" s="233"/>
      <c r="M140" s="233"/>
      <c r="N140" s="233"/>
      <c r="O140" s="233"/>
      <c r="P140" s="220"/>
      <c r="Q140" s="233"/>
      <c r="R140" s="233"/>
      <c r="S140" s="233"/>
      <c r="T140" s="233"/>
      <c r="U140" s="233"/>
      <c r="V140" s="233"/>
      <c r="W140" s="111"/>
      <c r="X140" s="9">
        <v>1</v>
      </c>
      <c r="Y140" s="9">
        <v>1</v>
      </c>
      <c r="Z140" s="9">
        <v>1</v>
      </c>
      <c r="AA140" s="9">
        <v>0</v>
      </c>
      <c r="AB140" s="9">
        <v>0</v>
      </c>
      <c r="AC140" s="9" t="s">
        <v>65</v>
      </c>
    </row>
    <row r="141" spans="1:29" s="99" customFormat="1" ht="17.25" customHeight="1" thickBot="1">
      <c r="B141" s="100"/>
      <c r="C141" s="195"/>
      <c r="D141" s="31"/>
      <c r="E141" s="72"/>
      <c r="F141" s="233"/>
      <c r="G141" s="233"/>
      <c r="K141" s="233"/>
      <c r="L141" s="233"/>
      <c r="M141" s="233"/>
      <c r="N141" s="233"/>
      <c r="O141" s="233"/>
      <c r="P141" s="220"/>
      <c r="Q141" s="233"/>
      <c r="R141" s="233"/>
      <c r="S141" s="233"/>
      <c r="T141" s="233"/>
      <c r="U141" s="233"/>
      <c r="V141" s="233"/>
      <c r="W141" s="111"/>
      <c r="X141" s="9">
        <v>0</v>
      </c>
      <c r="Y141" s="9">
        <f>COUNTIF($B$141:$U$141,"ET")</f>
        <v>0</v>
      </c>
      <c r="Z141" s="9">
        <v>0</v>
      </c>
      <c r="AA141" s="9">
        <v>0</v>
      </c>
      <c r="AB141" s="9">
        <v>0</v>
      </c>
      <c r="AC141" s="9" t="s">
        <v>56</v>
      </c>
    </row>
    <row r="142" spans="1:29" s="99" customFormat="1" ht="17.25" customHeight="1">
      <c r="B142" s="100"/>
      <c r="C142" s="218" t="s">
        <v>580</v>
      </c>
      <c r="D142" s="218"/>
      <c r="E142" s="218" t="s">
        <v>581</v>
      </c>
      <c r="F142" s="233"/>
      <c r="G142" s="218" t="s">
        <v>89</v>
      </c>
      <c r="K142" s="233"/>
      <c r="L142" s="233"/>
      <c r="M142" s="233"/>
      <c r="N142" s="233"/>
      <c r="O142" s="233"/>
      <c r="P142" s="220"/>
      <c r="Q142" s="233"/>
      <c r="R142" s="233"/>
      <c r="S142" s="233"/>
      <c r="T142" s="233"/>
      <c r="U142" s="233"/>
      <c r="V142" s="233"/>
      <c r="W142" s="111"/>
      <c r="X142" s="9">
        <f>COUNTIF($C$140:$U$140,"F")</f>
        <v>0</v>
      </c>
      <c r="Y142" s="9">
        <f>COUNTIF($B$141:$U$141,"ET")</f>
        <v>0</v>
      </c>
      <c r="Z142" s="9">
        <f>COUNTIF($C$129:$V$129,"ROW")</f>
        <v>0</v>
      </c>
      <c r="AA142" s="9">
        <v>0</v>
      </c>
      <c r="AB142" s="9"/>
      <c r="AC142" s="9" t="s">
        <v>61</v>
      </c>
    </row>
    <row r="143" spans="1:29" s="99" customFormat="1">
      <c r="B143" s="100"/>
      <c r="C143" s="240" t="str">
        <f>VLOOKUP(C142,[18]TS!$B$10:$D$263,2,0)</f>
        <v>1DD60+0</v>
      </c>
      <c r="D143" s="31"/>
      <c r="E143" s="240" t="str">
        <f>VLOOKUP(E142,[18]TS!$B$10:$D$263,2,0)</f>
        <v>1DD60+0</v>
      </c>
      <c r="F143" s="233"/>
      <c r="G143" s="233"/>
      <c r="K143" s="233"/>
      <c r="L143" s="233"/>
      <c r="M143" s="233"/>
      <c r="N143" s="233"/>
      <c r="O143" s="233"/>
      <c r="P143" s="220"/>
      <c r="Q143" s="233"/>
      <c r="R143" s="233"/>
      <c r="S143" s="233"/>
      <c r="T143" s="233"/>
      <c r="U143" s="233"/>
      <c r="V143" s="233"/>
      <c r="W143" s="111"/>
      <c r="X143" s="9"/>
      <c r="Y143" s="9">
        <f>COUNTIF($B$141:$U$141,"ET")</f>
        <v>0</v>
      </c>
      <c r="Z143" s="9">
        <f>X140-Z140-Z141-Z142</f>
        <v>0</v>
      </c>
      <c r="AA143" s="9">
        <f>Z140-AA141-AA142-AA140</f>
        <v>1</v>
      </c>
      <c r="AB143" s="9"/>
      <c r="AC143" s="9" t="s">
        <v>95</v>
      </c>
    </row>
    <row r="144" spans="1:29" s="99" customFormat="1">
      <c r="B144" s="100"/>
      <c r="C144" s="701" t="s">
        <v>637</v>
      </c>
      <c r="D144" s="702"/>
      <c r="E144" s="702"/>
      <c r="F144" s="702"/>
      <c r="G144" s="702"/>
      <c r="K144" s="233"/>
      <c r="L144" s="233"/>
      <c r="M144" s="233"/>
      <c r="N144" s="233"/>
      <c r="O144" s="233"/>
      <c r="P144" s="220"/>
      <c r="Q144" s="233"/>
      <c r="R144" s="233"/>
      <c r="S144" s="233"/>
      <c r="T144" s="233"/>
      <c r="U144" s="233"/>
      <c r="V144" s="233"/>
      <c r="W144" s="111"/>
      <c r="X144" s="9"/>
      <c r="Y144" s="9"/>
      <c r="Z144" s="9"/>
      <c r="AA144" s="9"/>
      <c r="AB144" s="9"/>
      <c r="AC144" s="9"/>
    </row>
    <row r="145" spans="2:31" s="99" customFormat="1">
      <c r="B145" s="100"/>
      <c r="C145" s="240"/>
      <c r="D145" s="31"/>
      <c r="E145" s="240"/>
      <c r="F145" s="233"/>
      <c r="G145" s="233"/>
      <c r="K145" s="233"/>
      <c r="L145" s="233"/>
      <c r="M145" s="233"/>
      <c r="N145" s="233"/>
      <c r="O145" s="233"/>
      <c r="P145" s="220"/>
      <c r="Q145" s="233"/>
      <c r="R145" s="233"/>
      <c r="S145" s="233"/>
      <c r="T145" s="233"/>
      <c r="U145" s="233"/>
      <c r="V145" s="233"/>
      <c r="W145" s="111"/>
      <c r="X145" s="99" t="s">
        <v>63</v>
      </c>
      <c r="Y145" s="99" t="s">
        <v>92</v>
      </c>
      <c r="Z145" s="99" t="s">
        <v>64</v>
      </c>
      <c r="AA145" s="8" t="s">
        <v>106</v>
      </c>
      <c r="AB145" s="99" t="s">
        <v>62</v>
      </c>
    </row>
    <row r="146" spans="2:31" s="99" customFormat="1" ht="13.8" thickBot="1">
      <c r="B146" s="100"/>
      <c r="C146" s="240"/>
      <c r="D146" s="31"/>
      <c r="E146" s="240"/>
      <c r="F146" s="233"/>
      <c r="G146" s="233"/>
      <c r="K146" s="233"/>
      <c r="L146" s="233"/>
      <c r="M146" s="233"/>
      <c r="N146" s="233"/>
      <c r="O146" s="233"/>
      <c r="P146" s="220"/>
      <c r="Q146" s="233"/>
      <c r="R146" s="233"/>
      <c r="S146" s="233"/>
      <c r="T146" s="233"/>
      <c r="U146" s="233"/>
      <c r="V146" s="233"/>
      <c r="W146" s="111"/>
      <c r="AA146" s="8"/>
    </row>
    <row r="147" spans="2:31" ht="8.25" customHeight="1"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4"/>
      <c r="X147" s="52">
        <f t="shared" ref="X147:AB150" si="3">AD75+X84+X93+X102+X111+X120+X130+X140</f>
        <v>51</v>
      </c>
      <c r="Y147" s="52">
        <f t="shared" si="3"/>
        <v>46</v>
      </c>
      <c r="Z147" s="52">
        <f t="shared" si="3"/>
        <v>26</v>
      </c>
      <c r="AA147" s="52">
        <f t="shared" si="3"/>
        <v>0</v>
      </c>
      <c r="AB147" s="52">
        <f t="shared" si="3"/>
        <v>0</v>
      </c>
      <c r="AC147" s="9" t="s">
        <v>65</v>
      </c>
    </row>
    <row r="148" spans="2:31" ht="10.95" customHeight="1">
      <c r="B148" s="11"/>
      <c r="W148" s="12"/>
      <c r="X148" s="52">
        <f t="shared" si="3"/>
        <v>0</v>
      </c>
      <c r="Y148" s="52">
        <f t="shared" si="3"/>
        <v>0</v>
      </c>
      <c r="Z148" s="52">
        <f t="shared" si="3"/>
        <v>3</v>
      </c>
      <c r="AA148" s="52">
        <f t="shared" si="3"/>
        <v>0</v>
      </c>
      <c r="AB148" s="52">
        <f t="shared" si="3"/>
        <v>0</v>
      </c>
      <c r="AC148" s="9" t="s">
        <v>56</v>
      </c>
      <c r="AE148" s="48" t="s">
        <v>217</v>
      </c>
    </row>
    <row r="149" spans="2:31">
      <c r="B149" s="11"/>
      <c r="E149" s="133"/>
      <c r="F149" s="133"/>
      <c r="G149" s="133" t="s">
        <v>749</v>
      </c>
      <c r="H149" s="133"/>
      <c r="I149" s="133"/>
      <c r="J149" s="133" t="s">
        <v>67</v>
      </c>
      <c r="K149" s="133"/>
      <c r="L149" s="133"/>
      <c r="Q149" s="82"/>
      <c r="W149" s="12"/>
      <c r="X149" s="52">
        <f t="shared" si="3"/>
        <v>0</v>
      </c>
      <c r="Y149" s="52">
        <f t="shared" si="3"/>
        <v>0</v>
      </c>
      <c r="Z149" s="52">
        <f t="shared" si="3"/>
        <v>2</v>
      </c>
      <c r="AA149" s="52">
        <f t="shared" si="3"/>
        <v>0</v>
      </c>
      <c r="AB149" s="52">
        <f t="shared" si="3"/>
        <v>0</v>
      </c>
      <c r="AC149" s="9" t="s">
        <v>61</v>
      </c>
    </row>
    <row r="150" spans="2:31">
      <c r="B150" s="11"/>
      <c r="E150" s="133"/>
      <c r="F150" s="133"/>
      <c r="J150" s="133"/>
      <c r="L150" s="133"/>
      <c r="M150" s="9" t="s">
        <v>68</v>
      </c>
      <c r="Q150" s="82"/>
      <c r="S150" s="7" t="s">
        <v>69</v>
      </c>
      <c r="W150" s="12"/>
      <c r="X150" s="52">
        <f t="shared" si="3"/>
        <v>0</v>
      </c>
      <c r="Y150" s="52">
        <f t="shared" si="3"/>
        <v>5</v>
      </c>
      <c r="Z150" s="52">
        <f t="shared" si="3"/>
        <v>20</v>
      </c>
      <c r="AA150" s="52">
        <f t="shared" si="3"/>
        <v>26</v>
      </c>
      <c r="AB150" s="52">
        <f t="shared" si="3"/>
        <v>0</v>
      </c>
      <c r="AC150" s="9" t="s">
        <v>95</v>
      </c>
    </row>
    <row r="151" spans="2:31" ht="13.8" thickBot="1">
      <c r="B151" s="11"/>
      <c r="D151" s="134" t="s">
        <v>70</v>
      </c>
      <c r="E151" s="133"/>
      <c r="F151" s="133"/>
      <c r="J151" s="133"/>
      <c r="L151" s="133"/>
      <c r="Q151" s="82"/>
      <c r="W151" s="12"/>
    </row>
    <row r="152" spans="2:31" ht="15" thickTop="1" thickBot="1">
      <c r="B152" s="11"/>
      <c r="D152" s="134" t="s">
        <v>71</v>
      </c>
      <c r="E152" s="133"/>
      <c r="F152" s="133"/>
      <c r="G152" s="23"/>
      <c r="H152" s="16"/>
      <c r="I152" s="15"/>
      <c r="J152" s="133"/>
      <c r="K152" s="23"/>
      <c r="L152" s="133"/>
      <c r="M152" s="9" t="s">
        <v>72</v>
      </c>
      <c r="Q152" s="82"/>
      <c r="W152" s="12"/>
      <c r="X152" s="53">
        <f t="shared" ref="X152:AB155" si="4">X33+X147+X79</f>
        <v>115</v>
      </c>
      <c r="Y152" s="53">
        <f t="shared" si="4"/>
        <v>110</v>
      </c>
      <c r="Z152" s="53">
        <f t="shared" si="4"/>
        <v>80</v>
      </c>
      <c r="AA152" s="53">
        <f t="shared" si="4"/>
        <v>0</v>
      </c>
      <c r="AB152" s="53">
        <f t="shared" si="4"/>
        <v>1105.7840000000001</v>
      </c>
      <c r="AC152" s="19" t="s">
        <v>65</v>
      </c>
      <c r="AD152" s="128" t="s">
        <v>58</v>
      </c>
    </row>
    <row r="153" spans="2:31" ht="14.4" thickTop="1" thickBot="1">
      <c r="B153" s="11"/>
      <c r="D153" s="134" t="s">
        <v>73</v>
      </c>
      <c r="E153" s="133"/>
      <c r="F153" s="133"/>
      <c r="G153" s="17"/>
      <c r="H153" s="16"/>
      <c r="I153" s="18" t="s">
        <v>59</v>
      </c>
      <c r="J153" s="133"/>
      <c r="K153" s="17"/>
      <c r="L153" s="133"/>
      <c r="Q153" s="82"/>
      <c r="S153" s="7" t="s">
        <v>74</v>
      </c>
      <c r="W153" s="12"/>
      <c r="X153" s="53">
        <f t="shared" si="4"/>
        <v>0</v>
      </c>
      <c r="Y153" s="53">
        <f t="shared" si="4"/>
        <v>0</v>
      </c>
      <c r="Z153" s="53">
        <f t="shared" si="4"/>
        <v>6</v>
      </c>
      <c r="AA153" s="53">
        <f t="shared" si="4"/>
        <v>0</v>
      </c>
      <c r="AB153" s="53">
        <f t="shared" si="4"/>
        <v>2473.2080000000001</v>
      </c>
      <c r="AC153" s="39" t="s">
        <v>56</v>
      </c>
    </row>
    <row r="154" spans="2:31" ht="13.8" thickTop="1">
      <c r="B154" s="11"/>
      <c r="E154" s="133"/>
      <c r="F154" s="133"/>
      <c r="G154" s="133"/>
      <c r="H154" s="133"/>
      <c r="I154" s="133"/>
      <c r="J154" s="133"/>
      <c r="K154" s="133"/>
      <c r="L154" s="133"/>
      <c r="N154" s="135" t="s">
        <v>90</v>
      </c>
      <c r="Q154" s="82"/>
      <c r="W154" s="12"/>
      <c r="X154" s="53">
        <f t="shared" si="4"/>
        <v>0</v>
      </c>
      <c r="Y154" s="53">
        <f t="shared" si="4"/>
        <v>0</v>
      </c>
      <c r="Z154" s="53">
        <f t="shared" si="4"/>
        <v>3</v>
      </c>
      <c r="AA154" s="53">
        <f t="shared" si="4"/>
        <v>0</v>
      </c>
      <c r="AB154" s="53">
        <f t="shared" si="4"/>
        <v>0</v>
      </c>
      <c r="AC154" s="39" t="s">
        <v>61</v>
      </c>
    </row>
    <row r="155" spans="2:31">
      <c r="B155" s="11"/>
      <c r="D155" s="136"/>
      <c r="E155" s="137"/>
      <c r="F155" s="136"/>
      <c r="G155" s="135"/>
      <c r="H155" s="138"/>
      <c r="I155" s="85">
        <v>325</v>
      </c>
      <c r="J155" s="135" t="s">
        <v>75</v>
      </c>
      <c r="K155" s="137"/>
      <c r="L155" s="85"/>
      <c r="Q155" s="82"/>
      <c r="W155" s="12"/>
      <c r="X155" s="53">
        <f t="shared" si="4"/>
        <v>0</v>
      </c>
      <c r="Y155" s="53">
        <f t="shared" si="4"/>
        <v>5</v>
      </c>
      <c r="Z155" s="53" t="e">
        <f t="shared" si="4"/>
        <v>#VALUE!</v>
      </c>
      <c r="AA155" s="53">
        <f t="shared" si="4"/>
        <v>80</v>
      </c>
      <c r="AB155" s="53">
        <f t="shared" si="4"/>
        <v>0</v>
      </c>
      <c r="AC155" s="39" t="s">
        <v>95</v>
      </c>
    </row>
    <row r="156" spans="2:31" ht="13.8" thickBot="1">
      <c r="B156" s="11"/>
      <c r="D156" s="136"/>
      <c r="E156" s="137"/>
      <c r="F156" s="136"/>
      <c r="G156" s="137"/>
      <c r="H156" s="138"/>
      <c r="I156" s="83"/>
      <c r="J156" s="136"/>
      <c r="K156" s="137"/>
      <c r="L156" s="85"/>
      <c r="M156" s="137"/>
      <c r="N156" s="135" t="s">
        <v>76</v>
      </c>
      <c r="O156" s="137"/>
      <c r="P156" s="136"/>
      <c r="Q156" s="83"/>
      <c r="R156" s="136"/>
      <c r="S156" s="139" t="s">
        <v>77</v>
      </c>
      <c r="T156" s="136"/>
      <c r="U156" s="137"/>
      <c r="V156" s="136"/>
      <c r="W156" s="12"/>
    </row>
    <row r="157" spans="2:31" ht="14.4" thickTop="1" thickBot="1">
      <c r="B157" s="11"/>
      <c r="D157" s="136"/>
      <c r="E157" s="137"/>
      <c r="F157" s="24" t="s">
        <v>61</v>
      </c>
      <c r="G157" s="9" t="s">
        <v>61</v>
      </c>
      <c r="H157" s="138"/>
      <c r="I157" s="83"/>
      <c r="J157" s="140" t="s">
        <v>84</v>
      </c>
      <c r="K157" s="137"/>
      <c r="L157" s="85"/>
      <c r="M157" s="137"/>
      <c r="N157" s="136"/>
      <c r="O157" s="137"/>
      <c r="P157" s="136"/>
      <c r="Q157" s="83"/>
      <c r="R157" s="137"/>
      <c r="S157" s="137"/>
      <c r="T157" s="136"/>
      <c r="U157" s="137"/>
      <c r="V157" s="136"/>
      <c r="W157" s="12"/>
    </row>
    <row r="158" spans="2:31" ht="21" customHeight="1" thickTop="1">
      <c r="B158" s="11"/>
      <c r="D158" s="698"/>
      <c r="E158" s="137"/>
      <c r="F158" s="136"/>
      <c r="G158" s="137"/>
      <c r="H158" s="138"/>
      <c r="I158" s="83"/>
      <c r="J158" s="136"/>
      <c r="K158" s="137"/>
      <c r="L158" s="85"/>
      <c r="M158" s="137"/>
      <c r="N158" s="136"/>
      <c r="O158" s="137"/>
      <c r="P158" s="136"/>
      <c r="Q158" s="83"/>
      <c r="R158" s="136"/>
      <c r="S158" s="137"/>
      <c r="T158" s="136"/>
      <c r="U158" s="137"/>
      <c r="V158" s="136"/>
      <c r="W158" s="12"/>
    </row>
    <row r="159" spans="2:31">
      <c r="B159" s="11"/>
      <c r="D159" s="698"/>
      <c r="E159" s="137"/>
      <c r="F159" s="138" t="s">
        <v>78</v>
      </c>
      <c r="G159" s="135" t="s">
        <v>60</v>
      </c>
      <c r="H159" s="138"/>
      <c r="I159" s="87"/>
      <c r="J159" s="695" t="s">
        <v>209</v>
      </c>
      <c r="K159" s="696"/>
      <c r="L159" s="85"/>
      <c r="M159" s="137"/>
      <c r="N159" s="141" t="s">
        <v>79</v>
      </c>
      <c r="O159" s="137"/>
      <c r="P159" s="136"/>
      <c r="Q159" s="83"/>
      <c r="R159" s="136"/>
      <c r="S159" s="142" t="s">
        <v>80</v>
      </c>
      <c r="T159" s="136"/>
      <c r="U159" s="137"/>
      <c r="V159" s="136"/>
      <c r="W159" s="12"/>
    </row>
    <row r="160" spans="2:31">
      <c r="B160" s="11"/>
      <c r="D160" s="136"/>
      <c r="E160" s="137"/>
      <c r="F160" s="138"/>
      <c r="G160" s="137"/>
      <c r="H160" s="138"/>
      <c r="I160" s="83"/>
      <c r="J160" s="136"/>
      <c r="K160" s="137"/>
      <c r="L160" s="85"/>
      <c r="M160" s="137"/>
      <c r="N160" s="136"/>
      <c r="O160" s="137"/>
      <c r="P160" s="136"/>
      <c r="Q160" s="83"/>
      <c r="R160" s="136"/>
      <c r="S160" s="142" t="s">
        <v>81</v>
      </c>
      <c r="T160" s="136"/>
      <c r="U160" s="137"/>
      <c r="V160" s="136"/>
      <c r="W160" s="12"/>
    </row>
    <row r="161" spans="2:23">
      <c r="B161" s="11"/>
      <c r="D161" s="137"/>
      <c r="E161" s="137"/>
      <c r="F161" s="143" t="s">
        <v>66</v>
      </c>
      <c r="G161" s="135" t="s">
        <v>82</v>
      </c>
      <c r="H161" s="138"/>
      <c r="I161" s="83"/>
      <c r="J161" s="136"/>
      <c r="K161" s="137"/>
      <c r="L161" s="85"/>
      <c r="M161" s="137"/>
      <c r="N161" s="135" t="s">
        <v>91</v>
      </c>
      <c r="O161" s="137"/>
      <c r="P161" s="136"/>
      <c r="Q161" s="83"/>
      <c r="R161" s="144"/>
      <c r="S161" s="137"/>
      <c r="T161" s="136"/>
      <c r="U161" s="137"/>
      <c r="V161" s="136"/>
      <c r="W161" s="12"/>
    </row>
    <row r="162" spans="2:23">
      <c r="B162" s="11"/>
      <c r="D162" s="137"/>
      <c r="E162" s="137"/>
      <c r="F162" s="138"/>
      <c r="G162" s="137"/>
      <c r="H162" s="137"/>
      <c r="I162" s="88"/>
      <c r="J162" s="134" t="s">
        <v>210</v>
      </c>
      <c r="K162" s="137"/>
      <c r="L162" s="85"/>
      <c r="M162" s="137"/>
      <c r="N162" s="145"/>
      <c r="O162" s="137"/>
      <c r="P162" s="136"/>
      <c r="Q162" s="83"/>
      <c r="R162" s="144"/>
      <c r="S162" s="146" t="s">
        <v>83</v>
      </c>
      <c r="T162" s="136"/>
      <c r="U162" s="137"/>
      <c r="V162" s="136"/>
      <c r="W162" s="12"/>
    </row>
    <row r="163" spans="2:23">
      <c r="B163" s="11"/>
      <c r="D163" s="137"/>
      <c r="E163" s="137"/>
      <c r="F163" s="147"/>
      <c r="G163" s="428" t="s">
        <v>639</v>
      </c>
      <c r="H163" s="138"/>
      <c r="I163" s="83"/>
      <c r="J163" s="136"/>
      <c r="K163" s="137"/>
      <c r="L163" s="85"/>
      <c r="M163" s="137"/>
      <c r="O163" s="137"/>
      <c r="P163" s="136"/>
      <c r="Q163" s="83"/>
      <c r="R163" s="136"/>
      <c r="S163" s="135"/>
      <c r="T163" s="136"/>
      <c r="U163" s="137"/>
      <c r="V163" s="136"/>
      <c r="W163" s="12"/>
    </row>
    <row r="164" spans="2:23">
      <c r="B164" s="11"/>
      <c r="D164" s="137"/>
      <c r="E164" s="137"/>
      <c r="F164" s="138"/>
      <c r="G164" s="137"/>
      <c r="H164" s="138"/>
      <c r="I164" s="83"/>
      <c r="J164" s="136"/>
      <c r="K164" s="137"/>
      <c r="L164" s="85"/>
      <c r="M164" s="137"/>
      <c r="N164" s="135" t="s">
        <v>370</v>
      </c>
      <c r="O164" s="137"/>
      <c r="P164" s="136"/>
      <c r="Q164" s="83"/>
      <c r="R164" s="136"/>
      <c r="S164" s="137"/>
      <c r="T164" s="136"/>
      <c r="U164" s="137"/>
      <c r="V164" s="136"/>
      <c r="W164" s="12"/>
    </row>
    <row r="165" spans="2:23">
      <c r="B165" s="11"/>
      <c r="D165" s="137"/>
      <c r="E165" s="137"/>
      <c r="F165" s="136" t="s">
        <v>85</v>
      </c>
      <c r="G165" s="137" t="s">
        <v>86</v>
      </c>
      <c r="H165" s="138"/>
      <c r="I165" s="83"/>
      <c r="J165" s="140" t="s">
        <v>87</v>
      </c>
      <c r="K165" s="137"/>
      <c r="L165" s="85"/>
      <c r="O165" s="137"/>
      <c r="P165" s="136"/>
      <c r="Q165" s="83"/>
      <c r="S165" s="135" t="s">
        <v>88</v>
      </c>
      <c r="T165" s="136"/>
      <c r="U165" s="137"/>
      <c r="V165" s="136"/>
      <c r="W165" s="12"/>
    </row>
    <row r="166" spans="2:23" ht="5.55" customHeight="1" thickBot="1">
      <c r="B166" s="21"/>
      <c r="C166" s="22"/>
      <c r="D166" s="25"/>
      <c r="E166" s="25"/>
      <c r="F166" s="25"/>
      <c r="G166" s="148"/>
      <c r="H166" s="27"/>
      <c r="I166" s="84"/>
      <c r="J166" s="28"/>
      <c r="K166" s="25"/>
      <c r="L166" s="86"/>
      <c r="M166" s="22"/>
      <c r="N166" s="26"/>
      <c r="O166" s="25"/>
      <c r="P166" s="28"/>
      <c r="Q166" s="84"/>
      <c r="R166" s="28"/>
      <c r="S166" s="25"/>
      <c r="T166" s="28"/>
      <c r="U166" s="25"/>
      <c r="V166" s="28"/>
      <c r="W166" s="29"/>
    </row>
    <row r="167" spans="2:23" ht="18.75" customHeight="1" thickBot="1">
      <c r="B167" s="703" t="s">
        <v>115</v>
      </c>
      <c r="C167" s="704"/>
      <c r="D167" s="704"/>
      <c r="E167" s="704"/>
      <c r="F167" s="704"/>
      <c r="G167" s="704"/>
      <c r="H167" s="704"/>
      <c r="I167" s="704"/>
      <c r="J167" s="704"/>
      <c r="K167" s="704"/>
      <c r="L167" s="704"/>
      <c r="M167" s="704"/>
      <c r="N167" s="704"/>
      <c r="O167" s="704"/>
      <c r="P167" s="704"/>
      <c r="Q167" s="704"/>
      <c r="R167" s="704"/>
      <c r="S167" s="704"/>
      <c r="T167" s="704"/>
      <c r="U167" s="704"/>
      <c r="V167" s="704"/>
      <c r="W167" s="705"/>
    </row>
    <row r="168" spans="2:23" ht="17.55" customHeight="1">
      <c r="B168" s="715" t="s">
        <v>99</v>
      </c>
      <c r="C168" s="706" t="s">
        <v>100</v>
      </c>
      <c r="D168" s="718" t="s">
        <v>97</v>
      </c>
      <c r="E168" s="718" t="s">
        <v>111</v>
      </c>
      <c r="F168" s="706" t="s">
        <v>101</v>
      </c>
      <c r="G168" s="706"/>
      <c r="H168" s="706"/>
      <c r="I168" s="706"/>
      <c r="J168" s="706"/>
      <c r="K168" s="706" t="s">
        <v>102</v>
      </c>
      <c r="L168" s="706"/>
      <c r="M168" s="706"/>
      <c r="N168" s="706" t="s">
        <v>103</v>
      </c>
      <c r="O168" s="706"/>
      <c r="P168" s="706"/>
      <c r="Q168" s="706"/>
      <c r="R168" s="706"/>
      <c r="S168" s="706" t="s">
        <v>104</v>
      </c>
      <c r="T168" s="706"/>
      <c r="U168" s="706"/>
      <c r="V168" s="706"/>
      <c r="W168" s="707"/>
    </row>
    <row r="169" spans="2:23" ht="21.75" customHeight="1">
      <c r="B169" s="716"/>
      <c r="C169" s="717"/>
      <c r="D169" s="719"/>
      <c r="E169" s="719"/>
      <c r="F169" s="51" t="s">
        <v>94</v>
      </c>
      <c r="G169" s="51" t="s">
        <v>56</v>
      </c>
      <c r="H169" s="51" t="s">
        <v>61</v>
      </c>
      <c r="I169" s="51" t="s">
        <v>95</v>
      </c>
      <c r="J169" s="51" t="s">
        <v>96</v>
      </c>
      <c r="K169" s="51" t="s">
        <v>94</v>
      </c>
      <c r="L169" s="51" t="s">
        <v>61</v>
      </c>
      <c r="M169" s="51" t="s">
        <v>96</v>
      </c>
      <c r="N169" s="51" t="s">
        <v>94</v>
      </c>
      <c r="O169" s="51" t="s">
        <v>56</v>
      </c>
      <c r="P169" s="51" t="s">
        <v>61</v>
      </c>
      <c r="Q169" s="51" t="s">
        <v>95</v>
      </c>
      <c r="R169" s="51" t="s">
        <v>96</v>
      </c>
      <c r="S169" s="51" t="s">
        <v>94</v>
      </c>
      <c r="T169" s="51" t="s">
        <v>56</v>
      </c>
      <c r="U169" s="51" t="s">
        <v>61</v>
      </c>
      <c r="V169" s="51" t="s">
        <v>95</v>
      </c>
      <c r="W169" s="42" t="s">
        <v>96</v>
      </c>
    </row>
    <row r="170" spans="2:23" ht="22.5" customHeight="1">
      <c r="B170" s="713" t="s">
        <v>226</v>
      </c>
      <c r="C170" s="125" t="s">
        <v>197</v>
      </c>
      <c r="D170" s="257">
        <v>15</v>
      </c>
      <c r="E170" s="459">
        <f>(W17+W26)/1000</f>
        <v>5.5670590000000004</v>
      </c>
      <c r="F170" s="279">
        <f>X33</f>
        <v>15</v>
      </c>
      <c r="G170" s="261">
        <f>X34</f>
        <v>0</v>
      </c>
      <c r="H170" s="261">
        <f>X35</f>
        <v>0</v>
      </c>
      <c r="I170" s="261">
        <f>X36</f>
        <v>0</v>
      </c>
      <c r="J170" s="257">
        <f>D170-F170</f>
        <v>0</v>
      </c>
      <c r="K170" s="257">
        <f>Y33</f>
        <v>15</v>
      </c>
      <c r="L170" s="261">
        <f>Y35</f>
        <v>0</v>
      </c>
      <c r="M170" s="276">
        <f t="shared" ref="M170:M173" si="5">D170-K170-L170</f>
        <v>0</v>
      </c>
      <c r="N170" s="257">
        <f>Z33</f>
        <v>11</v>
      </c>
      <c r="O170" s="261">
        <f>Z34</f>
        <v>1</v>
      </c>
      <c r="P170" s="261">
        <f>Z35</f>
        <v>1</v>
      </c>
      <c r="Q170" s="261">
        <v>1</v>
      </c>
      <c r="R170" s="257">
        <f>D170-N170</f>
        <v>4</v>
      </c>
      <c r="S170" s="262">
        <f>AB33</f>
        <v>0</v>
      </c>
      <c r="T170" s="531">
        <f>AB34</f>
        <v>0</v>
      </c>
      <c r="U170" s="531">
        <f>AB35</f>
        <v>0</v>
      </c>
      <c r="V170" s="531">
        <f>AB36</f>
        <v>0</v>
      </c>
      <c r="W170" s="532">
        <f>E170-S170</f>
        <v>5.5670590000000004</v>
      </c>
    </row>
    <row r="171" spans="2:23" s="49" customFormat="1" ht="28.95" customHeight="1" thickBot="1">
      <c r="B171" s="714"/>
      <c r="C171" s="55" t="s">
        <v>11</v>
      </c>
      <c r="D171" s="280">
        <f t="shared" ref="D171:W171" si="6">SUM(D170:D170)</f>
        <v>15</v>
      </c>
      <c r="E171" s="280">
        <f t="shared" si="6"/>
        <v>5.5670590000000004</v>
      </c>
      <c r="F171" s="280">
        <f t="shared" si="6"/>
        <v>15</v>
      </c>
      <c r="G171" s="277">
        <f t="shared" si="6"/>
        <v>0</v>
      </c>
      <c r="H171" s="277">
        <f t="shared" si="6"/>
        <v>0</v>
      </c>
      <c r="I171" s="277">
        <f t="shared" si="6"/>
        <v>0</v>
      </c>
      <c r="J171" s="277">
        <f t="shared" si="6"/>
        <v>0</v>
      </c>
      <c r="K171" s="277">
        <f t="shared" si="6"/>
        <v>15</v>
      </c>
      <c r="L171" s="277">
        <f t="shared" si="6"/>
        <v>0</v>
      </c>
      <c r="M171" s="277">
        <f t="shared" si="6"/>
        <v>0</v>
      </c>
      <c r="N171" s="277">
        <f t="shared" si="6"/>
        <v>11</v>
      </c>
      <c r="O171" s="277">
        <f t="shared" si="6"/>
        <v>1</v>
      </c>
      <c r="P171" s="277">
        <f t="shared" si="6"/>
        <v>1</v>
      </c>
      <c r="Q171" s="277">
        <f>Q170</f>
        <v>1</v>
      </c>
      <c r="R171" s="277">
        <f t="shared" si="6"/>
        <v>4</v>
      </c>
      <c r="S171" s="526">
        <f t="shared" si="6"/>
        <v>0</v>
      </c>
      <c r="T171" s="533">
        <f t="shared" si="6"/>
        <v>0</v>
      </c>
      <c r="U171" s="533">
        <f t="shared" si="6"/>
        <v>0</v>
      </c>
      <c r="V171" s="533">
        <f t="shared" si="6"/>
        <v>0</v>
      </c>
      <c r="W171" s="534">
        <f t="shared" si="6"/>
        <v>5.5670590000000004</v>
      </c>
    </row>
    <row r="172" spans="2:23" s="260" customFormat="1" ht="22.5" customHeight="1">
      <c r="B172" s="708" t="s">
        <v>227</v>
      </c>
      <c r="C172" s="256" t="s">
        <v>202</v>
      </c>
      <c r="D172" s="257">
        <v>50</v>
      </c>
      <c r="E172" s="460">
        <f>(W37+W46+W55+W65+W74)/1000</f>
        <v>19.308524000000002</v>
      </c>
      <c r="F172" s="258">
        <f>X79</f>
        <v>49</v>
      </c>
      <c r="G172" s="259">
        <f>X80</f>
        <v>0</v>
      </c>
      <c r="H172" s="259">
        <f>X81</f>
        <v>0</v>
      </c>
      <c r="I172" s="259">
        <f>X82</f>
        <v>0</v>
      </c>
      <c r="J172" s="258">
        <f t="shared" ref="J172:J173" si="7">D172-F172</f>
        <v>1</v>
      </c>
      <c r="K172" s="258">
        <f>Y79</f>
        <v>49</v>
      </c>
      <c r="L172" s="259">
        <f>Y81</f>
        <v>0</v>
      </c>
      <c r="M172" s="276">
        <f t="shared" si="5"/>
        <v>1</v>
      </c>
      <c r="N172" s="258">
        <f>Z79</f>
        <v>43</v>
      </c>
      <c r="O172" s="259">
        <f>Z80</f>
        <v>2</v>
      </c>
      <c r="P172" s="259">
        <f>Z81</f>
        <v>0</v>
      </c>
      <c r="Q172" s="259">
        <v>4</v>
      </c>
      <c r="R172" s="258">
        <f t="shared" ref="R172:R173" si="8">D172-N172</f>
        <v>7</v>
      </c>
      <c r="S172" s="527">
        <f>AB79/1000</f>
        <v>1.1057840000000001</v>
      </c>
      <c r="T172" s="535">
        <f>AB80/1000</f>
        <v>2.4732080000000001</v>
      </c>
      <c r="U172" s="535">
        <f>AB81</f>
        <v>0</v>
      </c>
      <c r="V172" s="535">
        <f>AB82</f>
        <v>0</v>
      </c>
      <c r="W172" s="536">
        <f t="shared" ref="W172:W173" si="9">E172-S172</f>
        <v>18.202740000000002</v>
      </c>
    </row>
    <row r="173" spans="2:23" s="260" customFormat="1" ht="22.5" customHeight="1">
      <c r="B173" s="709"/>
      <c r="C173" s="256" t="s">
        <v>217</v>
      </c>
      <c r="D173" s="257">
        <v>62</v>
      </c>
      <c r="E173" s="459">
        <f>(W83+W92+W101+W110+W119+W129+W139)/1000</f>
        <v>22.960121000000001</v>
      </c>
      <c r="F173" s="257">
        <f>X147</f>
        <v>51</v>
      </c>
      <c r="G173" s="261">
        <f>X148</f>
        <v>0</v>
      </c>
      <c r="H173" s="261">
        <f>X149</f>
        <v>0</v>
      </c>
      <c r="I173" s="261">
        <f>X150</f>
        <v>0</v>
      </c>
      <c r="J173" s="257">
        <f t="shared" si="7"/>
        <v>11</v>
      </c>
      <c r="K173" s="257">
        <f>Y147</f>
        <v>46</v>
      </c>
      <c r="L173" s="261">
        <f>Y149</f>
        <v>0</v>
      </c>
      <c r="M173" s="278">
        <f t="shared" si="5"/>
        <v>16</v>
      </c>
      <c r="N173" s="257">
        <f>Z147</f>
        <v>26</v>
      </c>
      <c r="O173" s="261">
        <f>Z148</f>
        <v>3</v>
      </c>
      <c r="P173" s="261">
        <f>Z149</f>
        <v>2</v>
      </c>
      <c r="Q173" s="261">
        <v>1</v>
      </c>
      <c r="R173" s="257">
        <f t="shared" si="8"/>
        <v>36</v>
      </c>
      <c r="S173" s="528">
        <f>AB147/1000</f>
        <v>0</v>
      </c>
      <c r="T173" s="531">
        <f>AB148/1000</f>
        <v>0</v>
      </c>
      <c r="U173" s="531">
        <f>AB149</f>
        <v>0</v>
      </c>
      <c r="V173" s="531">
        <f>AB150</f>
        <v>0</v>
      </c>
      <c r="W173" s="532">
        <f t="shared" si="9"/>
        <v>22.960121000000001</v>
      </c>
    </row>
    <row r="174" spans="2:23" s="265" customFormat="1" ht="22.5" customHeight="1">
      <c r="B174" s="710"/>
      <c r="C174" s="263" t="s">
        <v>11</v>
      </c>
      <c r="D174" s="263">
        <f>SUM(D172:D173)</f>
        <v>112</v>
      </c>
      <c r="E174" s="263">
        <f t="shared" ref="E174:W174" si="10">SUM(E172:E173)</f>
        <v>42.268645000000006</v>
      </c>
      <c r="F174" s="263">
        <f t="shared" si="10"/>
        <v>100</v>
      </c>
      <c r="G174" s="264">
        <f t="shared" si="10"/>
        <v>0</v>
      </c>
      <c r="H174" s="264">
        <f t="shared" si="10"/>
        <v>0</v>
      </c>
      <c r="I174" s="264">
        <f t="shared" si="10"/>
        <v>0</v>
      </c>
      <c r="J174" s="264">
        <f t="shared" si="10"/>
        <v>12</v>
      </c>
      <c r="K174" s="264">
        <f t="shared" si="10"/>
        <v>95</v>
      </c>
      <c r="L174" s="264">
        <f t="shared" si="10"/>
        <v>0</v>
      </c>
      <c r="M174" s="264">
        <f t="shared" si="10"/>
        <v>17</v>
      </c>
      <c r="N174" s="264">
        <f t="shared" si="10"/>
        <v>69</v>
      </c>
      <c r="O174" s="264">
        <f t="shared" si="10"/>
        <v>5</v>
      </c>
      <c r="P174" s="264">
        <f t="shared" si="10"/>
        <v>2</v>
      </c>
      <c r="Q174" s="264">
        <f t="shared" si="10"/>
        <v>5</v>
      </c>
      <c r="R174" s="264">
        <f t="shared" si="10"/>
        <v>43</v>
      </c>
      <c r="S174" s="529">
        <f t="shared" si="10"/>
        <v>1.1057840000000001</v>
      </c>
      <c r="T174" s="537">
        <f t="shared" si="10"/>
        <v>2.4732080000000001</v>
      </c>
      <c r="U174" s="537">
        <f t="shared" si="10"/>
        <v>0</v>
      </c>
      <c r="V174" s="537">
        <f t="shared" si="10"/>
        <v>0</v>
      </c>
      <c r="W174" s="538">
        <f t="shared" si="10"/>
        <v>41.162861000000007</v>
      </c>
    </row>
    <row r="175" spans="2:23" s="268" customFormat="1" ht="25.5" customHeight="1" thickBot="1">
      <c r="B175" s="711" t="s">
        <v>11</v>
      </c>
      <c r="C175" s="712"/>
      <c r="D175" s="266">
        <f>D171+D174</f>
        <v>127</v>
      </c>
      <c r="E175" s="266">
        <f t="shared" ref="E175:W175" si="11">E171+E174</f>
        <v>47.835704000000007</v>
      </c>
      <c r="F175" s="266">
        <f t="shared" si="11"/>
        <v>115</v>
      </c>
      <c r="G175" s="267">
        <f t="shared" si="11"/>
        <v>0</v>
      </c>
      <c r="H175" s="267">
        <f t="shared" si="11"/>
        <v>0</v>
      </c>
      <c r="I175" s="267">
        <f t="shared" si="11"/>
        <v>0</v>
      </c>
      <c r="J175" s="267">
        <f t="shared" si="11"/>
        <v>12</v>
      </c>
      <c r="K175" s="267">
        <f t="shared" si="11"/>
        <v>110</v>
      </c>
      <c r="L175" s="267">
        <f t="shared" si="11"/>
        <v>0</v>
      </c>
      <c r="M175" s="267">
        <f t="shared" si="11"/>
        <v>17</v>
      </c>
      <c r="N175" s="267">
        <f t="shared" si="11"/>
        <v>80</v>
      </c>
      <c r="O175" s="267">
        <f t="shared" si="11"/>
        <v>6</v>
      </c>
      <c r="P175" s="267">
        <f t="shared" si="11"/>
        <v>3</v>
      </c>
      <c r="Q175" s="267">
        <v>6</v>
      </c>
      <c r="R175" s="267">
        <f t="shared" si="11"/>
        <v>47</v>
      </c>
      <c r="S175" s="530">
        <f t="shared" si="11"/>
        <v>1.1057840000000001</v>
      </c>
      <c r="T175" s="539">
        <f t="shared" si="11"/>
        <v>2.4732080000000001</v>
      </c>
      <c r="U175" s="539">
        <f t="shared" si="11"/>
        <v>0</v>
      </c>
      <c r="V175" s="539">
        <f t="shared" si="11"/>
        <v>0</v>
      </c>
      <c r="W175" s="540">
        <f t="shared" si="11"/>
        <v>46.729920000000007</v>
      </c>
    </row>
    <row r="177" spans="7:7">
      <c r="G177" s="50"/>
    </row>
    <row r="180" spans="7:7">
      <c r="G180" s="50"/>
    </row>
  </sheetData>
  <mergeCells count="129">
    <mergeCell ref="B167:W167"/>
    <mergeCell ref="S168:W168"/>
    <mergeCell ref="B172:B174"/>
    <mergeCell ref="N168:R168"/>
    <mergeCell ref="B175:C175"/>
    <mergeCell ref="B170:B171"/>
    <mergeCell ref="B168:B169"/>
    <mergeCell ref="C168:C169"/>
    <mergeCell ref="D168:D169"/>
    <mergeCell ref="E168:E169"/>
    <mergeCell ref="F168:J168"/>
    <mergeCell ref="K168:M168"/>
    <mergeCell ref="J159:K159"/>
    <mergeCell ref="J52:L52"/>
    <mergeCell ref="B13:W13"/>
    <mergeCell ref="S125:T125"/>
    <mergeCell ref="J124:Q124"/>
    <mergeCell ref="R124:V124"/>
    <mergeCell ref="E70:Q70"/>
    <mergeCell ref="C79:K79"/>
    <mergeCell ref="L79:O79"/>
    <mergeCell ref="D158:D159"/>
    <mergeCell ref="H134:K134"/>
    <mergeCell ref="T98:V98"/>
    <mergeCell ref="T107:U107"/>
    <mergeCell ref="C88:V88"/>
    <mergeCell ref="C97:N97"/>
    <mergeCell ref="O97:S97"/>
    <mergeCell ref="T97:V97"/>
    <mergeCell ref="C106:K106"/>
    <mergeCell ref="L106:M106"/>
    <mergeCell ref="C52:E52"/>
    <mergeCell ref="L43:M43"/>
    <mergeCell ref="B34:W34"/>
    <mergeCell ref="O52:Q52"/>
    <mergeCell ref="C144:G144"/>
    <mergeCell ref="C12:F12"/>
    <mergeCell ref="G12:H12"/>
    <mergeCell ref="C1:V1"/>
    <mergeCell ref="U3:V3"/>
    <mergeCell ref="U9:V9"/>
    <mergeCell ref="U5:V5"/>
    <mergeCell ref="C135:E135"/>
    <mergeCell ref="D23:F23"/>
    <mergeCell ref="S23:U23"/>
    <mergeCell ref="G43:H43"/>
    <mergeCell ref="T43:U43"/>
    <mergeCell ref="B14:W14"/>
    <mergeCell ref="F22:V22"/>
    <mergeCell ref="C31:K31"/>
    <mergeCell ref="C42:K42"/>
    <mergeCell ref="L42:V42"/>
    <mergeCell ref="O32:Q32"/>
    <mergeCell ref="P31:Q31"/>
    <mergeCell ref="R31:V31"/>
    <mergeCell ref="C22:E22"/>
    <mergeCell ref="C124:I124"/>
    <mergeCell ref="C89:E89"/>
    <mergeCell ref="C32:E32"/>
    <mergeCell ref="N125:O125"/>
    <mergeCell ref="C51:N51"/>
    <mergeCell ref="O51:R51"/>
    <mergeCell ref="S51:V51"/>
    <mergeCell ref="C60:F60"/>
    <mergeCell ref="G60:J60"/>
    <mergeCell ref="K60:L60"/>
    <mergeCell ref="M60:U60"/>
    <mergeCell ref="C115:E115"/>
    <mergeCell ref="F115:O115"/>
    <mergeCell ref="P115:V115"/>
    <mergeCell ref="C80:D80"/>
    <mergeCell ref="T71:U71"/>
    <mergeCell ref="C70:D70"/>
    <mergeCell ref="J61:L61"/>
    <mergeCell ref="R70:V70"/>
    <mergeCell ref="R61:S61"/>
    <mergeCell ref="P79:V79"/>
    <mergeCell ref="T80:U80"/>
    <mergeCell ref="N106:O106"/>
    <mergeCell ref="P106:Q106"/>
    <mergeCell ref="R106:V106"/>
    <mergeCell ref="U89:V89"/>
    <mergeCell ref="J98:K98"/>
    <mergeCell ref="O7:Q7"/>
    <mergeCell ref="C8:F8"/>
    <mergeCell ref="G8:H8"/>
    <mergeCell ref="I8:K8"/>
    <mergeCell ref="L8:N8"/>
    <mergeCell ref="O8:Q8"/>
    <mergeCell ref="U7:V7"/>
    <mergeCell ref="B3:Q3"/>
    <mergeCell ref="B4:Q4"/>
    <mergeCell ref="C5:F5"/>
    <mergeCell ref="G5:H5"/>
    <mergeCell ref="I5:K5"/>
    <mergeCell ref="L5:N5"/>
    <mergeCell ref="O5:Q5"/>
    <mergeCell ref="C6:F6"/>
    <mergeCell ref="G6:H6"/>
    <mergeCell ref="I6:K6"/>
    <mergeCell ref="L6:N6"/>
    <mergeCell ref="O6:Q6"/>
    <mergeCell ref="C7:F7"/>
    <mergeCell ref="G7:H7"/>
    <mergeCell ref="I7:K7"/>
    <mergeCell ref="C134:D134"/>
    <mergeCell ref="E134:G134"/>
    <mergeCell ref="L134:U134"/>
    <mergeCell ref="V134:W134"/>
    <mergeCell ref="I12:K12"/>
    <mergeCell ref="L12:N12"/>
    <mergeCell ref="O12:Q12"/>
    <mergeCell ref="B2:V2"/>
    <mergeCell ref="C11:F11"/>
    <mergeCell ref="G11:H11"/>
    <mergeCell ref="I11:K11"/>
    <mergeCell ref="L11:N11"/>
    <mergeCell ref="O11:Q11"/>
    <mergeCell ref="C10:F10"/>
    <mergeCell ref="G10:H10"/>
    <mergeCell ref="I10:K10"/>
    <mergeCell ref="L10:N10"/>
    <mergeCell ref="O10:Q10"/>
    <mergeCell ref="C9:F9"/>
    <mergeCell ref="G9:H9"/>
    <mergeCell ref="I9:K9"/>
    <mergeCell ref="L9:N9"/>
    <mergeCell ref="O9:Q9"/>
    <mergeCell ref="L7:N7"/>
  </mergeCells>
  <printOptions horizontalCentered="1"/>
  <pageMargins left="0" right="0" top="0.70866141732283472" bottom="0.19685039370078741" header="3.937007874015748E-2" footer="3.937007874015748E-2"/>
  <pageSetup paperSize="9" scale="70" fitToHeight="0" orientation="landscape" errors="blank" horizontalDpi="4294967292" r:id="rId1"/>
  <rowBreaks count="3" manualBreakCount="3">
    <brk id="52" min="1" max="22" man="1"/>
    <brk id="98" min="1" max="22" man="1"/>
    <brk id="144" min="1" max="22" man="1"/>
  </rowBreaks>
  <colBreaks count="1" manualBreakCount="1">
    <brk id="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E11" sqref="E11"/>
    </sheetView>
  </sheetViews>
  <sheetFormatPr defaultColWidth="9.21875" defaultRowHeight="15.6"/>
  <cols>
    <col min="1" max="1" width="6.21875" style="45" customWidth="1"/>
    <col min="2" max="5" width="21" style="450" customWidth="1"/>
    <col min="6" max="7" width="21" style="45" customWidth="1"/>
    <col min="8" max="8" width="32.77734375" style="45" customWidth="1"/>
    <col min="9" max="9" width="7.21875" style="45" customWidth="1"/>
    <col min="10" max="10" width="15.77734375" style="45" customWidth="1"/>
    <col min="11" max="11" width="12.109375" style="45" customWidth="1"/>
    <col min="12" max="12" width="15.33203125" style="45" customWidth="1"/>
    <col min="13" max="13" width="14.33203125" style="45" customWidth="1"/>
    <col min="14" max="14" width="17.88671875" style="45" customWidth="1"/>
    <col min="15" max="15" width="17.77734375" style="45" customWidth="1"/>
    <col min="16" max="16" width="15.21875" style="45" customWidth="1"/>
    <col min="17" max="16384" width="9.21875" style="45"/>
  </cols>
  <sheetData>
    <row r="1" spans="1:8" ht="24.75" customHeight="1">
      <c r="A1" s="720" t="s">
        <v>659</v>
      </c>
      <c r="B1" s="721"/>
      <c r="C1" s="721"/>
      <c r="D1" s="721"/>
      <c r="E1" s="721"/>
      <c r="F1" s="721"/>
      <c r="G1" s="721"/>
      <c r="H1" s="721"/>
    </row>
    <row r="2" spans="1:8" s="444" customFormat="1" ht="54" customHeight="1">
      <c r="A2" s="441" t="s">
        <v>440</v>
      </c>
      <c r="B2" s="442" t="s">
        <v>657</v>
      </c>
      <c r="C2" s="441" t="s">
        <v>14</v>
      </c>
      <c r="D2" s="441" t="s">
        <v>664</v>
      </c>
      <c r="E2" s="441" t="s">
        <v>100</v>
      </c>
      <c r="F2" s="443" t="s">
        <v>658</v>
      </c>
      <c r="G2" s="443" t="s">
        <v>660</v>
      </c>
      <c r="H2" s="443" t="s">
        <v>661</v>
      </c>
    </row>
    <row r="3" spans="1:8" ht="18" customHeight="1">
      <c r="A3" s="445"/>
      <c r="B3" s="445"/>
      <c r="C3" s="445"/>
      <c r="D3" s="445"/>
      <c r="E3" s="445"/>
      <c r="F3" s="445"/>
      <c r="G3" s="445"/>
      <c r="H3" s="445"/>
    </row>
    <row r="4" spans="1:8" ht="19.95" customHeight="1">
      <c r="A4" s="43">
        <v>1</v>
      </c>
      <c r="B4" s="448" t="s">
        <v>22</v>
      </c>
      <c r="C4" s="448" t="s">
        <v>566</v>
      </c>
      <c r="D4" s="448" t="s">
        <v>666</v>
      </c>
      <c r="E4" s="446" t="s">
        <v>665</v>
      </c>
      <c r="F4" s="451" t="s">
        <v>61</v>
      </c>
      <c r="G4" s="451" t="s">
        <v>61</v>
      </c>
      <c r="H4" s="452" t="s">
        <v>662</v>
      </c>
    </row>
    <row r="5" spans="1:8" ht="19.95" customHeight="1">
      <c r="A5" s="43">
        <f>A4+1</f>
        <v>2</v>
      </c>
      <c r="B5" s="447" t="s">
        <v>628</v>
      </c>
      <c r="C5" s="447" t="s">
        <v>461</v>
      </c>
      <c r="D5" s="447" t="s">
        <v>668</v>
      </c>
      <c r="E5" s="447" t="s">
        <v>667</v>
      </c>
      <c r="F5" s="287" t="s">
        <v>61</v>
      </c>
      <c r="G5" s="451" t="s">
        <v>61</v>
      </c>
      <c r="H5" s="452" t="s">
        <v>662</v>
      </c>
    </row>
    <row r="6" spans="1:8" ht="19.95" customHeight="1">
      <c r="A6" s="43">
        <f t="shared" ref="A6:A15" si="0">A5+1</f>
        <v>3</v>
      </c>
      <c r="B6" s="447" t="s">
        <v>629</v>
      </c>
      <c r="C6" s="447" t="s">
        <v>520</v>
      </c>
      <c r="D6" s="447" t="s">
        <v>668</v>
      </c>
      <c r="E6" s="447" t="s">
        <v>667</v>
      </c>
      <c r="F6" s="287" t="s">
        <v>61</v>
      </c>
      <c r="G6" s="451" t="s">
        <v>61</v>
      </c>
      <c r="H6" s="452" t="s">
        <v>662</v>
      </c>
    </row>
    <row r="7" spans="1:8" ht="19.95" customHeight="1">
      <c r="A7" s="43">
        <f t="shared" si="0"/>
        <v>4</v>
      </c>
      <c r="B7" s="446" t="s">
        <v>41</v>
      </c>
      <c r="C7" s="446" t="s">
        <v>471</v>
      </c>
      <c r="D7" s="446" t="s">
        <v>669</v>
      </c>
      <c r="E7" s="446" t="s">
        <v>667</v>
      </c>
      <c r="F7" s="287" t="s">
        <v>61</v>
      </c>
      <c r="G7" s="451" t="s">
        <v>61</v>
      </c>
      <c r="H7" s="452" t="s">
        <v>662</v>
      </c>
    </row>
    <row r="8" spans="1:8" ht="19.95" customHeight="1">
      <c r="A8" s="43">
        <f t="shared" si="0"/>
        <v>5</v>
      </c>
      <c r="B8" s="446" t="s">
        <v>42</v>
      </c>
      <c r="C8" s="446" t="s">
        <v>472</v>
      </c>
      <c r="D8" s="446" t="s">
        <v>669</v>
      </c>
      <c r="E8" s="446" t="s">
        <v>667</v>
      </c>
      <c r="F8" s="287" t="s">
        <v>85</v>
      </c>
      <c r="G8" s="451" t="s">
        <v>61</v>
      </c>
      <c r="H8" s="452" t="s">
        <v>662</v>
      </c>
    </row>
    <row r="9" spans="1:8" ht="19.95" customHeight="1">
      <c r="A9" s="43">
        <f t="shared" si="0"/>
        <v>6</v>
      </c>
      <c r="B9" s="446" t="s">
        <v>43</v>
      </c>
      <c r="C9" s="446" t="s">
        <v>473</v>
      </c>
      <c r="D9" s="446" t="s">
        <v>669</v>
      </c>
      <c r="E9" s="446" t="s">
        <v>667</v>
      </c>
      <c r="F9" s="287" t="s">
        <v>61</v>
      </c>
      <c r="G9" s="451" t="s">
        <v>61</v>
      </c>
      <c r="H9" s="452" t="s">
        <v>662</v>
      </c>
    </row>
    <row r="10" spans="1:8" ht="19.95" customHeight="1">
      <c r="A10" s="43">
        <f t="shared" si="0"/>
        <v>7</v>
      </c>
      <c r="B10" s="447" t="s">
        <v>182</v>
      </c>
      <c r="C10" s="447" t="s">
        <v>458</v>
      </c>
      <c r="D10" s="447" t="s">
        <v>670</v>
      </c>
      <c r="E10" s="447" t="s">
        <v>667</v>
      </c>
      <c r="F10" s="287" t="s">
        <v>61</v>
      </c>
      <c r="G10" s="451" t="s">
        <v>663</v>
      </c>
      <c r="H10" s="452" t="s">
        <v>662</v>
      </c>
    </row>
    <row r="11" spans="1:8" ht="19.95" customHeight="1">
      <c r="A11" s="43">
        <f t="shared" si="0"/>
        <v>8</v>
      </c>
      <c r="B11" s="447" t="s">
        <v>183</v>
      </c>
      <c r="C11" s="447" t="s">
        <v>460</v>
      </c>
      <c r="D11" s="447" t="s">
        <v>670</v>
      </c>
      <c r="E11" s="447" t="s">
        <v>667</v>
      </c>
      <c r="F11" s="287" t="s">
        <v>61</v>
      </c>
      <c r="G11" s="451" t="s">
        <v>61</v>
      </c>
      <c r="H11" s="452" t="s">
        <v>662</v>
      </c>
    </row>
    <row r="12" spans="1:8" ht="19.95" customHeight="1">
      <c r="A12" s="43">
        <f t="shared" si="0"/>
        <v>9</v>
      </c>
      <c r="B12" s="446" t="s">
        <v>54</v>
      </c>
      <c r="C12" s="446" t="s">
        <v>475</v>
      </c>
      <c r="D12" s="446" t="s">
        <v>671</v>
      </c>
      <c r="E12" s="446" t="s">
        <v>672</v>
      </c>
      <c r="F12" s="287" t="s">
        <v>61</v>
      </c>
      <c r="G12" s="451" t="s">
        <v>61</v>
      </c>
      <c r="H12" s="452" t="s">
        <v>662</v>
      </c>
    </row>
    <row r="13" spans="1:8" ht="19.95" customHeight="1">
      <c r="A13" s="43">
        <f t="shared" si="0"/>
        <v>10</v>
      </c>
      <c r="B13" s="447" t="s">
        <v>568</v>
      </c>
      <c r="C13" s="447" t="s">
        <v>460</v>
      </c>
      <c r="D13" s="447" t="s">
        <v>673</v>
      </c>
      <c r="E13" s="447" t="s">
        <v>672</v>
      </c>
      <c r="F13" s="287" t="s">
        <v>61</v>
      </c>
      <c r="G13" s="451" t="s">
        <v>61</v>
      </c>
      <c r="H13" s="452" t="s">
        <v>662</v>
      </c>
    </row>
    <row r="14" spans="1:8" ht="19.95" customHeight="1">
      <c r="A14" s="43">
        <f t="shared" si="0"/>
        <v>11</v>
      </c>
      <c r="B14" s="447" t="s">
        <v>572</v>
      </c>
      <c r="C14" s="447" t="s">
        <v>458</v>
      </c>
      <c r="D14" s="447" t="s">
        <v>674</v>
      </c>
      <c r="E14" s="447" t="s">
        <v>672</v>
      </c>
      <c r="F14" s="287" t="s">
        <v>61</v>
      </c>
      <c r="G14" s="451" t="s">
        <v>61</v>
      </c>
      <c r="H14" s="452" t="s">
        <v>662</v>
      </c>
    </row>
    <row r="15" spans="1:8" ht="19.95" customHeight="1">
      <c r="A15" s="43">
        <f t="shared" si="0"/>
        <v>12</v>
      </c>
      <c r="B15" s="446" t="s">
        <v>620</v>
      </c>
      <c r="C15" s="446" t="s">
        <v>523</v>
      </c>
      <c r="D15" s="446" t="s">
        <v>675</v>
      </c>
      <c r="E15" s="446" t="s">
        <v>672</v>
      </c>
      <c r="F15" s="287" t="s">
        <v>61</v>
      </c>
      <c r="G15" s="451" t="s">
        <v>61</v>
      </c>
      <c r="H15" s="452" t="s">
        <v>662</v>
      </c>
    </row>
    <row r="16" spans="1:8">
      <c r="A16" s="43"/>
      <c r="B16" s="449" t="s">
        <v>630</v>
      </c>
      <c r="C16" s="449" t="s">
        <v>630</v>
      </c>
      <c r="D16" s="446" t="s">
        <v>675</v>
      </c>
      <c r="E16" s="446" t="s">
        <v>672</v>
      </c>
      <c r="F16" s="287"/>
      <c r="G16" s="287"/>
      <c r="H16" s="287"/>
    </row>
    <row r="17" spans="1:8">
      <c r="A17" s="43"/>
      <c r="B17" s="447"/>
      <c r="C17" s="447"/>
      <c r="D17" s="447"/>
      <c r="E17" s="447"/>
      <c r="F17" s="287"/>
      <c r="G17" s="287"/>
      <c r="H17" s="287"/>
    </row>
  </sheetData>
  <autoFilter ref="A3:AD16" xr:uid="{00000000-0009-0000-0000-000003000000}"/>
  <mergeCells count="1">
    <mergeCell ref="A1:H1"/>
  </mergeCells>
  <conditionalFormatting sqref="H1:H1048576">
    <cfRule type="containsText" dxfId="15" priority="5" operator="containsText" text="Pending">
      <formula>NOT(ISERROR(SEARCH("Pending",H1)))</formula>
    </cfRule>
  </conditionalFormatting>
  <conditionalFormatting sqref="H4:H17 F5:F17">
    <cfRule type="containsText" dxfId="14" priority="19" operator="containsText" text="WIP">
      <formula>NOT(ISERROR(SEARCH("WIP",F4)))</formula>
    </cfRule>
    <cfRule type="containsText" dxfId="13" priority="20" operator="containsText" text="ROW">
      <formula>NOT(ISERROR(SEARCH("ROW",F4)))</formula>
    </cfRule>
    <cfRule type="containsText" dxfId="12" priority="21" operator="containsText" text="Pending">
      <formula>NOT(ISERROR(SEARCH("Pending",F4)))</formula>
    </cfRule>
    <cfRule type="containsText" dxfId="11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52"/>
  <sheetViews>
    <sheetView topLeftCell="A6" workbookViewId="0">
      <selection activeCell="G36" sqref="G36"/>
    </sheetView>
  </sheetViews>
  <sheetFormatPr defaultRowHeight="14.4"/>
  <cols>
    <col min="3" max="3" width="14.109375" customWidth="1"/>
    <col min="4" max="5" width="17.77734375" customWidth="1"/>
    <col min="6" max="6" width="15.109375" customWidth="1"/>
    <col min="7" max="7" width="21.5546875" customWidth="1"/>
  </cols>
  <sheetData>
    <row r="4" spans="1:7" ht="15.6">
      <c r="A4" s="441" t="s">
        <v>440</v>
      </c>
      <c r="B4" s="442" t="s">
        <v>657</v>
      </c>
      <c r="C4" s="441" t="s">
        <v>14</v>
      </c>
      <c r="D4" s="443" t="s">
        <v>658</v>
      </c>
      <c r="E4" s="443" t="s">
        <v>731</v>
      </c>
      <c r="F4" s="443" t="s">
        <v>660</v>
      </c>
      <c r="G4" s="443" t="s">
        <v>661</v>
      </c>
    </row>
    <row r="5" spans="1:7">
      <c r="A5" s="445"/>
      <c r="B5" s="445"/>
      <c r="C5" s="445"/>
      <c r="D5" s="445"/>
      <c r="E5" s="445"/>
      <c r="F5" s="445"/>
      <c r="G5" s="445"/>
    </row>
    <row r="6" spans="1:7" ht="15.6">
      <c r="A6" s="43">
        <v>1</v>
      </c>
      <c r="B6" s="446" t="s">
        <v>23</v>
      </c>
      <c r="C6" s="446" t="s">
        <v>474</v>
      </c>
      <c r="D6" s="288" t="s">
        <v>732</v>
      </c>
      <c r="E6" s="288" t="s">
        <v>733</v>
      </c>
      <c r="F6" s="451" t="s">
        <v>61</v>
      </c>
      <c r="G6" s="452" t="s">
        <v>662</v>
      </c>
    </row>
    <row r="7" spans="1:7">
      <c r="A7" s="43">
        <f>A6+1</f>
        <v>2</v>
      </c>
      <c r="B7" s="506" t="s">
        <v>24</v>
      </c>
      <c r="C7" s="448" t="s">
        <v>521</v>
      </c>
      <c r="D7" s="288" t="s">
        <v>732</v>
      </c>
      <c r="E7" s="288" t="s">
        <v>733</v>
      </c>
      <c r="F7" s="451" t="s">
        <v>61</v>
      </c>
      <c r="G7" s="452" t="s">
        <v>662</v>
      </c>
    </row>
    <row r="8" spans="1:7">
      <c r="A8" s="43">
        <f t="shared" ref="A8:A52" si="0">A7+1</f>
        <v>3</v>
      </c>
      <c r="B8" s="290" t="s">
        <v>118</v>
      </c>
      <c r="C8" s="287" t="s">
        <v>460</v>
      </c>
      <c r="D8" s="288" t="s">
        <v>732</v>
      </c>
      <c r="E8" s="288" t="s">
        <v>56</v>
      </c>
      <c r="F8" s="507" t="s">
        <v>56</v>
      </c>
      <c r="G8" s="507" t="s">
        <v>56</v>
      </c>
    </row>
    <row r="9" spans="1:7">
      <c r="A9" s="43">
        <f t="shared" si="0"/>
        <v>4</v>
      </c>
      <c r="B9" s="287" t="s">
        <v>121</v>
      </c>
      <c r="C9" s="287" t="s">
        <v>459</v>
      </c>
      <c r="D9" s="288" t="s">
        <v>732</v>
      </c>
      <c r="E9" s="288" t="s">
        <v>733</v>
      </c>
      <c r="F9" s="451" t="s">
        <v>61</v>
      </c>
      <c r="G9" s="516" t="s">
        <v>662</v>
      </c>
    </row>
    <row r="10" spans="1:7">
      <c r="A10" s="43">
        <f t="shared" si="0"/>
        <v>5</v>
      </c>
      <c r="B10" s="448" t="s">
        <v>22</v>
      </c>
      <c r="C10" s="448" t="s">
        <v>566</v>
      </c>
      <c r="D10" s="288" t="s">
        <v>733</v>
      </c>
      <c r="E10" s="288" t="s">
        <v>733</v>
      </c>
      <c r="F10" s="451" t="s">
        <v>61</v>
      </c>
      <c r="G10" s="452" t="s">
        <v>662</v>
      </c>
    </row>
    <row r="11" spans="1:7">
      <c r="A11" s="43">
        <f t="shared" si="0"/>
        <v>6</v>
      </c>
      <c r="B11" s="448" t="s">
        <v>29</v>
      </c>
      <c r="C11" s="448" t="s">
        <v>521</v>
      </c>
      <c r="D11" s="288" t="s">
        <v>732</v>
      </c>
      <c r="E11" s="288" t="s">
        <v>733</v>
      </c>
      <c r="F11" s="451" t="s">
        <v>61</v>
      </c>
      <c r="G11" s="452" t="s">
        <v>662</v>
      </c>
    </row>
    <row r="12" spans="1:7" ht="15.6">
      <c r="A12" s="43">
        <f t="shared" si="0"/>
        <v>7</v>
      </c>
      <c r="B12" s="447" t="s">
        <v>152</v>
      </c>
      <c r="C12" s="447" t="s">
        <v>458</v>
      </c>
      <c r="D12" s="288" t="s">
        <v>732</v>
      </c>
      <c r="E12" s="288" t="s">
        <v>733</v>
      </c>
      <c r="F12" s="451" t="s">
        <v>61</v>
      </c>
      <c r="G12" s="452" t="s">
        <v>662</v>
      </c>
    </row>
    <row r="13" spans="1:7" ht="15.6">
      <c r="A13" s="43">
        <f t="shared" si="0"/>
        <v>8</v>
      </c>
      <c r="B13" s="447" t="s">
        <v>153</v>
      </c>
      <c r="C13" s="447" t="s">
        <v>460</v>
      </c>
      <c r="D13" s="288" t="s">
        <v>732</v>
      </c>
      <c r="E13" s="288" t="s">
        <v>733</v>
      </c>
      <c r="F13" s="451" t="s">
        <v>61</v>
      </c>
      <c r="G13" s="452" t="s">
        <v>662</v>
      </c>
    </row>
    <row r="14" spans="1:7" ht="15.6">
      <c r="A14" s="43">
        <f t="shared" si="0"/>
        <v>9</v>
      </c>
      <c r="B14" s="446" t="s">
        <v>34</v>
      </c>
      <c r="C14" s="446" t="s">
        <v>470</v>
      </c>
      <c r="D14" s="288" t="s">
        <v>732</v>
      </c>
      <c r="E14" s="288" t="s">
        <v>56</v>
      </c>
      <c r="F14" s="507" t="s">
        <v>56</v>
      </c>
      <c r="G14" s="507" t="s">
        <v>56</v>
      </c>
    </row>
    <row r="15" spans="1:7" ht="15.6">
      <c r="A15" s="43">
        <f t="shared" si="0"/>
        <v>10</v>
      </c>
      <c r="B15" s="447" t="s">
        <v>154</v>
      </c>
      <c r="C15" s="447" t="s">
        <v>458</v>
      </c>
      <c r="D15" s="288" t="s">
        <v>732</v>
      </c>
      <c r="E15" s="288" t="s">
        <v>733</v>
      </c>
      <c r="F15" s="451" t="s">
        <v>61</v>
      </c>
      <c r="G15" s="452" t="s">
        <v>662</v>
      </c>
    </row>
    <row r="16" spans="1:7" ht="15.6">
      <c r="A16" s="43">
        <f t="shared" si="0"/>
        <v>11</v>
      </c>
      <c r="B16" s="447" t="s">
        <v>155</v>
      </c>
      <c r="C16" s="447" t="s">
        <v>468</v>
      </c>
      <c r="D16" s="288" t="s">
        <v>732</v>
      </c>
      <c r="E16" s="288" t="s">
        <v>56</v>
      </c>
      <c r="F16" s="507" t="s">
        <v>56</v>
      </c>
      <c r="G16" s="507" t="s">
        <v>56</v>
      </c>
    </row>
    <row r="17" spans="1:7" ht="15.6">
      <c r="A17" s="43">
        <f t="shared" si="0"/>
        <v>12</v>
      </c>
      <c r="B17" s="447" t="s">
        <v>6</v>
      </c>
      <c r="C17" s="447" t="s">
        <v>460</v>
      </c>
      <c r="D17" s="288" t="s">
        <v>732</v>
      </c>
      <c r="E17" s="288" t="s">
        <v>733</v>
      </c>
      <c r="F17" s="451" t="s">
        <v>61</v>
      </c>
      <c r="G17" s="452" t="s">
        <v>662</v>
      </c>
    </row>
    <row r="18" spans="1:7" ht="15.6">
      <c r="A18" s="43">
        <f t="shared" si="0"/>
        <v>13</v>
      </c>
      <c r="B18" s="447" t="s">
        <v>159</v>
      </c>
      <c r="C18" s="447" t="s">
        <v>458</v>
      </c>
      <c r="D18" s="288" t="s">
        <v>732</v>
      </c>
      <c r="E18" s="288" t="s">
        <v>733</v>
      </c>
      <c r="F18" s="451" t="s">
        <v>61</v>
      </c>
      <c r="G18" s="452" t="s">
        <v>662</v>
      </c>
    </row>
    <row r="19" spans="1:7" ht="15.6">
      <c r="A19" s="43">
        <f t="shared" si="0"/>
        <v>14</v>
      </c>
      <c r="B19" s="447" t="s">
        <v>163</v>
      </c>
      <c r="C19" s="447" t="s">
        <v>458</v>
      </c>
      <c r="D19" s="288" t="s">
        <v>732</v>
      </c>
      <c r="E19" s="288" t="s">
        <v>733</v>
      </c>
      <c r="F19" s="451" t="s">
        <v>61</v>
      </c>
      <c r="G19" s="452" t="s">
        <v>662</v>
      </c>
    </row>
    <row r="20" spans="1:7" ht="15.6">
      <c r="A20" s="43">
        <f t="shared" si="0"/>
        <v>15</v>
      </c>
      <c r="B20" s="447" t="s">
        <v>164</v>
      </c>
      <c r="C20" s="447" t="s">
        <v>520</v>
      </c>
      <c r="D20" s="288" t="s">
        <v>732</v>
      </c>
      <c r="E20" s="288" t="s">
        <v>733</v>
      </c>
      <c r="F20" s="451" t="s">
        <v>61</v>
      </c>
      <c r="G20" s="516" t="s">
        <v>662</v>
      </c>
    </row>
    <row r="21" spans="1:7" ht="15.6">
      <c r="A21" s="43">
        <f t="shared" si="0"/>
        <v>16</v>
      </c>
      <c r="B21" s="446" t="s">
        <v>38</v>
      </c>
      <c r="C21" s="446" t="s">
        <v>472</v>
      </c>
      <c r="D21" s="288" t="s">
        <v>732</v>
      </c>
      <c r="E21" s="288" t="s">
        <v>733</v>
      </c>
      <c r="F21" s="451" t="s">
        <v>61</v>
      </c>
      <c r="G21" s="452" t="s">
        <v>662</v>
      </c>
    </row>
    <row r="22" spans="1:7" ht="15.6">
      <c r="A22" s="43">
        <f t="shared" si="0"/>
        <v>17</v>
      </c>
      <c r="B22" s="447" t="s">
        <v>169</v>
      </c>
      <c r="C22" s="447" t="s">
        <v>459</v>
      </c>
      <c r="D22" s="288" t="s">
        <v>732</v>
      </c>
      <c r="E22" s="288" t="s">
        <v>733</v>
      </c>
      <c r="F22" s="451" t="s">
        <v>61</v>
      </c>
      <c r="G22" s="452" t="s">
        <v>662</v>
      </c>
    </row>
    <row r="23" spans="1:7" ht="15.6">
      <c r="A23" s="43">
        <f t="shared" si="0"/>
        <v>18</v>
      </c>
      <c r="B23" s="446" t="s">
        <v>39</v>
      </c>
      <c r="C23" s="446" t="s">
        <v>476</v>
      </c>
      <c r="D23" s="288" t="s">
        <v>732</v>
      </c>
      <c r="E23" s="288" t="s">
        <v>733</v>
      </c>
      <c r="F23" s="451" t="s">
        <v>61</v>
      </c>
      <c r="G23" s="452" t="s">
        <v>662</v>
      </c>
    </row>
    <row r="24" spans="1:7" ht="15.6">
      <c r="A24" s="43">
        <f t="shared" si="0"/>
        <v>19</v>
      </c>
      <c r="B24" s="447" t="s">
        <v>628</v>
      </c>
      <c r="C24" s="447" t="s">
        <v>461</v>
      </c>
      <c r="D24" s="288" t="s">
        <v>733</v>
      </c>
      <c r="E24" s="288" t="s">
        <v>733</v>
      </c>
      <c r="F24" s="451" t="s">
        <v>61</v>
      </c>
      <c r="G24" s="452" t="s">
        <v>662</v>
      </c>
    </row>
    <row r="25" spans="1:7" ht="15.6">
      <c r="A25" s="43">
        <f t="shared" si="0"/>
        <v>20</v>
      </c>
      <c r="B25" s="447" t="s">
        <v>629</v>
      </c>
      <c r="C25" s="447" t="s">
        <v>520</v>
      </c>
      <c r="D25" s="288" t="s">
        <v>733</v>
      </c>
      <c r="E25" s="288" t="s">
        <v>733</v>
      </c>
      <c r="F25" s="451" t="s">
        <v>61</v>
      </c>
      <c r="G25" s="452" t="s">
        <v>662</v>
      </c>
    </row>
    <row r="26" spans="1:7" ht="15.6">
      <c r="A26" s="43">
        <f t="shared" si="0"/>
        <v>21</v>
      </c>
      <c r="B26" s="446" t="s">
        <v>41</v>
      </c>
      <c r="C26" s="446" t="s">
        <v>471</v>
      </c>
      <c r="D26" s="288" t="s">
        <v>733</v>
      </c>
      <c r="E26" s="288" t="s">
        <v>733</v>
      </c>
      <c r="F26" s="451" t="s">
        <v>61</v>
      </c>
      <c r="G26" s="452" t="s">
        <v>662</v>
      </c>
    </row>
    <row r="27" spans="1:7" ht="15.6">
      <c r="A27" s="43">
        <f t="shared" si="0"/>
        <v>22</v>
      </c>
      <c r="B27" s="446" t="s">
        <v>42</v>
      </c>
      <c r="C27" s="446" t="s">
        <v>472</v>
      </c>
      <c r="D27" s="288" t="s">
        <v>733</v>
      </c>
      <c r="E27" s="288" t="s">
        <v>733</v>
      </c>
      <c r="F27" s="451" t="s">
        <v>61</v>
      </c>
      <c r="G27" s="452" t="s">
        <v>662</v>
      </c>
    </row>
    <row r="28" spans="1:7" ht="15.6">
      <c r="A28" s="43">
        <f t="shared" si="0"/>
        <v>23</v>
      </c>
      <c r="B28" s="446" t="s">
        <v>43</v>
      </c>
      <c r="C28" s="446" t="s">
        <v>473</v>
      </c>
      <c r="D28" s="288" t="s">
        <v>733</v>
      </c>
      <c r="E28" s="288" t="s">
        <v>733</v>
      </c>
      <c r="F28" s="451" t="s">
        <v>61</v>
      </c>
      <c r="G28" s="452" t="s">
        <v>662</v>
      </c>
    </row>
    <row r="29" spans="1:7" ht="15.6">
      <c r="A29" s="43">
        <f t="shared" si="0"/>
        <v>24</v>
      </c>
      <c r="B29" s="447" t="s">
        <v>172</v>
      </c>
      <c r="C29" s="447" t="s">
        <v>460</v>
      </c>
      <c r="D29" s="288" t="s">
        <v>732</v>
      </c>
      <c r="E29" s="288" t="s">
        <v>733</v>
      </c>
      <c r="F29" s="451" t="s">
        <v>61</v>
      </c>
      <c r="G29" s="452" t="s">
        <v>662</v>
      </c>
    </row>
    <row r="30" spans="1:7" ht="15.6">
      <c r="A30" s="43">
        <f t="shared" si="0"/>
        <v>25</v>
      </c>
      <c r="B30" s="447" t="s">
        <v>173</v>
      </c>
      <c r="C30" s="447" t="s">
        <v>460</v>
      </c>
      <c r="D30" s="288" t="s">
        <v>732</v>
      </c>
      <c r="E30" s="288" t="s">
        <v>733</v>
      </c>
      <c r="F30" s="451" t="s">
        <v>61</v>
      </c>
      <c r="G30" s="452" t="s">
        <v>662</v>
      </c>
    </row>
    <row r="31" spans="1:7" ht="15.6">
      <c r="A31" s="43">
        <f t="shared" si="0"/>
        <v>26</v>
      </c>
      <c r="B31" s="446" t="s">
        <v>46</v>
      </c>
      <c r="C31" s="446" t="s">
        <v>475</v>
      </c>
      <c r="D31" s="288" t="s">
        <v>732</v>
      </c>
      <c r="E31" s="288" t="s">
        <v>56</v>
      </c>
      <c r="F31" s="507" t="s">
        <v>56</v>
      </c>
      <c r="G31" s="541" t="s">
        <v>759</v>
      </c>
    </row>
    <row r="32" spans="1:7" ht="15.6">
      <c r="A32" s="43">
        <f t="shared" si="0"/>
        <v>27</v>
      </c>
      <c r="B32" s="447" t="s">
        <v>174</v>
      </c>
      <c r="C32" s="447" t="s">
        <v>460</v>
      </c>
      <c r="D32" s="288" t="s">
        <v>732</v>
      </c>
      <c r="E32" s="288" t="s">
        <v>56</v>
      </c>
      <c r="F32" s="507" t="s">
        <v>56</v>
      </c>
      <c r="G32" s="507" t="s">
        <v>56</v>
      </c>
    </row>
    <row r="33" spans="1:7" ht="15.6">
      <c r="A33" s="43">
        <f t="shared" si="0"/>
        <v>28</v>
      </c>
      <c r="B33" s="447" t="s">
        <v>175</v>
      </c>
      <c r="C33" s="447" t="s">
        <v>460</v>
      </c>
      <c r="D33" s="288" t="s">
        <v>732</v>
      </c>
      <c r="E33" s="288" t="s">
        <v>733</v>
      </c>
      <c r="F33" s="451" t="s">
        <v>61</v>
      </c>
      <c r="G33" s="452" t="s">
        <v>662</v>
      </c>
    </row>
    <row r="34" spans="1:7" ht="15.6">
      <c r="A34" s="43">
        <f t="shared" si="0"/>
        <v>29</v>
      </c>
      <c r="B34" s="447" t="s">
        <v>182</v>
      </c>
      <c r="C34" s="447" t="s">
        <v>458</v>
      </c>
      <c r="D34" s="288" t="s">
        <v>733</v>
      </c>
      <c r="E34" s="288" t="s">
        <v>733</v>
      </c>
      <c r="F34" s="451" t="s">
        <v>61</v>
      </c>
      <c r="G34" s="452" t="s">
        <v>662</v>
      </c>
    </row>
    <row r="35" spans="1:7" ht="15.6">
      <c r="A35" s="43">
        <f t="shared" si="0"/>
        <v>30</v>
      </c>
      <c r="B35" s="447" t="s">
        <v>183</v>
      </c>
      <c r="C35" s="447" t="s">
        <v>460</v>
      </c>
      <c r="D35" s="288" t="s">
        <v>733</v>
      </c>
      <c r="E35" s="288" t="s">
        <v>733</v>
      </c>
      <c r="F35" s="451" t="s">
        <v>61</v>
      </c>
      <c r="G35" s="452" t="s">
        <v>662</v>
      </c>
    </row>
    <row r="36" spans="1:7" ht="15.6">
      <c r="A36" s="43">
        <f t="shared" si="0"/>
        <v>31</v>
      </c>
      <c r="B36" s="446" t="s">
        <v>48</v>
      </c>
      <c r="C36" s="446" t="s">
        <v>457</v>
      </c>
      <c r="D36" s="288" t="s">
        <v>732</v>
      </c>
      <c r="E36" s="288" t="s">
        <v>56</v>
      </c>
      <c r="F36" s="507" t="s">
        <v>56</v>
      </c>
      <c r="G36" s="507" t="s">
        <v>56</v>
      </c>
    </row>
    <row r="37" spans="1:7" ht="15.6">
      <c r="A37" s="43">
        <f t="shared" si="0"/>
        <v>32</v>
      </c>
      <c r="B37" s="447" t="s">
        <v>184</v>
      </c>
      <c r="C37" s="447" t="s">
        <v>468</v>
      </c>
      <c r="D37" s="288" t="s">
        <v>732</v>
      </c>
      <c r="E37" s="288" t="s">
        <v>733</v>
      </c>
      <c r="F37" s="451" t="s">
        <v>61</v>
      </c>
      <c r="G37" s="452" t="s">
        <v>662</v>
      </c>
    </row>
    <row r="38" spans="1:7" ht="15.6">
      <c r="A38" s="43">
        <f t="shared" si="0"/>
        <v>33</v>
      </c>
      <c r="B38" s="447" t="s">
        <v>185</v>
      </c>
      <c r="C38" s="447" t="s">
        <v>460</v>
      </c>
      <c r="D38" s="288" t="s">
        <v>732</v>
      </c>
      <c r="E38" s="288" t="s">
        <v>733</v>
      </c>
      <c r="F38" s="451" t="s">
        <v>61</v>
      </c>
      <c r="G38" s="452" t="s">
        <v>662</v>
      </c>
    </row>
    <row r="39" spans="1:7" ht="15.6">
      <c r="A39" s="43">
        <f t="shared" si="0"/>
        <v>34</v>
      </c>
      <c r="B39" s="446" t="s">
        <v>186</v>
      </c>
      <c r="C39" s="446" t="s">
        <v>466</v>
      </c>
      <c r="D39" s="288" t="s">
        <v>732</v>
      </c>
      <c r="E39" s="288" t="s">
        <v>733</v>
      </c>
      <c r="F39" s="451" t="s">
        <v>61</v>
      </c>
      <c r="G39" s="452" t="s">
        <v>662</v>
      </c>
    </row>
    <row r="40" spans="1:7" ht="15.6">
      <c r="A40" s="43">
        <f t="shared" si="0"/>
        <v>35</v>
      </c>
      <c r="B40" s="446" t="s">
        <v>54</v>
      </c>
      <c r="C40" s="446" t="s">
        <v>475</v>
      </c>
      <c r="D40" s="288" t="s">
        <v>733</v>
      </c>
      <c r="E40" s="288" t="s">
        <v>733</v>
      </c>
      <c r="F40" s="451" t="s">
        <v>61</v>
      </c>
      <c r="G40" s="452" t="s">
        <v>662</v>
      </c>
    </row>
    <row r="41" spans="1:7" ht="15.6">
      <c r="A41" s="43">
        <f t="shared" si="0"/>
        <v>36</v>
      </c>
      <c r="B41" s="447" t="s">
        <v>187</v>
      </c>
      <c r="C41" s="447" t="s">
        <v>520</v>
      </c>
      <c r="D41" s="288" t="s">
        <v>732</v>
      </c>
      <c r="E41" s="288" t="s">
        <v>733</v>
      </c>
      <c r="F41" s="451" t="s">
        <v>61</v>
      </c>
      <c r="G41" s="452" t="s">
        <v>662</v>
      </c>
    </row>
    <row r="42" spans="1:7" ht="15.6">
      <c r="A42" s="43">
        <f t="shared" si="0"/>
        <v>37</v>
      </c>
      <c r="B42" s="447" t="s">
        <v>188</v>
      </c>
      <c r="C42" s="447" t="s">
        <v>458</v>
      </c>
      <c r="D42" s="288" t="s">
        <v>732</v>
      </c>
      <c r="E42" s="288" t="s">
        <v>733</v>
      </c>
      <c r="F42" s="451" t="s">
        <v>61</v>
      </c>
      <c r="G42" s="452" t="s">
        <v>662</v>
      </c>
    </row>
    <row r="43" spans="1:7" ht="15.6">
      <c r="A43" s="43">
        <f t="shared" si="0"/>
        <v>38</v>
      </c>
      <c r="B43" s="447" t="s">
        <v>189</v>
      </c>
      <c r="C43" s="447" t="s">
        <v>460</v>
      </c>
      <c r="D43" s="288" t="s">
        <v>732</v>
      </c>
      <c r="E43" s="288" t="s">
        <v>733</v>
      </c>
      <c r="F43" s="451" t="s">
        <v>61</v>
      </c>
      <c r="G43" s="452" t="s">
        <v>662</v>
      </c>
    </row>
    <row r="44" spans="1:7" ht="15.6">
      <c r="A44" s="43">
        <f t="shared" si="0"/>
        <v>39</v>
      </c>
      <c r="B44" s="446" t="s">
        <v>565</v>
      </c>
      <c r="C44" s="446" t="s">
        <v>566</v>
      </c>
      <c r="D44" s="288" t="s">
        <v>732</v>
      </c>
      <c r="E44" s="288" t="s">
        <v>733</v>
      </c>
      <c r="F44" s="451" t="s">
        <v>61</v>
      </c>
      <c r="G44" s="452" t="s">
        <v>662</v>
      </c>
    </row>
    <row r="45" spans="1:7" ht="15.6">
      <c r="A45" s="43">
        <f t="shared" si="0"/>
        <v>40</v>
      </c>
      <c r="B45" s="446" t="s">
        <v>567</v>
      </c>
      <c r="C45" s="446" t="s">
        <v>566</v>
      </c>
      <c r="D45" s="288" t="s">
        <v>732</v>
      </c>
      <c r="E45" s="288" t="s">
        <v>733</v>
      </c>
      <c r="F45" s="451" t="s">
        <v>61</v>
      </c>
      <c r="G45" s="452" t="s">
        <v>662</v>
      </c>
    </row>
    <row r="46" spans="1:7" ht="15.6">
      <c r="A46" s="43">
        <f t="shared" si="0"/>
        <v>41</v>
      </c>
      <c r="B46" s="447" t="s">
        <v>568</v>
      </c>
      <c r="C46" s="447" t="s">
        <v>460</v>
      </c>
      <c r="D46" s="288" t="s">
        <v>733</v>
      </c>
      <c r="E46" s="288" t="s">
        <v>733</v>
      </c>
      <c r="F46" s="451" t="s">
        <v>61</v>
      </c>
      <c r="G46" s="452" t="s">
        <v>662</v>
      </c>
    </row>
    <row r="47" spans="1:7" ht="15.6">
      <c r="A47" s="43">
        <f t="shared" si="0"/>
        <v>42</v>
      </c>
      <c r="B47" s="446" t="s">
        <v>569</v>
      </c>
      <c r="C47" s="446" t="s">
        <v>465</v>
      </c>
      <c r="D47" s="288" t="s">
        <v>732</v>
      </c>
      <c r="E47" s="288" t="s">
        <v>733</v>
      </c>
      <c r="F47" s="451" t="s">
        <v>61</v>
      </c>
      <c r="G47" s="452" t="s">
        <v>662</v>
      </c>
    </row>
    <row r="48" spans="1:7" ht="15.6">
      <c r="A48" s="43">
        <f t="shared" si="0"/>
        <v>43</v>
      </c>
      <c r="B48" s="447" t="s">
        <v>570</v>
      </c>
      <c r="C48" s="447" t="s">
        <v>468</v>
      </c>
      <c r="D48" s="288" t="s">
        <v>732</v>
      </c>
      <c r="E48" s="288" t="s">
        <v>733</v>
      </c>
      <c r="F48" s="451" t="s">
        <v>61</v>
      </c>
      <c r="G48" s="452" t="s">
        <v>662</v>
      </c>
    </row>
    <row r="49" spans="1:7" ht="15.6">
      <c r="A49" s="43">
        <f t="shared" si="0"/>
        <v>44</v>
      </c>
      <c r="B49" s="447" t="s">
        <v>571</v>
      </c>
      <c r="C49" s="447" t="s">
        <v>458</v>
      </c>
      <c r="D49" s="288" t="s">
        <v>732</v>
      </c>
      <c r="E49" s="515" t="s">
        <v>738</v>
      </c>
      <c r="F49" s="451" t="s">
        <v>61</v>
      </c>
      <c r="G49" s="517" t="s">
        <v>662</v>
      </c>
    </row>
    <row r="50" spans="1:7" ht="15.6">
      <c r="A50" s="43">
        <f t="shared" si="0"/>
        <v>45</v>
      </c>
      <c r="B50" s="447" t="s">
        <v>572</v>
      </c>
      <c r="C50" s="447" t="s">
        <v>458</v>
      </c>
      <c r="D50" s="288" t="s">
        <v>733</v>
      </c>
      <c r="E50" s="288" t="s">
        <v>733</v>
      </c>
      <c r="F50" s="451" t="s">
        <v>61</v>
      </c>
      <c r="G50" s="452" t="s">
        <v>662</v>
      </c>
    </row>
    <row r="51" spans="1:7" ht="15.6">
      <c r="A51" s="43">
        <f t="shared" si="0"/>
        <v>46</v>
      </c>
      <c r="B51" s="447" t="s">
        <v>573</v>
      </c>
      <c r="C51" s="447" t="s">
        <v>458</v>
      </c>
      <c r="D51" s="288" t="s">
        <v>732</v>
      </c>
      <c r="E51" s="288" t="s">
        <v>733</v>
      </c>
      <c r="F51" s="451" t="s">
        <v>61</v>
      </c>
      <c r="G51" s="452" t="s">
        <v>662</v>
      </c>
    </row>
    <row r="52" spans="1:7" ht="15.6">
      <c r="A52" s="43">
        <f t="shared" si="0"/>
        <v>47</v>
      </c>
      <c r="B52" s="446" t="s">
        <v>620</v>
      </c>
      <c r="C52" s="446" t="s">
        <v>523</v>
      </c>
      <c r="D52" s="288" t="s">
        <v>733</v>
      </c>
      <c r="E52" s="288" t="s">
        <v>733</v>
      </c>
      <c r="F52" s="451" t="s">
        <v>61</v>
      </c>
      <c r="G52" s="452" t="s">
        <v>662</v>
      </c>
    </row>
  </sheetData>
  <autoFilter ref="A5:G52" xr:uid="{00000000-0009-0000-0000-000004000000}"/>
  <conditionalFormatting sqref="D6:E52">
    <cfRule type="containsText" dxfId="10" priority="2" operator="containsText" text="PENDING">
      <formula>NOT(ISERROR(SEARCH("PENDING",D6)))</formula>
    </cfRule>
    <cfRule type="containsText" dxfId="9" priority="3" operator="containsText" text="COMPLETED">
      <formula>NOT(ISERROR(SEARCH("COMPLETED",D6)))</formula>
    </cfRule>
    <cfRule type="cellIs" dxfId="8" priority="4" operator="greaterThan">
      <formula>0</formula>
    </cfRule>
  </conditionalFormatting>
  <conditionalFormatting sqref="E6:E52">
    <cfRule type="containsText" dxfId="7" priority="1" operator="containsText" text="WIP">
      <formula>NOT(ISERROR(SEARCH("WIP",E6)))</formula>
    </cfRule>
  </conditionalFormatting>
  <conditionalFormatting sqref="G4:G7 G9:G13 G15 G17:G30 G33:G35 G37:G48 G50:G52">
    <cfRule type="containsText" dxfId="6" priority="81" operator="containsText" text="Pending">
      <formula>NOT(ISERROR(SEARCH("Pending",G4)))</formula>
    </cfRule>
  </conditionalFormatting>
  <conditionalFormatting sqref="G6:G7 G9:G13 G15 G17:G30 G33:G35 G37:G48 G50:G52">
    <cfRule type="containsText" dxfId="5" priority="78" operator="containsText" text="Pending">
      <formula>NOT(ISERROR(SEARCH("Pending",G6)))</formula>
    </cfRule>
    <cfRule type="containsText" dxfId="4" priority="79" operator="containsText" text="WIP">
      <formula>NOT(ISERROR(SEARCH("WIP",G6)))</formula>
    </cfRule>
    <cfRule type="containsText" dxfId="3" priority="80" operator="containsText" text="ROW">
      <formula>NOT(ISERROR(SEARCH("ROW",G6)))</formula>
    </cfRule>
    <cfRule type="containsText" dxfId="2" priority="82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O31" sqref="O31"/>
    </sheetView>
  </sheetViews>
  <sheetFormatPr defaultRowHeight="18"/>
  <cols>
    <col min="1" max="1" width="7.88671875" style="390" customWidth="1"/>
    <col min="2" max="4" width="10.44140625" style="391" customWidth="1"/>
    <col min="5" max="5" width="12.5546875" style="392" customWidth="1"/>
    <col min="6" max="7" width="12.5546875" style="391" customWidth="1"/>
    <col min="8" max="10" width="12.5546875" style="450" customWidth="1"/>
  </cols>
  <sheetData>
    <row r="1" spans="1:12" ht="7.95" customHeight="1" thickBot="1"/>
    <row r="2" spans="1:12" s="32" customFormat="1" ht="15" customHeight="1">
      <c r="A2" s="728" t="s">
        <v>532</v>
      </c>
      <c r="B2" s="729"/>
      <c r="C2" s="729"/>
      <c r="D2" s="729"/>
      <c r="E2" s="729"/>
      <c r="F2" s="729"/>
      <c r="G2" s="729"/>
      <c r="H2" s="729"/>
      <c r="I2" s="729"/>
      <c r="J2" s="730"/>
    </row>
    <row r="3" spans="1:12" ht="15.6">
      <c r="A3" s="724" t="s">
        <v>525</v>
      </c>
      <c r="B3" s="725" t="s">
        <v>526</v>
      </c>
      <c r="C3" s="725"/>
      <c r="D3" s="726" t="s">
        <v>612</v>
      </c>
      <c r="E3" s="726" t="s">
        <v>613</v>
      </c>
      <c r="F3" s="726" t="s">
        <v>614</v>
      </c>
      <c r="G3" s="726" t="s">
        <v>615</v>
      </c>
      <c r="H3" s="725" t="s">
        <v>109</v>
      </c>
      <c r="I3" s="725" t="s">
        <v>513</v>
      </c>
      <c r="J3" s="731" t="s">
        <v>527</v>
      </c>
    </row>
    <row r="4" spans="1:12" ht="26.55" customHeight="1">
      <c r="A4" s="724"/>
      <c r="B4" s="393" t="s">
        <v>528</v>
      </c>
      <c r="C4" s="393" t="s">
        <v>529</v>
      </c>
      <c r="D4" s="727"/>
      <c r="E4" s="727"/>
      <c r="F4" s="727"/>
      <c r="G4" s="727"/>
      <c r="H4" s="725"/>
      <c r="I4" s="725"/>
      <c r="J4" s="731"/>
    </row>
    <row r="5" spans="1:12" ht="18" customHeight="1">
      <c r="A5" s="394">
        <v>1</v>
      </c>
      <c r="B5" s="395" t="s">
        <v>23</v>
      </c>
      <c r="C5" s="395" t="s">
        <v>24</v>
      </c>
      <c r="D5" s="396">
        <v>249.63499999999999</v>
      </c>
      <c r="E5" s="397">
        <v>0</v>
      </c>
      <c r="F5" s="398"/>
      <c r="G5" s="399">
        <f>D5</f>
        <v>249.63499999999999</v>
      </c>
      <c r="H5" s="508">
        <v>1</v>
      </c>
      <c r="I5" s="508">
        <v>1</v>
      </c>
      <c r="J5" s="509">
        <v>0</v>
      </c>
    </row>
    <row r="6" spans="1:12" ht="18" customHeight="1">
      <c r="A6" s="394">
        <f>A5+1</f>
        <v>2</v>
      </c>
      <c r="B6" s="395" t="str">
        <f>C5</f>
        <v>AP33</v>
      </c>
      <c r="C6" s="395" t="s">
        <v>122</v>
      </c>
      <c r="D6" s="396">
        <v>2015</v>
      </c>
      <c r="E6" s="397">
        <v>4</v>
      </c>
      <c r="F6" s="399">
        <f>D6</f>
        <v>2015</v>
      </c>
      <c r="G6" s="398"/>
      <c r="H6" s="508">
        <v>1</v>
      </c>
      <c r="I6" s="508">
        <v>1</v>
      </c>
      <c r="J6" s="509">
        <v>1</v>
      </c>
    </row>
    <row r="7" spans="1:12" ht="18" customHeight="1">
      <c r="A7" s="394">
        <f t="shared" ref="A7:A43" si="0">A6+1</f>
        <v>3</v>
      </c>
      <c r="B7" s="395" t="str">
        <f t="shared" ref="B7:B43" si="1">C6</f>
        <v>33/5</v>
      </c>
      <c r="C7" s="395" t="s">
        <v>123</v>
      </c>
      <c r="D7" s="396">
        <v>380</v>
      </c>
      <c r="E7" s="397">
        <v>0</v>
      </c>
      <c r="F7" s="398"/>
      <c r="G7" s="399">
        <f>D7</f>
        <v>380</v>
      </c>
      <c r="H7" s="508">
        <v>0</v>
      </c>
      <c r="I7" s="508">
        <v>0</v>
      </c>
      <c r="J7" s="509">
        <v>0</v>
      </c>
    </row>
    <row r="8" spans="1:12" ht="18" customHeight="1">
      <c r="A8" s="394">
        <f t="shared" si="0"/>
        <v>4</v>
      </c>
      <c r="B8" s="395" t="str">
        <f t="shared" si="1"/>
        <v>33/6</v>
      </c>
      <c r="C8" s="395" t="s">
        <v>501</v>
      </c>
      <c r="D8" s="396">
        <v>2537.42</v>
      </c>
      <c r="E8" s="397">
        <v>6</v>
      </c>
      <c r="F8" s="399">
        <f t="shared" ref="F8:F10" si="2">D8</f>
        <v>2537.42</v>
      </c>
      <c r="G8" s="399"/>
      <c r="H8" s="508">
        <v>2</v>
      </c>
      <c r="I8" s="508">
        <v>6</v>
      </c>
      <c r="J8" s="509">
        <v>2</v>
      </c>
    </row>
    <row r="9" spans="1:12" ht="18" customHeight="1">
      <c r="A9" s="394">
        <f t="shared" si="0"/>
        <v>5</v>
      </c>
      <c r="B9" s="395" t="str">
        <f t="shared" si="1"/>
        <v>34/0</v>
      </c>
      <c r="C9" s="395" t="s">
        <v>26</v>
      </c>
      <c r="D9" s="396">
        <v>1983.46</v>
      </c>
      <c r="E9" s="397">
        <v>4</v>
      </c>
      <c r="F9" s="399">
        <f t="shared" si="2"/>
        <v>1983.46</v>
      </c>
      <c r="G9" s="399"/>
      <c r="H9" s="508">
        <v>5</v>
      </c>
      <c r="I9" s="508">
        <v>3</v>
      </c>
      <c r="J9" s="509">
        <v>0</v>
      </c>
      <c r="L9" s="494"/>
    </row>
    <row r="10" spans="1:12" ht="18" customHeight="1">
      <c r="A10" s="394">
        <f t="shared" si="0"/>
        <v>6</v>
      </c>
      <c r="B10" s="395" t="str">
        <f t="shared" si="1"/>
        <v>AP35</v>
      </c>
      <c r="C10" s="395" t="s">
        <v>27</v>
      </c>
      <c r="D10" s="396">
        <v>4480.0200000000004</v>
      </c>
      <c r="E10" s="397">
        <v>11</v>
      </c>
      <c r="F10" s="399">
        <f t="shared" si="2"/>
        <v>4480.0200000000004</v>
      </c>
      <c r="G10" s="399"/>
      <c r="H10" s="508">
        <v>8</v>
      </c>
      <c r="I10" s="508">
        <v>3</v>
      </c>
      <c r="J10" s="509">
        <v>0</v>
      </c>
      <c r="L10" s="494"/>
    </row>
    <row r="11" spans="1:12" ht="18" customHeight="1">
      <c r="A11" s="394">
        <f t="shared" si="0"/>
        <v>7</v>
      </c>
      <c r="B11" s="395" t="str">
        <f t="shared" si="1"/>
        <v>AP36</v>
      </c>
      <c r="C11" s="395" t="s">
        <v>19</v>
      </c>
      <c r="D11" s="396">
        <v>480</v>
      </c>
      <c r="E11" s="397">
        <v>0</v>
      </c>
      <c r="F11" s="399"/>
      <c r="G11" s="399">
        <f t="shared" ref="G11:G12" si="3">D11</f>
        <v>480</v>
      </c>
      <c r="H11" s="508">
        <v>0</v>
      </c>
      <c r="I11" s="508">
        <v>0</v>
      </c>
      <c r="J11" s="509">
        <v>0</v>
      </c>
      <c r="L11" s="494"/>
    </row>
    <row r="12" spans="1:12" ht="18" customHeight="1">
      <c r="A12" s="394">
        <f t="shared" si="0"/>
        <v>8</v>
      </c>
      <c r="B12" s="395" t="str">
        <f t="shared" si="1"/>
        <v>36/1</v>
      </c>
      <c r="C12" s="395" t="s">
        <v>530</v>
      </c>
      <c r="D12" s="396">
        <v>297.32</v>
      </c>
      <c r="E12" s="397">
        <v>0</v>
      </c>
      <c r="F12" s="399"/>
      <c r="G12" s="399">
        <f t="shared" si="3"/>
        <v>297.32</v>
      </c>
      <c r="H12" s="508">
        <v>0</v>
      </c>
      <c r="I12" s="508">
        <v>0</v>
      </c>
      <c r="J12" s="509">
        <v>0</v>
      </c>
      <c r="L12" s="494"/>
    </row>
    <row r="13" spans="1:12" ht="15" customHeight="1">
      <c r="A13" s="394">
        <f t="shared" si="0"/>
        <v>9</v>
      </c>
      <c r="B13" s="395" t="str">
        <f t="shared" si="1"/>
        <v>37/0</v>
      </c>
      <c r="C13" s="395" t="s">
        <v>22</v>
      </c>
      <c r="D13" s="396">
        <v>1258.78</v>
      </c>
      <c r="E13" s="397">
        <v>2</v>
      </c>
      <c r="F13" s="399">
        <f t="shared" ref="F13:F14" si="4">D13</f>
        <v>1258.78</v>
      </c>
      <c r="G13" s="399"/>
      <c r="H13" s="508">
        <v>2</v>
      </c>
      <c r="I13" s="508">
        <v>2</v>
      </c>
      <c r="J13" s="509">
        <v>0</v>
      </c>
      <c r="L13" s="494"/>
    </row>
    <row r="14" spans="1:12" ht="15" customHeight="1">
      <c r="A14" s="394">
        <f t="shared" si="0"/>
        <v>10</v>
      </c>
      <c r="B14" s="395" t="str">
        <f t="shared" si="1"/>
        <v>AP38</v>
      </c>
      <c r="C14" s="395" t="s">
        <v>29</v>
      </c>
      <c r="D14" s="396">
        <v>1284.8800000000001</v>
      </c>
      <c r="E14" s="397">
        <v>2</v>
      </c>
      <c r="F14" s="399">
        <f t="shared" si="4"/>
        <v>1284.8800000000001</v>
      </c>
      <c r="G14" s="399"/>
      <c r="H14" s="508">
        <v>4</v>
      </c>
      <c r="I14" s="508">
        <v>2</v>
      </c>
      <c r="J14" s="509">
        <v>0</v>
      </c>
    </row>
    <row r="15" spans="1:12" ht="15" customHeight="1">
      <c r="A15" s="394">
        <f t="shared" si="0"/>
        <v>11</v>
      </c>
      <c r="B15" s="395" t="str">
        <f t="shared" si="1"/>
        <v>AP39</v>
      </c>
      <c r="C15" s="395" t="s">
        <v>30</v>
      </c>
      <c r="D15" s="396">
        <v>248.04</v>
      </c>
      <c r="E15" s="397">
        <v>0</v>
      </c>
      <c r="F15" s="399"/>
      <c r="G15" s="399">
        <f>D15</f>
        <v>248.04</v>
      </c>
      <c r="H15" s="508">
        <v>1</v>
      </c>
      <c r="I15" s="508">
        <v>0</v>
      </c>
      <c r="J15" s="509">
        <v>0</v>
      </c>
    </row>
    <row r="16" spans="1:12" ht="15" customHeight="1">
      <c r="A16" s="394">
        <f t="shared" si="0"/>
        <v>12</v>
      </c>
      <c r="B16" s="395" t="str">
        <f t="shared" si="1"/>
        <v>AP40</v>
      </c>
      <c r="C16" s="395" t="s">
        <v>31</v>
      </c>
      <c r="D16" s="396">
        <v>2426.4499999999998</v>
      </c>
      <c r="E16" s="397">
        <v>5</v>
      </c>
      <c r="F16" s="399">
        <f t="shared" ref="F16:F20" si="5">D16</f>
        <v>2426.4499999999998</v>
      </c>
      <c r="G16" s="399"/>
      <c r="H16" s="508">
        <v>2</v>
      </c>
      <c r="I16" s="508">
        <v>2</v>
      </c>
      <c r="J16" s="509">
        <v>0</v>
      </c>
    </row>
    <row r="17" spans="1:10" ht="15" customHeight="1">
      <c r="A17" s="394">
        <f t="shared" si="0"/>
        <v>13</v>
      </c>
      <c r="B17" s="395" t="str">
        <f t="shared" si="1"/>
        <v>AP41</v>
      </c>
      <c r="C17" s="395" t="s">
        <v>32</v>
      </c>
      <c r="D17" s="396">
        <v>2473.21</v>
      </c>
      <c r="E17" s="397">
        <v>5</v>
      </c>
      <c r="F17" s="399">
        <f t="shared" si="5"/>
        <v>2473.21</v>
      </c>
      <c r="G17" s="399"/>
      <c r="H17" s="508">
        <v>2</v>
      </c>
      <c r="I17" s="508">
        <v>1</v>
      </c>
      <c r="J17" s="509">
        <v>0</v>
      </c>
    </row>
    <row r="18" spans="1:10" ht="15" customHeight="1">
      <c r="A18" s="394">
        <f t="shared" si="0"/>
        <v>14</v>
      </c>
      <c r="B18" s="395" t="str">
        <f t="shared" si="1"/>
        <v>AP42</v>
      </c>
      <c r="C18" s="395" t="s">
        <v>33</v>
      </c>
      <c r="D18" s="396">
        <v>1105.78</v>
      </c>
      <c r="E18" s="397">
        <v>2</v>
      </c>
      <c r="F18" s="399">
        <f t="shared" si="5"/>
        <v>1105.78</v>
      </c>
      <c r="G18" s="399"/>
      <c r="H18" s="508">
        <v>2</v>
      </c>
      <c r="I18" s="508">
        <v>3</v>
      </c>
      <c r="J18" s="509">
        <v>0</v>
      </c>
    </row>
    <row r="19" spans="1:10" ht="15" customHeight="1">
      <c r="A19" s="394">
        <f t="shared" si="0"/>
        <v>15</v>
      </c>
      <c r="B19" s="395" t="str">
        <f t="shared" si="1"/>
        <v>AP43</v>
      </c>
      <c r="C19" s="395" t="s">
        <v>34</v>
      </c>
      <c r="D19" s="396">
        <v>1444.8</v>
      </c>
      <c r="E19" s="397">
        <v>3</v>
      </c>
      <c r="F19" s="399">
        <f t="shared" si="5"/>
        <v>1444.8</v>
      </c>
      <c r="G19" s="399"/>
      <c r="H19" s="508">
        <v>4</v>
      </c>
      <c r="I19" s="508">
        <v>1</v>
      </c>
      <c r="J19" s="509">
        <v>0</v>
      </c>
    </row>
    <row r="20" spans="1:10" ht="15" customHeight="1">
      <c r="A20" s="394">
        <f t="shared" si="0"/>
        <v>16</v>
      </c>
      <c r="B20" s="395" t="str">
        <f t="shared" si="1"/>
        <v>AP44</v>
      </c>
      <c r="C20" s="395" t="s">
        <v>35</v>
      </c>
      <c r="D20" s="396">
        <v>697.56</v>
      </c>
      <c r="E20" s="397">
        <v>1</v>
      </c>
      <c r="F20" s="399">
        <f t="shared" si="5"/>
        <v>697.56</v>
      </c>
      <c r="G20" s="399"/>
      <c r="H20" s="508">
        <v>2</v>
      </c>
      <c r="I20" s="508">
        <v>2</v>
      </c>
      <c r="J20" s="509">
        <v>0</v>
      </c>
    </row>
    <row r="21" spans="1:10" ht="15" customHeight="1">
      <c r="A21" s="394">
        <f t="shared" si="0"/>
        <v>17</v>
      </c>
      <c r="B21" s="395" t="str">
        <f t="shared" si="1"/>
        <v>AP45</v>
      </c>
      <c r="C21" s="395" t="s">
        <v>4</v>
      </c>
      <c r="D21" s="396">
        <v>242</v>
      </c>
      <c r="E21" s="397">
        <v>0</v>
      </c>
      <c r="F21" s="399"/>
      <c r="G21" s="399">
        <f>D21</f>
        <v>242</v>
      </c>
      <c r="H21" s="508">
        <v>0</v>
      </c>
      <c r="I21" s="508">
        <v>0</v>
      </c>
      <c r="J21" s="509">
        <v>0</v>
      </c>
    </row>
    <row r="22" spans="1:10" ht="15" customHeight="1">
      <c r="A22" s="394">
        <f t="shared" si="0"/>
        <v>18</v>
      </c>
      <c r="B22" s="395" t="str">
        <f t="shared" si="1"/>
        <v>45/1</v>
      </c>
      <c r="C22" s="395" t="s">
        <v>36</v>
      </c>
      <c r="D22" s="396">
        <v>1272.52</v>
      </c>
      <c r="E22" s="397">
        <v>2</v>
      </c>
      <c r="F22" s="399">
        <f t="shared" ref="F22:F27" si="6">D22</f>
        <v>1272.52</v>
      </c>
      <c r="G22" s="399"/>
      <c r="H22" s="508">
        <v>5</v>
      </c>
      <c r="I22" s="508">
        <v>2</v>
      </c>
      <c r="J22" s="509">
        <v>0</v>
      </c>
    </row>
    <row r="23" spans="1:10" ht="15" customHeight="1">
      <c r="A23" s="394">
        <f t="shared" si="0"/>
        <v>19</v>
      </c>
      <c r="B23" s="395" t="str">
        <f t="shared" si="1"/>
        <v>AP46</v>
      </c>
      <c r="C23" s="395" t="s">
        <v>160</v>
      </c>
      <c r="D23" s="396">
        <v>2745</v>
      </c>
      <c r="E23" s="397">
        <v>6</v>
      </c>
      <c r="F23" s="399">
        <f t="shared" si="6"/>
        <v>2745</v>
      </c>
      <c r="G23" s="399"/>
      <c r="H23" s="508">
        <v>5</v>
      </c>
      <c r="I23" s="508">
        <v>6</v>
      </c>
      <c r="J23" s="509">
        <v>1</v>
      </c>
    </row>
    <row r="24" spans="1:10" ht="15" customHeight="1">
      <c r="A24" s="394">
        <f t="shared" si="0"/>
        <v>20</v>
      </c>
      <c r="B24" s="395" t="str">
        <f t="shared" si="1"/>
        <v>46/7</v>
      </c>
      <c r="C24" s="395" t="s">
        <v>616</v>
      </c>
      <c r="D24" s="396">
        <v>3547.25</v>
      </c>
      <c r="E24" s="397">
        <v>8</v>
      </c>
      <c r="F24" s="399">
        <f t="shared" si="6"/>
        <v>3547.25</v>
      </c>
      <c r="G24" s="399"/>
      <c r="H24" s="508">
        <v>8</v>
      </c>
      <c r="I24" s="508">
        <v>4</v>
      </c>
      <c r="J24" s="509">
        <v>1</v>
      </c>
    </row>
    <row r="25" spans="1:10" ht="15" customHeight="1">
      <c r="A25" s="394">
        <f>A23+1</f>
        <v>20</v>
      </c>
      <c r="B25" s="395" t="str">
        <f t="shared" si="1"/>
        <v>AP47/0</v>
      </c>
      <c r="C25" s="395" t="s">
        <v>39</v>
      </c>
      <c r="D25" s="396">
        <v>813.45</v>
      </c>
      <c r="E25" s="397">
        <v>1</v>
      </c>
      <c r="F25" s="399">
        <f t="shared" si="6"/>
        <v>813.45</v>
      </c>
      <c r="G25" s="399"/>
      <c r="H25" s="508">
        <v>3</v>
      </c>
      <c r="I25" s="508">
        <v>1</v>
      </c>
      <c r="J25" s="509">
        <v>1</v>
      </c>
    </row>
    <row r="26" spans="1:10" ht="15" customHeight="1">
      <c r="A26" s="394">
        <f t="shared" si="0"/>
        <v>21</v>
      </c>
      <c r="B26" s="395" t="str">
        <f t="shared" si="1"/>
        <v>AP48</v>
      </c>
      <c r="C26" s="395" t="s">
        <v>617</v>
      </c>
      <c r="D26" s="396">
        <v>1257.06</v>
      </c>
      <c r="E26" s="397">
        <v>2</v>
      </c>
      <c r="F26" s="399">
        <f t="shared" si="6"/>
        <v>1257.06</v>
      </c>
      <c r="G26" s="399"/>
      <c r="H26" s="508">
        <v>5</v>
      </c>
      <c r="I26" s="508">
        <v>4</v>
      </c>
      <c r="J26" s="509">
        <v>1</v>
      </c>
    </row>
    <row r="27" spans="1:10" ht="15" customHeight="1">
      <c r="A27" s="394"/>
      <c r="B27" s="395" t="str">
        <f t="shared" si="1"/>
        <v>48A/0</v>
      </c>
      <c r="C27" s="400" t="s">
        <v>618</v>
      </c>
      <c r="D27" s="396">
        <v>1101.05</v>
      </c>
      <c r="E27" s="397">
        <v>2</v>
      </c>
      <c r="F27" s="399">
        <f t="shared" si="6"/>
        <v>1101.05</v>
      </c>
      <c r="G27" s="399"/>
      <c r="H27" s="508">
        <v>3</v>
      </c>
      <c r="I27" s="508"/>
      <c r="J27" s="509"/>
    </row>
    <row r="28" spans="1:10" ht="15" customHeight="1">
      <c r="A28" s="394">
        <f>A26+1</f>
        <v>22</v>
      </c>
      <c r="B28" s="395" t="str">
        <f t="shared" si="1"/>
        <v>49/0</v>
      </c>
      <c r="C28" s="395" t="s">
        <v>42</v>
      </c>
      <c r="D28" s="396">
        <v>417.22</v>
      </c>
      <c r="E28" s="397">
        <v>0</v>
      </c>
      <c r="F28" s="399"/>
      <c r="G28" s="399">
        <f t="shared" ref="G28:G30" si="7">D28</f>
        <v>417.22</v>
      </c>
      <c r="H28" s="508">
        <v>2</v>
      </c>
      <c r="I28" s="508">
        <v>0</v>
      </c>
      <c r="J28" s="509">
        <v>0</v>
      </c>
    </row>
    <row r="29" spans="1:10" ht="15" customHeight="1">
      <c r="A29" s="394">
        <f t="shared" si="0"/>
        <v>23</v>
      </c>
      <c r="B29" s="395" t="str">
        <f t="shared" si="1"/>
        <v>AP50</v>
      </c>
      <c r="C29" s="395" t="s">
        <v>43</v>
      </c>
      <c r="D29" s="396">
        <v>249.6</v>
      </c>
      <c r="E29" s="397">
        <v>0</v>
      </c>
      <c r="F29" s="399"/>
      <c r="G29" s="399">
        <f t="shared" si="7"/>
        <v>249.6</v>
      </c>
      <c r="H29" s="508">
        <v>0</v>
      </c>
      <c r="I29" s="508">
        <v>3</v>
      </c>
      <c r="J29" s="509">
        <v>0</v>
      </c>
    </row>
    <row r="30" spans="1:10" ht="15" customHeight="1">
      <c r="A30" s="394">
        <f t="shared" si="0"/>
        <v>24</v>
      </c>
      <c r="B30" s="395" t="str">
        <f t="shared" si="1"/>
        <v>AP51</v>
      </c>
      <c r="C30" s="395" t="s">
        <v>44</v>
      </c>
      <c r="D30" s="396">
        <v>333.6</v>
      </c>
      <c r="E30" s="397">
        <v>0</v>
      </c>
      <c r="F30" s="399"/>
      <c r="G30" s="399">
        <f t="shared" si="7"/>
        <v>333.6</v>
      </c>
      <c r="H30" s="508">
        <v>0</v>
      </c>
      <c r="I30" s="508">
        <v>0</v>
      </c>
      <c r="J30" s="509">
        <v>0</v>
      </c>
    </row>
    <row r="31" spans="1:10" ht="15" customHeight="1">
      <c r="A31" s="394">
        <f t="shared" si="0"/>
        <v>25</v>
      </c>
      <c r="B31" s="395" t="str">
        <f t="shared" si="1"/>
        <v>AP52</v>
      </c>
      <c r="C31" s="395" t="s">
        <v>45</v>
      </c>
      <c r="D31" s="396">
        <v>1034.0999999999999</v>
      </c>
      <c r="E31" s="397">
        <v>2</v>
      </c>
      <c r="F31" s="399">
        <f>D31</f>
        <v>1034.0999999999999</v>
      </c>
      <c r="G31" s="399"/>
      <c r="H31" s="508">
        <v>1</v>
      </c>
      <c r="I31" s="508">
        <v>0</v>
      </c>
      <c r="J31" s="509">
        <v>0</v>
      </c>
    </row>
    <row r="32" spans="1:10" ht="15" customHeight="1">
      <c r="A32" s="394">
        <f t="shared" si="0"/>
        <v>26</v>
      </c>
      <c r="B32" s="395" t="str">
        <f t="shared" si="1"/>
        <v>AP53</v>
      </c>
      <c r="C32" s="395" t="s">
        <v>46</v>
      </c>
      <c r="D32" s="396">
        <v>258.62</v>
      </c>
      <c r="E32" s="397">
        <v>0</v>
      </c>
      <c r="F32" s="399"/>
      <c r="G32" s="399">
        <f>D32</f>
        <v>258.62</v>
      </c>
      <c r="H32" s="508">
        <v>0</v>
      </c>
      <c r="I32" s="508">
        <v>0</v>
      </c>
      <c r="J32" s="509">
        <v>0</v>
      </c>
    </row>
    <row r="33" spans="1:15" ht="15" customHeight="1">
      <c r="A33" s="394">
        <f t="shared" si="0"/>
        <v>27</v>
      </c>
      <c r="B33" s="395" t="str">
        <f t="shared" si="1"/>
        <v>AP54</v>
      </c>
      <c r="C33" s="395" t="s">
        <v>47</v>
      </c>
      <c r="D33" s="396">
        <v>1836.69</v>
      </c>
      <c r="E33" s="397">
        <v>4</v>
      </c>
      <c r="F33" s="399">
        <f t="shared" ref="F33:F35" si="8">D33</f>
        <v>1836.69</v>
      </c>
      <c r="G33" s="399"/>
      <c r="H33" s="508">
        <v>11</v>
      </c>
      <c r="I33" s="508">
        <v>12</v>
      </c>
      <c r="J33" s="509">
        <v>0</v>
      </c>
    </row>
    <row r="34" spans="1:15" ht="15" customHeight="1">
      <c r="A34" s="394">
        <f t="shared" si="0"/>
        <v>28</v>
      </c>
      <c r="B34" s="395" t="str">
        <f t="shared" si="1"/>
        <v>AP55</v>
      </c>
      <c r="C34" s="395" t="s">
        <v>48</v>
      </c>
      <c r="D34" s="396">
        <v>2704.49</v>
      </c>
      <c r="E34" s="397">
        <v>6</v>
      </c>
      <c r="F34" s="399">
        <f t="shared" si="8"/>
        <v>2704.49</v>
      </c>
      <c r="G34" s="399"/>
      <c r="H34" s="508">
        <v>13</v>
      </c>
      <c r="I34" s="508">
        <v>5</v>
      </c>
      <c r="J34" s="509">
        <v>0</v>
      </c>
    </row>
    <row r="35" spans="1:15" ht="15" customHeight="1">
      <c r="A35" s="394">
        <f t="shared" si="0"/>
        <v>29</v>
      </c>
      <c r="B35" s="395" t="str">
        <f t="shared" si="1"/>
        <v>AP56</v>
      </c>
      <c r="C35" s="395" t="s">
        <v>186</v>
      </c>
      <c r="D35" s="396">
        <v>1230</v>
      </c>
      <c r="E35" s="397">
        <v>2</v>
      </c>
      <c r="F35" s="399">
        <f t="shared" si="8"/>
        <v>1230</v>
      </c>
      <c r="G35" s="399"/>
      <c r="H35" s="508">
        <v>4</v>
      </c>
      <c r="I35" s="508">
        <v>2</v>
      </c>
      <c r="J35" s="509"/>
    </row>
    <row r="36" spans="1:15" ht="18" customHeight="1">
      <c r="A36" s="394">
        <f t="shared" si="0"/>
        <v>30</v>
      </c>
      <c r="B36" s="395" t="str">
        <f t="shared" si="1"/>
        <v>56/3</v>
      </c>
      <c r="C36" s="401" t="s">
        <v>531</v>
      </c>
      <c r="D36" s="402">
        <v>276.49</v>
      </c>
      <c r="E36" s="397">
        <v>0</v>
      </c>
      <c r="F36" s="399"/>
      <c r="G36" s="399">
        <f>D36</f>
        <v>276.49</v>
      </c>
      <c r="H36" s="510">
        <v>0</v>
      </c>
      <c r="I36" s="510">
        <v>3</v>
      </c>
      <c r="J36" s="511">
        <v>0</v>
      </c>
    </row>
    <row r="37" spans="1:15" ht="18" customHeight="1">
      <c r="A37" s="394">
        <f t="shared" si="0"/>
        <v>31</v>
      </c>
      <c r="B37" s="395" t="str">
        <f t="shared" si="1"/>
        <v>57/0</v>
      </c>
      <c r="C37" s="403" t="s">
        <v>565</v>
      </c>
      <c r="D37" s="404">
        <v>1535.81</v>
      </c>
      <c r="E37" s="397">
        <v>3</v>
      </c>
      <c r="F37" s="399">
        <f>D37</f>
        <v>1535.81</v>
      </c>
      <c r="G37" s="399"/>
      <c r="H37" s="510">
        <v>10</v>
      </c>
      <c r="I37" s="510">
        <v>3</v>
      </c>
      <c r="J37" s="511">
        <v>0</v>
      </c>
      <c r="O37" s="2"/>
    </row>
    <row r="38" spans="1:15" ht="18" customHeight="1">
      <c r="A38" s="394">
        <f t="shared" si="0"/>
        <v>32</v>
      </c>
      <c r="B38" s="395" t="str">
        <f t="shared" si="1"/>
        <v>58/0</v>
      </c>
      <c r="C38" s="403" t="s">
        <v>567</v>
      </c>
      <c r="D38" s="404">
        <v>203.9</v>
      </c>
      <c r="E38" s="397">
        <v>0</v>
      </c>
      <c r="F38" s="399"/>
      <c r="G38" s="399">
        <f>D38</f>
        <v>203.9</v>
      </c>
      <c r="H38" s="510">
        <v>0</v>
      </c>
      <c r="I38" s="510">
        <v>0</v>
      </c>
      <c r="J38" s="511">
        <v>0</v>
      </c>
    </row>
    <row r="39" spans="1:15" ht="18" customHeight="1">
      <c r="A39" s="394">
        <f t="shared" si="0"/>
        <v>33</v>
      </c>
      <c r="B39" s="395" t="str">
        <f t="shared" si="1"/>
        <v>59/0</v>
      </c>
      <c r="C39" s="403" t="s">
        <v>569</v>
      </c>
      <c r="D39" s="404">
        <v>702.8</v>
      </c>
      <c r="E39" s="397">
        <v>1</v>
      </c>
      <c r="F39" s="399">
        <f t="shared" ref="F39:F40" si="9">D39</f>
        <v>702.8</v>
      </c>
      <c r="G39" s="399"/>
      <c r="H39" s="510">
        <v>5</v>
      </c>
      <c r="I39" s="510">
        <v>1</v>
      </c>
      <c r="J39" s="511">
        <v>0</v>
      </c>
    </row>
    <row r="40" spans="1:15" ht="18" customHeight="1">
      <c r="A40" s="394">
        <f t="shared" si="0"/>
        <v>34</v>
      </c>
      <c r="B40" s="395" t="str">
        <f t="shared" si="1"/>
        <v>60/0</v>
      </c>
      <c r="C40" s="403" t="s">
        <v>574</v>
      </c>
      <c r="D40" s="404">
        <v>1942</v>
      </c>
      <c r="E40" s="397">
        <v>4</v>
      </c>
      <c r="F40" s="399">
        <f t="shared" si="9"/>
        <v>1942</v>
      </c>
      <c r="G40" s="399"/>
      <c r="H40" s="510">
        <v>10</v>
      </c>
      <c r="I40" s="510">
        <v>1</v>
      </c>
      <c r="J40" s="511">
        <v>0</v>
      </c>
    </row>
    <row r="41" spans="1:15" ht="18" customHeight="1">
      <c r="A41" s="394">
        <f t="shared" si="0"/>
        <v>35</v>
      </c>
      <c r="B41" s="395" t="str">
        <f t="shared" si="1"/>
        <v>61/0</v>
      </c>
      <c r="C41" s="403" t="s">
        <v>619</v>
      </c>
      <c r="D41" s="404">
        <v>358.1</v>
      </c>
      <c r="E41" s="397">
        <v>0</v>
      </c>
      <c r="F41" s="398"/>
      <c r="G41" s="399">
        <f t="shared" ref="G41:G43" si="10">D41</f>
        <v>358.1</v>
      </c>
      <c r="H41" s="510">
        <v>1</v>
      </c>
      <c r="I41" s="508">
        <v>0</v>
      </c>
      <c r="J41" s="509">
        <v>0</v>
      </c>
    </row>
    <row r="42" spans="1:15" ht="18" customHeight="1">
      <c r="A42" s="394">
        <f t="shared" si="0"/>
        <v>36</v>
      </c>
      <c r="B42" s="395" t="str">
        <f t="shared" si="1"/>
        <v>62/0</v>
      </c>
      <c r="C42" s="403" t="s">
        <v>620</v>
      </c>
      <c r="D42" s="404">
        <v>278.7</v>
      </c>
      <c r="E42" s="397">
        <v>0</v>
      </c>
      <c r="F42" s="398"/>
      <c r="G42" s="399">
        <f t="shared" si="10"/>
        <v>278.7</v>
      </c>
      <c r="H42" s="508">
        <v>0</v>
      </c>
      <c r="I42" s="510">
        <v>1</v>
      </c>
      <c r="J42" s="509">
        <v>0</v>
      </c>
    </row>
    <row r="43" spans="1:15" ht="18" customHeight="1">
      <c r="A43" s="394">
        <f t="shared" si="0"/>
        <v>37</v>
      </c>
      <c r="B43" s="395" t="str">
        <f t="shared" si="1"/>
        <v>63/0</v>
      </c>
      <c r="C43" s="403" t="s">
        <v>621</v>
      </c>
      <c r="D43" s="404">
        <v>135</v>
      </c>
      <c r="E43" s="397">
        <v>0</v>
      </c>
      <c r="F43" s="398"/>
      <c r="G43" s="399">
        <f t="shared" si="10"/>
        <v>135</v>
      </c>
      <c r="H43" s="508">
        <v>0</v>
      </c>
      <c r="I43" s="510">
        <v>1</v>
      </c>
      <c r="J43" s="509">
        <v>0</v>
      </c>
    </row>
    <row r="44" spans="1:15" s="408" customFormat="1" ht="15" thickBot="1">
      <c r="A44" s="722" t="s">
        <v>58</v>
      </c>
      <c r="B44" s="723"/>
      <c r="C44" s="723"/>
      <c r="D44" s="405">
        <f>SUM(D5:D43)</f>
        <v>47837.805</v>
      </c>
      <c r="E44" s="406">
        <f>SUM(E5:E43)</f>
        <v>88</v>
      </c>
      <c r="F44" s="407">
        <f>SUM(F5:F43)/1000</f>
        <v>43.429580000000001</v>
      </c>
      <c r="G44" s="407">
        <f>SUM(G5:G43)/1000</f>
        <v>4.4082249999999998</v>
      </c>
      <c r="H44" s="512">
        <f>SUM(H5:H43)</f>
        <v>122</v>
      </c>
      <c r="I44" s="512">
        <f>SUM(I5:I43)</f>
        <v>76</v>
      </c>
      <c r="J44" s="513">
        <f>SUM(J5:J43)</f>
        <v>7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J27"/>
  <sheetViews>
    <sheetView view="pageBreakPreview" topLeftCell="A4" zoomScale="60" zoomScaleNormal="80" workbookViewId="0">
      <selection activeCell="G24" sqref="G24"/>
    </sheetView>
  </sheetViews>
  <sheetFormatPr defaultColWidth="9.21875" defaultRowHeight="14.4"/>
  <cols>
    <col min="1" max="1" width="19.88671875" style="317" customWidth="1"/>
    <col min="2" max="2" width="14.88671875" style="317" customWidth="1"/>
    <col min="3" max="3" width="15.109375" style="317" customWidth="1"/>
    <col min="4" max="4" width="57" style="306" customWidth="1"/>
    <col min="5" max="5" width="16.21875" style="306" customWidth="1"/>
    <col min="6" max="6" width="16.21875" style="318" customWidth="1"/>
    <col min="7" max="7" width="19.33203125" style="319" customWidth="1"/>
    <col min="8" max="8" width="16.21875" style="320" customWidth="1"/>
    <col min="9" max="9" width="16.21875" style="321" customWidth="1"/>
    <col min="10" max="10" width="30.5546875" style="306" customWidth="1"/>
    <col min="11" max="256" width="9.21875" style="306"/>
    <col min="257" max="257" width="19.88671875" style="306" customWidth="1"/>
    <col min="258" max="258" width="14.88671875" style="306" customWidth="1"/>
    <col min="259" max="259" width="15.109375" style="306" customWidth="1"/>
    <col min="260" max="260" width="57" style="306" customWidth="1"/>
    <col min="261" max="265" width="16.21875" style="306" customWidth="1"/>
    <col min="266" max="266" width="30.5546875" style="306" customWidth="1"/>
    <col min="267" max="512" width="9.21875" style="306"/>
    <col min="513" max="513" width="19.88671875" style="306" customWidth="1"/>
    <col min="514" max="514" width="14.88671875" style="306" customWidth="1"/>
    <col min="515" max="515" width="15.109375" style="306" customWidth="1"/>
    <col min="516" max="516" width="57" style="306" customWidth="1"/>
    <col min="517" max="521" width="16.21875" style="306" customWidth="1"/>
    <col min="522" max="522" width="30.5546875" style="306" customWidth="1"/>
    <col min="523" max="768" width="9.21875" style="306"/>
    <col min="769" max="769" width="19.88671875" style="306" customWidth="1"/>
    <col min="770" max="770" width="14.88671875" style="306" customWidth="1"/>
    <col min="771" max="771" width="15.109375" style="306" customWidth="1"/>
    <col min="772" max="772" width="57" style="306" customWidth="1"/>
    <col min="773" max="777" width="16.21875" style="306" customWidth="1"/>
    <col min="778" max="778" width="30.5546875" style="306" customWidth="1"/>
    <col min="779" max="1024" width="9.21875" style="306"/>
    <col min="1025" max="1025" width="19.88671875" style="306" customWidth="1"/>
    <col min="1026" max="1026" width="14.88671875" style="306" customWidth="1"/>
    <col min="1027" max="1027" width="15.109375" style="306" customWidth="1"/>
    <col min="1028" max="1028" width="57" style="306" customWidth="1"/>
    <col min="1029" max="1033" width="16.21875" style="306" customWidth="1"/>
    <col min="1034" max="1034" width="30.5546875" style="306" customWidth="1"/>
    <col min="1035" max="1280" width="9.21875" style="306"/>
    <col min="1281" max="1281" width="19.88671875" style="306" customWidth="1"/>
    <col min="1282" max="1282" width="14.88671875" style="306" customWidth="1"/>
    <col min="1283" max="1283" width="15.109375" style="306" customWidth="1"/>
    <col min="1284" max="1284" width="57" style="306" customWidth="1"/>
    <col min="1285" max="1289" width="16.21875" style="306" customWidth="1"/>
    <col min="1290" max="1290" width="30.5546875" style="306" customWidth="1"/>
    <col min="1291" max="1536" width="9.21875" style="306"/>
    <col min="1537" max="1537" width="19.88671875" style="306" customWidth="1"/>
    <col min="1538" max="1538" width="14.88671875" style="306" customWidth="1"/>
    <col min="1539" max="1539" width="15.109375" style="306" customWidth="1"/>
    <col min="1540" max="1540" width="57" style="306" customWidth="1"/>
    <col min="1541" max="1545" width="16.21875" style="306" customWidth="1"/>
    <col min="1546" max="1546" width="30.5546875" style="306" customWidth="1"/>
    <col min="1547" max="1792" width="9.21875" style="306"/>
    <col min="1793" max="1793" width="19.88671875" style="306" customWidth="1"/>
    <col min="1794" max="1794" width="14.88671875" style="306" customWidth="1"/>
    <col min="1795" max="1795" width="15.109375" style="306" customWidth="1"/>
    <col min="1796" max="1796" width="57" style="306" customWidth="1"/>
    <col min="1797" max="1801" width="16.21875" style="306" customWidth="1"/>
    <col min="1802" max="1802" width="30.5546875" style="306" customWidth="1"/>
    <col min="1803" max="2048" width="9.21875" style="306"/>
    <col min="2049" max="2049" width="19.88671875" style="306" customWidth="1"/>
    <col min="2050" max="2050" width="14.88671875" style="306" customWidth="1"/>
    <col min="2051" max="2051" width="15.109375" style="306" customWidth="1"/>
    <col min="2052" max="2052" width="57" style="306" customWidth="1"/>
    <col min="2053" max="2057" width="16.21875" style="306" customWidth="1"/>
    <col min="2058" max="2058" width="30.5546875" style="306" customWidth="1"/>
    <col min="2059" max="2304" width="9.21875" style="306"/>
    <col min="2305" max="2305" width="19.88671875" style="306" customWidth="1"/>
    <col min="2306" max="2306" width="14.88671875" style="306" customWidth="1"/>
    <col min="2307" max="2307" width="15.109375" style="306" customWidth="1"/>
    <col min="2308" max="2308" width="57" style="306" customWidth="1"/>
    <col min="2309" max="2313" width="16.21875" style="306" customWidth="1"/>
    <col min="2314" max="2314" width="30.5546875" style="306" customWidth="1"/>
    <col min="2315" max="2560" width="9.21875" style="306"/>
    <col min="2561" max="2561" width="19.88671875" style="306" customWidth="1"/>
    <col min="2562" max="2562" width="14.88671875" style="306" customWidth="1"/>
    <col min="2563" max="2563" width="15.109375" style="306" customWidth="1"/>
    <col min="2564" max="2564" width="57" style="306" customWidth="1"/>
    <col min="2565" max="2569" width="16.21875" style="306" customWidth="1"/>
    <col min="2570" max="2570" width="30.5546875" style="306" customWidth="1"/>
    <col min="2571" max="2816" width="9.21875" style="306"/>
    <col min="2817" max="2817" width="19.88671875" style="306" customWidth="1"/>
    <col min="2818" max="2818" width="14.88671875" style="306" customWidth="1"/>
    <col min="2819" max="2819" width="15.109375" style="306" customWidth="1"/>
    <col min="2820" max="2820" width="57" style="306" customWidth="1"/>
    <col min="2821" max="2825" width="16.21875" style="306" customWidth="1"/>
    <col min="2826" max="2826" width="30.5546875" style="306" customWidth="1"/>
    <col min="2827" max="3072" width="9.21875" style="306"/>
    <col min="3073" max="3073" width="19.88671875" style="306" customWidth="1"/>
    <col min="3074" max="3074" width="14.88671875" style="306" customWidth="1"/>
    <col min="3075" max="3075" width="15.109375" style="306" customWidth="1"/>
    <col min="3076" max="3076" width="57" style="306" customWidth="1"/>
    <col min="3077" max="3081" width="16.21875" style="306" customWidth="1"/>
    <col min="3082" max="3082" width="30.5546875" style="306" customWidth="1"/>
    <col min="3083" max="3328" width="9.21875" style="306"/>
    <col min="3329" max="3329" width="19.88671875" style="306" customWidth="1"/>
    <col min="3330" max="3330" width="14.88671875" style="306" customWidth="1"/>
    <col min="3331" max="3331" width="15.109375" style="306" customWidth="1"/>
    <col min="3332" max="3332" width="57" style="306" customWidth="1"/>
    <col min="3333" max="3337" width="16.21875" style="306" customWidth="1"/>
    <col min="3338" max="3338" width="30.5546875" style="306" customWidth="1"/>
    <col min="3339" max="3584" width="9.21875" style="306"/>
    <col min="3585" max="3585" width="19.88671875" style="306" customWidth="1"/>
    <col min="3586" max="3586" width="14.88671875" style="306" customWidth="1"/>
    <col min="3587" max="3587" width="15.109375" style="306" customWidth="1"/>
    <col min="3588" max="3588" width="57" style="306" customWidth="1"/>
    <col min="3589" max="3593" width="16.21875" style="306" customWidth="1"/>
    <col min="3594" max="3594" width="30.5546875" style="306" customWidth="1"/>
    <col min="3595" max="3840" width="9.21875" style="306"/>
    <col min="3841" max="3841" width="19.88671875" style="306" customWidth="1"/>
    <col min="3842" max="3842" width="14.88671875" style="306" customWidth="1"/>
    <col min="3843" max="3843" width="15.109375" style="306" customWidth="1"/>
    <col min="3844" max="3844" width="57" style="306" customWidth="1"/>
    <col min="3845" max="3849" width="16.21875" style="306" customWidth="1"/>
    <col min="3850" max="3850" width="30.5546875" style="306" customWidth="1"/>
    <col min="3851" max="4096" width="9.21875" style="306"/>
    <col min="4097" max="4097" width="19.88671875" style="306" customWidth="1"/>
    <col min="4098" max="4098" width="14.88671875" style="306" customWidth="1"/>
    <col min="4099" max="4099" width="15.109375" style="306" customWidth="1"/>
    <col min="4100" max="4100" width="57" style="306" customWidth="1"/>
    <col min="4101" max="4105" width="16.21875" style="306" customWidth="1"/>
    <col min="4106" max="4106" width="30.5546875" style="306" customWidth="1"/>
    <col min="4107" max="4352" width="9.21875" style="306"/>
    <col min="4353" max="4353" width="19.88671875" style="306" customWidth="1"/>
    <col min="4354" max="4354" width="14.88671875" style="306" customWidth="1"/>
    <col min="4355" max="4355" width="15.109375" style="306" customWidth="1"/>
    <col min="4356" max="4356" width="57" style="306" customWidth="1"/>
    <col min="4357" max="4361" width="16.21875" style="306" customWidth="1"/>
    <col min="4362" max="4362" width="30.5546875" style="306" customWidth="1"/>
    <col min="4363" max="4608" width="9.21875" style="306"/>
    <col min="4609" max="4609" width="19.88671875" style="306" customWidth="1"/>
    <col min="4610" max="4610" width="14.88671875" style="306" customWidth="1"/>
    <col min="4611" max="4611" width="15.109375" style="306" customWidth="1"/>
    <col min="4612" max="4612" width="57" style="306" customWidth="1"/>
    <col min="4613" max="4617" width="16.21875" style="306" customWidth="1"/>
    <col min="4618" max="4618" width="30.5546875" style="306" customWidth="1"/>
    <col min="4619" max="4864" width="9.21875" style="306"/>
    <col min="4865" max="4865" width="19.88671875" style="306" customWidth="1"/>
    <col min="4866" max="4866" width="14.88671875" style="306" customWidth="1"/>
    <col min="4867" max="4867" width="15.109375" style="306" customWidth="1"/>
    <col min="4868" max="4868" width="57" style="306" customWidth="1"/>
    <col min="4869" max="4873" width="16.21875" style="306" customWidth="1"/>
    <col min="4874" max="4874" width="30.5546875" style="306" customWidth="1"/>
    <col min="4875" max="5120" width="9.21875" style="306"/>
    <col min="5121" max="5121" width="19.88671875" style="306" customWidth="1"/>
    <col min="5122" max="5122" width="14.88671875" style="306" customWidth="1"/>
    <col min="5123" max="5123" width="15.109375" style="306" customWidth="1"/>
    <col min="5124" max="5124" width="57" style="306" customWidth="1"/>
    <col min="5125" max="5129" width="16.21875" style="306" customWidth="1"/>
    <col min="5130" max="5130" width="30.5546875" style="306" customWidth="1"/>
    <col min="5131" max="5376" width="9.21875" style="306"/>
    <col min="5377" max="5377" width="19.88671875" style="306" customWidth="1"/>
    <col min="5378" max="5378" width="14.88671875" style="306" customWidth="1"/>
    <col min="5379" max="5379" width="15.109375" style="306" customWidth="1"/>
    <col min="5380" max="5380" width="57" style="306" customWidth="1"/>
    <col min="5381" max="5385" width="16.21875" style="306" customWidth="1"/>
    <col min="5386" max="5386" width="30.5546875" style="306" customWidth="1"/>
    <col min="5387" max="5632" width="9.21875" style="306"/>
    <col min="5633" max="5633" width="19.88671875" style="306" customWidth="1"/>
    <col min="5634" max="5634" width="14.88671875" style="306" customWidth="1"/>
    <col min="5635" max="5635" width="15.109375" style="306" customWidth="1"/>
    <col min="5636" max="5636" width="57" style="306" customWidth="1"/>
    <col min="5637" max="5641" width="16.21875" style="306" customWidth="1"/>
    <col min="5642" max="5642" width="30.5546875" style="306" customWidth="1"/>
    <col min="5643" max="5888" width="9.21875" style="306"/>
    <col min="5889" max="5889" width="19.88671875" style="306" customWidth="1"/>
    <col min="5890" max="5890" width="14.88671875" style="306" customWidth="1"/>
    <col min="5891" max="5891" width="15.109375" style="306" customWidth="1"/>
    <col min="5892" max="5892" width="57" style="306" customWidth="1"/>
    <col min="5893" max="5897" width="16.21875" style="306" customWidth="1"/>
    <col min="5898" max="5898" width="30.5546875" style="306" customWidth="1"/>
    <col min="5899" max="6144" width="9.21875" style="306"/>
    <col min="6145" max="6145" width="19.88671875" style="306" customWidth="1"/>
    <col min="6146" max="6146" width="14.88671875" style="306" customWidth="1"/>
    <col min="6147" max="6147" width="15.109375" style="306" customWidth="1"/>
    <col min="6148" max="6148" width="57" style="306" customWidth="1"/>
    <col min="6149" max="6153" width="16.21875" style="306" customWidth="1"/>
    <col min="6154" max="6154" width="30.5546875" style="306" customWidth="1"/>
    <col min="6155" max="6400" width="9.21875" style="306"/>
    <col min="6401" max="6401" width="19.88671875" style="306" customWidth="1"/>
    <col min="6402" max="6402" width="14.88671875" style="306" customWidth="1"/>
    <col min="6403" max="6403" width="15.109375" style="306" customWidth="1"/>
    <col min="6404" max="6404" width="57" style="306" customWidth="1"/>
    <col min="6405" max="6409" width="16.21875" style="306" customWidth="1"/>
    <col min="6410" max="6410" width="30.5546875" style="306" customWidth="1"/>
    <col min="6411" max="6656" width="9.21875" style="306"/>
    <col min="6657" max="6657" width="19.88671875" style="306" customWidth="1"/>
    <col min="6658" max="6658" width="14.88671875" style="306" customWidth="1"/>
    <col min="6659" max="6659" width="15.109375" style="306" customWidth="1"/>
    <col min="6660" max="6660" width="57" style="306" customWidth="1"/>
    <col min="6661" max="6665" width="16.21875" style="306" customWidth="1"/>
    <col min="6666" max="6666" width="30.5546875" style="306" customWidth="1"/>
    <col min="6667" max="6912" width="9.21875" style="306"/>
    <col min="6913" max="6913" width="19.88671875" style="306" customWidth="1"/>
    <col min="6914" max="6914" width="14.88671875" style="306" customWidth="1"/>
    <col min="6915" max="6915" width="15.109375" style="306" customWidth="1"/>
    <col min="6916" max="6916" width="57" style="306" customWidth="1"/>
    <col min="6917" max="6921" width="16.21875" style="306" customWidth="1"/>
    <col min="6922" max="6922" width="30.5546875" style="306" customWidth="1"/>
    <col min="6923" max="7168" width="9.21875" style="306"/>
    <col min="7169" max="7169" width="19.88671875" style="306" customWidth="1"/>
    <col min="7170" max="7170" width="14.88671875" style="306" customWidth="1"/>
    <col min="7171" max="7171" width="15.109375" style="306" customWidth="1"/>
    <col min="7172" max="7172" width="57" style="306" customWidth="1"/>
    <col min="7173" max="7177" width="16.21875" style="306" customWidth="1"/>
    <col min="7178" max="7178" width="30.5546875" style="306" customWidth="1"/>
    <col min="7179" max="7424" width="9.21875" style="306"/>
    <col min="7425" max="7425" width="19.88671875" style="306" customWidth="1"/>
    <col min="7426" max="7426" width="14.88671875" style="306" customWidth="1"/>
    <col min="7427" max="7427" width="15.109375" style="306" customWidth="1"/>
    <col min="7428" max="7428" width="57" style="306" customWidth="1"/>
    <col min="7429" max="7433" width="16.21875" style="306" customWidth="1"/>
    <col min="7434" max="7434" width="30.5546875" style="306" customWidth="1"/>
    <col min="7435" max="7680" width="9.21875" style="306"/>
    <col min="7681" max="7681" width="19.88671875" style="306" customWidth="1"/>
    <col min="7682" max="7682" width="14.88671875" style="306" customWidth="1"/>
    <col min="7683" max="7683" width="15.109375" style="306" customWidth="1"/>
    <col min="7684" max="7684" width="57" style="306" customWidth="1"/>
    <col min="7685" max="7689" width="16.21875" style="306" customWidth="1"/>
    <col min="7690" max="7690" width="30.5546875" style="306" customWidth="1"/>
    <col min="7691" max="7936" width="9.21875" style="306"/>
    <col min="7937" max="7937" width="19.88671875" style="306" customWidth="1"/>
    <col min="7938" max="7938" width="14.88671875" style="306" customWidth="1"/>
    <col min="7939" max="7939" width="15.109375" style="306" customWidth="1"/>
    <col min="7940" max="7940" width="57" style="306" customWidth="1"/>
    <col min="7941" max="7945" width="16.21875" style="306" customWidth="1"/>
    <col min="7946" max="7946" width="30.5546875" style="306" customWidth="1"/>
    <col min="7947" max="8192" width="9.21875" style="306"/>
    <col min="8193" max="8193" width="19.88671875" style="306" customWidth="1"/>
    <col min="8194" max="8194" width="14.88671875" style="306" customWidth="1"/>
    <col min="8195" max="8195" width="15.109375" style="306" customWidth="1"/>
    <col min="8196" max="8196" width="57" style="306" customWidth="1"/>
    <col min="8197" max="8201" width="16.21875" style="306" customWidth="1"/>
    <col min="8202" max="8202" width="30.5546875" style="306" customWidth="1"/>
    <col min="8203" max="8448" width="9.21875" style="306"/>
    <col min="8449" max="8449" width="19.88671875" style="306" customWidth="1"/>
    <col min="8450" max="8450" width="14.88671875" style="306" customWidth="1"/>
    <col min="8451" max="8451" width="15.109375" style="306" customWidth="1"/>
    <col min="8452" max="8452" width="57" style="306" customWidth="1"/>
    <col min="8453" max="8457" width="16.21875" style="306" customWidth="1"/>
    <col min="8458" max="8458" width="30.5546875" style="306" customWidth="1"/>
    <col min="8459" max="8704" width="9.21875" style="306"/>
    <col min="8705" max="8705" width="19.88671875" style="306" customWidth="1"/>
    <col min="8706" max="8706" width="14.88671875" style="306" customWidth="1"/>
    <col min="8707" max="8707" width="15.109375" style="306" customWidth="1"/>
    <col min="8708" max="8708" width="57" style="306" customWidth="1"/>
    <col min="8709" max="8713" width="16.21875" style="306" customWidth="1"/>
    <col min="8714" max="8714" width="30.5546875" style="306" customWidth="1"/>
    <col min="8715" max="8960" width="9.21875" style="306"/>
    <col min="8961" max="8961" width="19.88671875" style="306" customWidth="1"/>
    <col min="8962" max="8962" width="14.88671875" style="306" customWidth="1"/>
    <col min="8963" max="8963" width="15.109375" style="306" customWidth="1"/>
    <col min="8964" max="8964" width="57" style="306" customWidth="1"/>
    <col min="8965" max="8969" width="16.21875" style="306" customWidth="1"/>
    <col min="8970" max="8970" width="30.5546875" style="306" customWidth="1"/>
    <col min="8971" max="9216" width="9.21875" style="306"/>
    <col min="9217" max="9217" width="19.88671875" style="306" customWidth="1"/>
    <col min="9218" max="9218" width="14.88671875" style="306" customWidth="1"/>
    <col min="9219" max="9219" width="15.109375" style="306" customWidth="1"/>
    <col min="9220" max="9220" width="57" style="306" customWidth="1"/>
    <col min="9221" max="9225" width="16.21875" style="306" customWidth="1"/>
    <col min="9226" max="9226" width="30.5546875" style="306" customWidth="1"/>
    <col min="9227" max="9472" width="9.21875" style="306"/>
    <col min="9473" max="9473" width="19.88671875" style="306" customWidth="1"/>
    <col min="9474" max="9474" width="14.88671875" style="306" customWidth="1"/>
    <col min="9475" max="9475" width="15.109375" style="306" customWidth="1"/>
    <col min="9476" max="9476" width="57" style="306" customWidth="1"/>
    <col min="9477" max="9481" width="16.21875" style="306" customWidth="1"/>
    <col min="9482" max="9482" width="30.5546875" style="306" customWidth="1"/>
    <col min="9483" max="9728" width="9.21875" style="306"/>
    <col min="9729" max="9729" width="19.88671875" style="306" customWidth="1"/>
    <col min="9730" max="9730" width="14.88671875" style="306" customWidth="1"/>
    <col min="9731" max="9731" width="15.109375" style="306" customWidth="1"/>
    <col min="9732" max="9732" width="57" style="306" customWidth="1"/>
    <col min="9733" max="9737" width="16.21875" style="306" customWidth="1"/>
    <col min="9738" max="9738" width="30.5546875" style="306" customWidth="1"/>
    <col min="9739" max="9984" width="9.21875" style="306"/>
    <col min="9985" max="9985" width="19.88671875" style="306" customWidth="1"/>
    <col min="9986" max="9986" width="14.88671875" style="306" customWidth="1"/>
    <col min="9987" max="9987" width="15.109375" style="306" customWidth="1"/>
    <col min="9988" max="9988" width="57" style="306" customWidth="1"/>
    <col min="9989" max="9993" width="16.21875" style="306" customWidth="1"/>
    <col min="9994" max="9994" width="30.5546875" style="306" customWidth="1"/>
    <col min="9995" max="10240" width="9.21875" style="306"/>
    <col min="10241" max="10241" width="19.88671875" style="306" customWidth="1"/>
    <col min="10242" max="10242" width="14.88671875" style="306" customWidth="1"/>
    <col min="10243" max="10243" width="15.109375" style="306" customWidth="1"/>
    <col min="10244" max="10244" width="57" style="306" customWidth="1"/>
    <col min="10245" max="10249" width="16.21875" style="306" customWidth="1"/>
    <col min="10250" max="10250" width="30.5546875" style="306" customWidth="1"/>
    <col min="10251" max="10496" width="9.21875" style="306"/>
    <col min="10497" max="10497" width="19.88671875" style="306" customWidth="1"/>
    <col min="10498" max="10498" width="14.88671875" style="306" customWidth="1"/>
    <col min="10499" max="10499" width="15.109375" style="306" customWidth="1"/>
    <col min="10500" max="10500" width="57" style="306" customWidth="1"/>
    <col min="10501" max="10505" width="16.21875" style="306" customWidth="1"/>
    <col min="10506" max="10506" width="30.5546875" style="306" customWidth="1"/>
    <col min="10507" max="10752" width="9.21875" style="306"/>
    <col min="10753" max="10753" width="19.88671875" style="306" customWidth="1"/>
    <col min="10754" max="10754" width="14.88671875" style="306" customWidth="1"/>
    <col min="10755" max="10755" width="15.109375" style="306" customWidth="1"/>
    <col min="10756" max="10756" width="57" style="306" customWidth="1"/>
    <col min="10757" max="10761" width="16.21875" style="306" customWidth="1"/>
    <col min="10762" max="10762" width="30.5546875" style="306" customWidth="1"/>
    <col min="10763" max="11008" width="9.21875" style="306"/>
    <col min="11009" max="11009" width="19.88671875" style="306" customWidth="1"/>
    <col min="11010" max="11010" width="14.88671875" style="306" customWidth="1"/>
    <col min="11011" max="11011" width="15.109375" style="306" customWidth="1"/>
    <col min="11012" max="11012" width="57" style="306" customWidth="1"/>
    <col min="11013" max="11017" width="16.21875" style="306" customWidth="1"/>
    <col min="11018" max="11018" width="30.5546875" style="306" customWidth="1"/>
    <col min="11019" max="11264" width="9.21875" style="306"/>
    <col min="11265" max="11265" width="19.88671875" style="306" customWidth="1"/>
    <col min="11266" max="11266" width="14.88671875" style="306" customWidth="1"/>
    <col min="11267" max="11267" width="15.109375" style="306" customWidth="1"/>
    <col min="11268" max="11268" width="57" style="306" customWidth="1"/>
    <col min="11269" max="11273" width="16.21875" style="306" customWidth="1"/>
    <col min="11274" max="11274" width="30.5546875" style="306" customWidth="1"/>
    <col min="11275" max="11520" width="9.21875" style="306"/>
    <col min="11521" max="11521" width="19.88671875" style="306" customWidth="1"/>
    <col min="11522" max="11522" width="14.88671875" style="306" customWidth="1"/>
    <col min="11523" max="11523" width="15.109375" style="306" customWidth="1"/>
    <col min="11524" max="11524" width="57" style="306" customWidth="1"/>
    <col min="11525" max="11529" width="16.21875" style="306" customWidth="1"/>
    <col min="11530" max="11530" width="30.5546875" style="306" customWidth="1"/>
    <col min="11531" max="11776" width="9.21875" style="306"/>
    <col min="11777" max="11777" width="19.88671875" style="306" customWidth="1"/>
    <col min="11778" max="11778" width="14.88671875" style="306" customWidth="1"/>
    <col min="11779" max="11779" width="15.109375" style="306" customWidth="1"/>
    <col min="11780" max="11780" width="57" style="306" customWidth="1"/>
    <col min="11781" max="11785" width="16.21875" style="306" customWidth="1"/>
    <col min="11786" max="11786" width="30.5546875" style="306" customWidth="1"/>
    <col min="11787" max="12032" width="9.21875" style="306"/>
    <col min="12033" max="12033" width="19.88671875" style="306" customWidth="1"/>
    <col min="12034" max="12034" width="14.88671875" style="306" customWidth="1"/>
    <col min="12035" max="12035" width="15.109375" style="306" customWidth="1"/>
    <col min="12036" max="12036" width="57" style="306" customWidth="1"/>
    <col min="12037" max="12041" width="16.21875" style="306" customWidth="1"/>
    <col min="12042" max="12042" width="30.5546875" style="306" customWidth="1"/>
    <col min="12043" max="12288" width="9.21875" style="306"/>
    <col min="12289" max="12289" width="19.88671875" style="306" customWidth="1"/>
    <col min="12290" max="12290" width="14.88671875" style="306" customWidth="1"/>
    <col min="12291" max="12291" width="15.109375" style="306" customWidth="1"/>
    <col min="12292" max="12292" width="57" style="306" customWidth="1"/>
    <col min="12293" max="12297" width="16.21875" style="306" customWidth="1"/>
    <col min="12298" max="12298" width="30.5546875" style="306" customWidth="1"/>
    <col min="12299" max="12544" width="9.21875" style="306"/>
    <col min="12545" max="12545" width="19.88671875" style="306" customWidth="1"/>
    <col min="12546" max="12546" width="14.88671875" style="306" customWidth="1"/>
    <col min="12547" max="12547" width="15.109375" style="306" customWidth="1"/>
    <col min="12548" max="12548" width="57" style="306" customWidth="1"/>
    <col min="12549" max="12553" width="16.21875" style="306" customWidth="1"/>
    <col min="12554" max="12554" width="30.5546875" style="306" customWidth="1"/>
    <col min="12555" max="12800" width="9.21875" style="306"/>
    <col min="12801" max="12801" width="19.88671875" style="306" customWidth="1"/>
    <col min="12802" max="12802" width="14.88671875" style="306" customWidth="1"/>
    <col min="12803" max="12803" width="15.109375" style="306" customWidth="1"/>
    <col min="12804" max="12804" width="57" style="306" customWidth="1"/>
    <col min="12805" max="12809" width="16.21875" style="306" customWidth="1"/>
    <col min="12810" max="12810" width="30.5546875" style="306" customWidth="1"/>
    <col min="12811" max="13056" width="9.21875" style="306"/>
    <col min="13057" max="13057" width="19.88671875" style="306" customWidth="1"/>
    <col min="13058" max="13058" width="14.88671875" style="306" customWidth="1"/>
    <col min="13059" max="13059" width="15.109375" style="306" customWidth="1"/>
    <col min="13060" max="13060" width="57" style="306" customWidth="1"/>
    <col min="13061" max="13065" width="16.21875" style="306" customWidth="1"/>
    <col min="13066" max="13066" width="30.5546875" style="306" customWidth="1"/>
    <col min="13067" max="13312" width="9.21875" style="306"/>
    <col min="13313" max="13313" width="19.88671875" style="306" customWidth="1"/>
    <col min="13314" max="13314" width="14.88671875" style="306" customWidth="1"/>
    <col min="13315" max="13315" width="15.109375" style="306" customWidth="1"/>
    <col min="13316" max="13316" width="57" style="306" customWidth="1"/>
    <col min="13317" max="13321" width="16.21875" style="306" customWidth="1"/>
    <col min="13322" max="13322" width="30.5546875" style="306" customWidth="1"/>
    <col min="13323" max="13568" width="9.21875" style="306"/>
    <col min="13569" max="13569" width="19.88671875" style="306" customWidth="1"/>
    <col min="13570" max="13570" width="14.88671875" style="306" customWidth="1"/>
    <col min="13571" max="13571" width="15.109375" style="306" customWidth="1"/>
    <col min="13572" max="13572" width="57" style="306" customWidth="1"/>
    <col min="13573" max="13577" width="16.21875" style="306" customWidth="1"/>
    <col min="13578" max="13578" width="30.5546875" style="306" customWidth="1"/>
    <col min="13579" max="13824" width="9.21875" style="306"/>
    <col min="13825" max="13825" width="19.88671875" style="306" customWidth="1"/>
    <col min="13826" max="13826" width="14.88671875" style="306" customWidth="1"/>
    <col min="13827" max="13827" width="15.109375" style="306" customWidth="1"/>
    <col min="13828" max="13828" width="57" style="306" customWidth="1"/>
    <col min="13829" max="13833" width="16.21875" style="306" customWidth="1"/>
    <col min="13834" max="13834" width="30.5546875" style="306" customWidth="1"/>
    <col min="13835" max="14080" width="9.21875" style="306"/>
    <col min="14081" max="14081" width="19.88671875" style="306" customWidth="1"/>
    <col min="14082" max="14082" width="14.88671875" style="306" customWidth="1"/>
    <col min="14083" max="14083" width="15.109375" style="306" customWidth="1"/>
    <col min="14084" max="14084" width="57" style="306" customWidth="1"/>
    <col min="14085" max="14089" width="16.21875" style="306" customWidth="1"/>
    <col min="14090" max="14090" width="30.5546875" style="306" customWidth="1"/>
    <col min="14091" max="14336" width="9.21875" style="306"/>
    <col min="14337" max="14337" width="19.88671875" style="306" customWidth="1"/>
    <col min="14338" max="14338" width="14.88671875" style="306" customWidth="1"/>
    <col min="14339" max="14339" width="15.109375" style="306" customWidth="1"/>
    <col min="14340" max="14340" width="57" style="306" customWidth="1"/>
    <col min="14341" max="14345" width="16.21875" style="306" customWidth="1"/>
    <col min="14346" max="14346" width="30.5546875" style="306" customWidth="1"/>
    <col min="14347" max="14592" width="9.21875" style="306"/>
    <col min="14593" max="14593" width="19.88671875" style="306" customWidth="1"/>
    <col min="14594" max="14594" width="14.88671875" style="306" customWidth="1"/>
    <col min="14595" max="14595" width="15.109375" style="306" customWidth="1"/>
    <col min="14596" max="14596" width="57" style="306" customWidth="1"/>
    <col min="14597" max="14601" width="16.21875" style="306" customWidth="1"/>
    <col min="14602" max="14602" width="30.5546875" style="306" customWidth="1"/>
    <col min="14603" max="14848" width="9.21875" style="306"/>
    <col min="14849" max="14849" width="19.88671875" style="306" customWidth="1"/>
    <col min="14850" max="14850" width="14.88671875" style="306" customWidth="1"/>
    <col min="14851" max="14851" width="15.109375" style="306" customWidth="1"/>
    <col min="14852" max="14852" width="57" style="306" customWidth="1"/>
    <col min="14853" max="14857" width="16.21875" style="306" customWidth="1"/>
    <col min="14858" max="14858" width="30.5546875" style="306" customWidth="1"/>
    <col min="14859" max="15104" width="9.21875" style="306"/>
    <col min="15105" max="15105" width="19.88671875" style="306" customWidth="1"/>
    <col min="15106" max="15106" width="14.88671875" style="306" customWidth="1"/>
    <col min="15107" max="15107" width="15.109375" style="306" customWidth="1"/>
    <col min="15108" max="15108" width="57" style="306" customWidth="1"/>
    <col min="15109" max="15113" width="16.21875" style="306" customWidth="1"/>
    <col min="15114" max="15114" width="30.5546875" style="306" customWidth="1"/>
    <col min="15115" max="15360" width="9.21875" style="306"/>
    <col min="15361" max="15361" width="19.88671875" style="306" customWidth="1"/>
    <col min="15362" max="15362" width="14.88671875" style="306" customWidth="1"/>
    <col min="15363" max="15363" width="15.109375" style="306" customWidth="1"/>
    <col min="15364" max="15364" width="57" style="306" customWidth="1"/>
    <col min="15365" max="15369" width="16.21875" style="306" customWidth="1"/>
    <col min="15370" max="15370" width="30.5546875" style="306" customWidth="1"/>
    <col min="15371" max="15616" width="9.21875" style="306"/>
    <col min="15617" max="15617" width="19.88671875" style="306" customWidth="1"/>
    <col min="15618" max="15618" width="14.88671875" style="306" customWidth="1"/>
    <col min="15619" max="15619" width="15.109375" style="306" customWidth="1"/>
    <col min="15620" max="15620" width="57" style="306" customWidth="1"/>
    <col min="15621" max="15625" width="16.21875" style="306" customWidth="1"/>
    <col min="15626" max="15626" width="30.5546875" style="306" customWidth="1"/>
    <col min="15627" max="15872" width="9.21875" style="306"/>
    <col min="15873" max="15873" width="19.88671875" style="306" customWidth="1"/>
    <col min="15874" max="15874" width="14.88671875" style="306" customWidth="1"/>
    <col min="15875" max="15875" width="15.109375" style="306" customWidth="1"/>
    <col min="15876" max="15876" width="57" style="306" customWidth="1"/>
    <col min="15877" max="15881" width="16.21875" style="306" customWidth="1"/>
    <col min="15882" max="15882" width="30.5546875" style="306" customWidth="1"/>
    <col min="15883" max="16128" width="9.21875" style="306"/>
    <col min="16129" max="16129" width="19.88671875" style="306" customWidth="1"/>
    <col min="16130" max="16130" width="14.88671875" style="306" customWidth="1"/>
    <col min="16131" max="16131" width="15.109375" style="306" customWidth="1"/>
    <col min="16132" max="16132" width="57" style="306" customWidth="1"/>
    <col min="16133" max="16137" width="16.21875" style="306" customWidth="1"/>
    <col min="16138" max="16138" width="30.5546875" style="306" customWidth="1"/>
    <col min="16139" max="16384" width="9.21875" style="306"/>
  </cols>
  <sheetData>
    <row r="1" spans="1:10" s="297" customFormat="1" ht="18">
      <c r="A1" s="732" t="s">
        <v>533</v>
      </c>
      <c r="B1" s="733"/>
      <c r="C1" s="733"/>
      <c r="D1" s="293"/>
      <c r="E1" s="293"/>
      <c r="F1" s="292"/>
      <c r="G1" s="294"/>
      <c r="H1" s="292"/>
      <c r="I1" s="295"/>
      <c r="J1" s="296"/>
    </row>
    <row r="2" spans="1:10" s="297" customFormat="1" ht="18">
      <c r="A2" s="734" t="str">
        <f>[19]Transmittal!B11</f>
        <v>765kV D/c  Koppal II (PS)-Raichur (Part-1) transmission line project</v>
      </c>
      <c r="B2" s="735"/>
      <c r="C2" s="735"/>
      <c r="D2" s="735"/>
      <c r="E2" s="735"/>
      <c r="F2" s="735"/>
      <c r="G2" s="736"/>
      <c r="H2" s="298"/>
      <c r="I2" s="299"/>
      <c r="J2" s="300"/>
    </row>
    <row r="3" spans="1:10">
      <c r="A3" s="301"/>
      <c r="B3" s="302"/>
      <c r="C3" s="302"/>
      <c r="D3" s="302"/>
      <c r="E3" s="302"/>
      <c r="F3" s="302"/>
      <c r="G3" s="303"/>
      <c r="H3" s="302"/>
      <c r="I3" s="304"/>
      <c r="J3" s="305"/>
    </row>
    <row r="4" spans="1:10" ht="15" thickBot="1">
      <c r="A4" s="301"/>
      <c r="B4" s="302"/>
      <c r="C4" s="302"/>
      <c r="D4" s="302"/>
      <c r="E4" s="302"/>
      <c r="F4" s="302"/>
      <c r="G4" s="303"/>
      <c r="H4" s="302"/>
      <c r="I4" s="304"/>
      <c r="J4" s="305"/>
    </row>
    <row r="5" spans="1:10" s="307" customFormat="1" ht="18">
      <c r="A5" s="330" t="s">
        <v>534</v>
      </c>
      <c r="B5" s="331" t="s">
        <v>535</v>
      </c>
      <c r="C5" s="331" t="s">
        <v>536</v>
      </c>
      <c r="D5" s="331" t="s">
        <v>537</v>
      </c>
      <c r="E5" s="331" t="s">
        <v>538</v>
      </c>
      <c r="F5" s="332" t="s">
        <v>539</v>
      </c>
      <c r="G5" s="332" t="s">
        <v>540</v>
      </c>
      <c r="H5" s="333" t="s">
        <v>541</v>
      </c>
      <c r="I5" s="331" t="s">
        <v>11</v>
      </c>
      <c r="J5" s="334" t="s">
        <v>114</v>
      </c>
    </row>
    <row r="6" spans="1:10" s="312" customFormat="1" ht="18">
      <c r="A6" s="308" t="s">
        <v>542</v>
      </c>
      <c r="B6" s="309">
        <v>6</v>
      </c>
      <c r="C6" s="309">
        <v>3</v>
      </c>
      <c r="D6" s="309">
        <v>0</v>
      </c>
      <c r="E6" s="309">
        <v>0</v>
      </c>
      <c r="F6" s="309">
        <v>4</v>
      </c>
      <c r="G6" s="310">
        <v>1</v>
      </c>
      <c r="H6" s="309">
        <v>0</v>
      </c>
      <c r="I6" s="311">
        <f>SUM(B6:H6)</f>
        <v>14</v>
      </c>
      <c r="J6" s="335"/>
    </row>
    <row r="7" spans="1:10" s="312" customFormat="1" ht="36">
      <c r="A7" s="308" t="s">
        <v>543</v>
      </c>
      <c r="B7" s="309">
        <v>0</v>
      </c>
      <c r="C7" s="309">
        <v>0</v>
      </c>
      <c r="D7" s="309">
        <v>0</v>
      </c>
      <c r="E7" s="309">
        <v>0</v>
      </c>
      <c r="F7" s="309">
        <v>0</v>
      </c>
      <c r="G7" s="309">
        <v>0</v>
      </c>
      <c r="H7" s="309">
        <v>0</v>
      </c>
      <c r="I7" s="311">
        <f>SUM(B7:H7)</f>
        <v>0</v>
      </c>
      <c r="J7" s="336"/>
    </row>
    <row r="8" spans="1:10" s="312" customFormat="1" ht="36">
      <c r="A8" s="308" t="s">
        <v>544</v>
      </c>
      <c r="B8" s="309">
        <v>0</v>
      </c>
      <c r="C8" s="309">
        <v>0</v>
      </c>
      <c r="D8" s="309">
        <v>0</v>
      </c>
      <c r="E8" s="309">
        <v>0</v>
      </c>
      <c r="F8" s="309">
        <v>0</v>
      </c>
      <c r="G8" s="309">
        <v>0</v>
      </c>
      <c r="H8" s="309">
        <v>0</v>
      </c>
      <c r="I8" s="311">
        <f>SUM(B8:H8)</f>
        <v>0</v>
      </c>
      <c r="J8" s="336"/>
    </row>
    <row r="9" spans="1:10" s="312" customFormat="1" ht="36.6" thickBot="1">
      <c r="A9" s="337" t="s">
        <v>545</v>
      </c>
      <c r="B9" s="338">
        <v>0</v>
      </c>
      <c r="C9" s="338">
        <v>0</v>
      </c>
      <c r="D9" s="338">
        <f t="shared" ref="D9:I9" si="0">D6-D8</f>
        <v>0</v>
      </c>
      <c r="E9" s="338">
        <f>E6-E8</f>
        <v>0</v>
      </c>
      <c r="F9" s="338">
        <f t="shared" si="0"/>
        <v>4</v>
      </c>
      <c r="G9" s="338">
        <v>0</v>
      </c>
      <c r="H9" s="338">
        <f t="shared" si="0"/>
        <v>0</v>
      </c>
      <c r="I9" s="339">
        <f t="shared" si="0"/>
        <v>14</v>
      </c>
      <c r="J9" s="340"/>
    </row>
    <row r="10" spans="1:10" s="312" customFormat="1" ht="18.600000000000001" thickBot="1">
      <c r="A10" s="328"/>
      <c r="B10" s="329"/>
      <c r="C10" s="329"/>
      <c r="D10" s="329"/>
      <c r="E10" s="329"/>
      <c r="F10" s="329"/>
      <c r="G10" s="325"/>
      <c r="H10" s="325"/>
      <c r="I10" s="326"/>
      <c r="J10" s="327"/>
    </row>
    <row r="11" spans="1:10" ht="29.55" customHeight="1" thickBot="1">
      <c r="A11" s="737" t="s">
        <v>546</v>
      </c>
      <c r="B11" s="738"/>
      <c r="C11" s="738"/>
      <c r="D11" s="738"/>
      <c r="E11" s="738"/>
      <c r="F11" s="738"/>
      <c r="G11" s="738"/>
      <c r="H11" s="738"/>
      <c r="I11" s="739"/>
      <c r="J11" s="322"/>
    </row>
    <row r="12" spans="1:10" s="312" customFormat="1" ht="54">
      <c r="A12" s="519" t="s">
        <v>440</v>
      </c>
      <c r="B12" s="520" t="s">
        <v>547</v>
      </c>
      <c r="C12" s="520" t="s">
        <v>548</v>
      </c>
      <c r="D12" s="520" t="s">
        <v>549</v>
      </c>
      <c r="E12" s="520" t="s">
        <v>550</v>
      </c>
      <c r="F12" s="520" t="s">
        <v>623</v>
      </c>
      <c r="G12" s="520" t="s">
        <v>624</v>
      </c>
      <c r="H12" s="521" t="s">
        <v>625</v>
      </c>
      <c r="I12" s="521" t="s">
        <v>114</v>
      </c>
      <c r="J12" s="323"/>
    </row>
    <row r="13" spans="1:10" s="314" customFormat="1" ht="24.6" customHeight="1">
      <c r="A13" s="341">
        <v>1</v>
      </c>
      <c r="B13" s="342" t="s">
        <v>122</v>
      </c>
      <c r="C13" s="343" t="s">
        <v>123</v>
      </c>
      <c r="D13" s="313" t="s">
        <v>551</v>
      </c>
      <c r="E13" s="344" t="s">
        <v>552</v>
      </c>
      <c r="F13" s="409">
        <v>45576</v>
      </c>
      <c r="G13" s="410" t="s">
        <v>55</v>
      </c>
      <c r="H13" s="413" t="s">
        <v>626</v>
      </c>
      <c r="I13" s="518" t="s">
        <v>746</v>
      </c>
      <c r="J13" s="324"/>
    </row>
    <row r="14" spans="1:10" s="315" customFormat="1" ht="24.6" customHeight="1">
      <c r="A14" s="341">
        <f>A13+1</f>
        <v>2</v>
      </c>
      <c r="B14" s="343" t="s">
        <v>19</v>
      </c>
      <c r="C14" s="343" t="s">
        <v>28</v>
      </c>
      <c r="D14" s="345" t="s">
        <v>553</v>
      </c>
      <c r="E14" s="344" t="s">
        <v>552</v>
      </c>
      <c r="F14" s="409">
        <v>45576</v>
      </c>
      <c r="G14" s="410" t="s">
        <v>55</v>
      </c>
      <c r="H14" s="413" t="s">
        <v>626</v>
      </c>
      <c r="I14" s="518" t="s">
        <v>746</v>
      </c>
      <c r="J14" s="324"/>
    </row>
    <row r="15" spans="1:10" s="315" customFormat="1" ht="24.6" customHeight="1">
      <c r="A15" s="341">
        <f t="shared" ref="A15:A26" si="1">A14+1</f>
        <v>3</v>
      </c>
      <c r="B15" s="343" t="s">
        <v>35</v>
      </c>
      <c r="C15" s="343" t="s">
        <v>4</v>
      </c>
      <c r="D15" s="345" t="s">
        <v>553</v>
      </c>
      <c r="E15" s="344" t="s">
        <v>552</v>
      </c>
      <c r="F15" s="409">
        <v>45576</v>
      </c>
      <c r="G15" s="410" t="s">
        <v>55</v>
      </c>
      <c r="H15" s="413" t="s">
        <v>626</v>
      </c>
      <c r="I15" s="518" t="s">
        <v>746</v>
      </c>
      <c r="J15" s="324"/>
    </row>
    <row r="16" spans="1:10" s="315" customFormat="1" ht="24.6" customHeight="1">
      <c r="A16" s="341">
        <f t="shared" si="1"/>
        <v>4</v>
      </c>
      <c r="B16" s="343" t="s">
        <v>45</v>
      </c>
      <c r="C16" s="343" t="s">
        <v>46</v>
      </c>
      <c r="D16" s="345" t="s">
        <v>554</v>
      </c>
      <c r="E16" s="344" t="s">
        <v>552</v>
      </c>
      <c r="F16" s="409">
        <v>45576</v>
      </c>
      <c r="G16" s="410" t="s">
        <v>55</v>
      </c>
      <c r="H16" s="413" t="s">
        <v>626</v>
      </c>
      <c r="I16" s="518" t="s">
        <v>746</v>
      </c>
      <c r="J16" s="324"/>
    </row>
    <row r="17" spans="1:10" s="315" customFormat="1" ht="24.6" customHeight="1">
      <c r="A17" s="341">
        <f t="shared" si="1"/>
        <v>5</v>
      </c>
      <c r="B17" s="343" t="s">
        <v>191</v>
      </c>
      <c r="C17" s="343" t="s">
        <v>193</v>
      </c>
      <c r="D17" s="345" t="s">
        <v>622</v>
      </c>
      <c r="E17" s="344" t="s">
        <v>552</v>
      </c>
      <c r="F17" s="409">
        <v>45687</v>
      </c>
      <c r="G17" s="410" t="s">
        <v>55</v>
      </c>
      <c r="H17" s="413" t="s">
        <v>626</v>
      </c>
      <c r="I17" s="518" t="s">
        <v>746</v>
      </c>
      <c r="J17" s="324"/>
    </row>
    <row r="18" spans="1:10" s="315" customFormat="1" ht="24.6" customHeight="1">
      <c r="A18" s="341">
        <f t="shared" si="1"/>
        <v>6</v>
      </c>
      <c r="B18" s="343" t="s">
        <v>186</v>
      </c>
      <c r="C18" s="343" t="s">
        <v>54</v>
      </c>
      <c r="D18" s="346" t="s">
        <v>555</v>
      </c>
      <c r="E18" s="344" t="s">
        <v>552</v>
      </c>
      <c r="F18" s="409">
        <v>45645</v>
      </c>
      <c r="G18" s="410" t="s">
        <v>55</v>
      </c>
      <c r="H18" s="413" t="s">
        <v>626</v>
      </c>
      <c r="I18" s="518" t="s">
        <v>746</v>
      </c>
      <c r="J18" s="324"/>
    </row>
    <row r="19" spans="1:10" s="314" customFormat="1" ht="24.6" customHeight="1">
      <c r="A19" s="341">
        <f t="shared" si="1"/>
        <v>7</v>
      </c>
      <c r="B19" s="343" t="s">
        <v>23</v>
      </c>
      <c r="C19" s="343" t="s">
        <v>24</v>
      </c>
      <c r="D19" s="313" t="s">
        <v>556</v>
      </c>
      <c r="E19" s="344" t="s">
        <v>552</v>
      </c>
      <c r="F19" s="409">
        <v>45576</v>
      </c>
      <c r="G19" s="410" t="s">
        <v>55</v>
      </c>
      <c r="H19" s="413" t="s">
        <v>626</v>
      </c>
      <c r="I19" s="518" t="s">
        <v>746</v>
      </c>
      <c r="J19" s="324"/>
    </row>
    <row r="20" spans="1:10" s="315" customFormat="1" ht="24.6" customHeight="1">
      <c r="A20" s="341">
        <f t="shared" si="1"/>
        <v>8</v>
      </c>
      <c r="B20" s="343" t="s">
        <v>29</v>
      </c>
      <c r="C20" s="343" t="s">
        <v>30</v>
      </c>
      <c r="D20" s="345" t="s">
        <v>208</v>
      </c>
      <c r="E20" s="344" t="s">
        <v>552</v>
      </c>
      <c r="F20" s="409">
        <v>45576</v>
      </c>
      <c r="G20" s="410" t="s">
        <v>55</v>
      </c>
      <c r="H20" s="413" t="s">
        <v>626</v>
      </c>
      <c r="I20" s="518" t="s">
        <v>746</v>
      </c>
      <c r="J20" s="324"/>
    </row>
    <row r="21" spans="1:10" s="315" customFormat="1" ht="24.6" customHeight="1">
      <c r="A21" s="341">
        <f t="shared" si="1"/>
        <v>9</v>
      </c>
      <c r="B21" s="343" t="s">
        <v>29</v>
      </c>
      <c r="C21" s="343" t="s">
        <v>30</v>
      </c>
      <c r="D21" s="345" t="s">
        <v>208</v>
      </c>
      <c r="E21" s="344" t="s">
        <v>552</v>
      </c>
      <c r="F21" s="409">
        <v>45576</v>
      </c>
      <c r="G21" s="410" t="s">
        <v>55</v>
      </c>
      <c r="H21" s="413" t="s">
        <v>626</v>
      </c>
      <c r="I21" s="518" t="s">
        <v>746</v>
      </c>
      <c r="J21" s="324"/>
    </row>
    <row r="22" spans="1:10" s="315" customFormat="1" ht="24.6" customHeight="1">
      <c r="A22" s="341">
        <f t="shared" si="1"/>
        <v>10</v>
      </c>
      <c r="B22" s="347" t="s">
        <v>123</v>
      </c>
      <c r="C22" s="347" t="s">
        <v>124</v>
      </c>
      <c r="D22" s="345" t="s">
        <v>557</v>
      </c>
      <c r="E22" s="344" t="s">
        <v>558</v>
      </c>
      <c r="F22" s="409"/>
      <c r="G22" s="411"/>
      <c r="H22" s="413"/>
      <c r="I22" s="413"/>
      <c r="J22" s="324"/>
    </row>
    <row r="23" spans="1:10" s="315" customFormat="1" ht="24.6" customHeight="1">
      <c r="A23" s="341">
        <f t="shared" si="1"/>
        <v>11</v>
      </c>
      <c r="B23" s="347" t="s">
        <v>22</v>
      </c>
      <c r="C23" s="347" t="s">
        <v>143</v>
      </c>
      <c r="D23" s="345" t="s">
        <v>559</v>
      </c>
      <c r="E23" s="344" t="s">
        <v>558</v>
      </c>
      <c r="F23" s="409"/>
      <c r="G23" s="411"/>
      <c r="H23" s="413"/>
      <c r="I23" s="413"/>
      <c r="J23" s="324"/>
    </row>
    <row r="24" spans="1:10" s="315" customFormat="1" ht="24.6" customHeight="1">
      <c r="A24" s="341">
        <f t="shared" si="1"/>
        <v>12</v>
      </c>
      <c r="B24" s="343" t="s">
        <v>186</v>
      </c>
      <c r="C24" s="343" t="s">
        <v>54</v>
      </c>
      <c r="D24" s="348" t="s">
        <v>560</v>
      </c>
      <c r="E24" s="349" t="s">
        <v>558</v>
      </c>
      <c r="F24" s="409"/>
      <c r="G24" s="411"/>
      <c r="H24" s="413"/>
      <c r="I24" s="413"/>
      <c r="J24" s="324"/>
    </row>
    <row r="25" spans="1:10" s="315" customFormat="1" ht="24.6" customHeight="1">
      <c r="A25" s="341">
        <f t="shared" si="1"/>
        <v>13</v>
      </c>
      <c r="B25" s="347" t="s">
        <v>188</v>
      </c>
      <c r="C25" s="347" t="s">
        <v>189</v>
      </c>
      <c r="D25" s="345" t="s">
        <v>561</v>
      </c>
      <c r="E25" s="344" t="s">
        <v>558</v>
      </c>
      <c r="F25" s="409"/>
      <c r="G25" s="411"/>
      <c r="H25" s="413"/>
      <c r="I25" s="413"/>
      <c r="J25" s="324"/>
    </row>
    <row r="26" spans="1:10" s="315" customFormat="1" ht="24.6" customHeight="1" thickBot="1">
      <c r="A26" s="414">
        <f t="shared" si="1"/>
        <v>14</v>
      </c>
      <c r="B26" s="350" t="s">
        <v>42</v>
      </c>
      <c r="C26" s="350" t="s">
        <v>43</v>
      </c>
      <c r="D26" s="351" t="s">
        <v>562</v>
      </c>
      <c r="E26" s="352" t="s">
        <v>563</v>
      </c>
      <c r="F26" s="412">
        <v>45549</v>
      </c>
      <c r="G26" s="416" t="s">
        <v>55</v>
      </c>
      <c r="H26" s="415" t="s">
        <v>626</v>
      </c>
      <c r="I26" s="522" t="s">
        <v>746</v>
      </c>
      <c r="J26" s="324"/>
    </row>
    <row r="27" spans="1:10" ht="18">
      <c r="A27" s="316"/>
    </row>
  </sheetData>
  <mergeCells count="3">
    <mergeCell ref="A1:C1"/>
    <mergeCell ref="A2:G2"/>
    <mergeCell ref="A11:I11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Project Details</vt:lpstr>
      <vt:lpstr>MASTER SHEET</vt:lpstr>
      <vt:lpstr>Erection Compiled</vt:lpstr>
      <vt:lpstr>Progress</vt:lpstr>
      <vt:lpstr>Visual Chart</vt:lpstr>
      <vt:lpstr>PENDING FDN DETAILS</vt:lpstr>
      <vt:lpstr>PENDING ERE DETAILS</vt:lpstr>
      <vt:lpstr>TSE-MANUAL-LT-11KV-33KV Details</vt:lpstr>
      <vt:lpstr>Crossing Details</vt:lpstr>
      <vt:lpstr>TS</vt:lpstr>
      <vt:lpstr>TS (2)</vt:lpstr>
      <vt:lpstr>'Visual Chart'!Print_Area</vt:lpstr>
      <vt:lpstr>Progress!Print_Titles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2025-10-02T15:08:52Z</dcterms:modified>
</cp:coreProperties>
</file>