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Jul-26/"/>
    </mc:Choice>
  </mc:AlternateContent>
  <xr:revisionPtr revIDLastSave="8511" documentId="6_{075B7CD2-EB3A-469C-96E0-A9813EBDC785}" xr6:coauthVersionLast="47" xr6:coauthVersionMax="47" xr10:uidLastSave="{0C25A0D0-28F2-4CB8-BE14-166DA55ACA0A}"/>
  <bookViews>
    <workbookView xWindow="-110" yWindow="-110" windowWidth="19420" windowHeight="11500" firstSheet="9" activeTab="9"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Sheet13 (2)" sheetId="81" state="hidden" r:id="rId9"/>
    <sheet name="TB-605" sheetId="42" r:id="rId10"/>
    <sheet name="Sheet19" sheetId="93" state="hidden" r:id="rId11"/>
    <sheet name="Sheet16" sheetId="84" state="hidden" r:id="rId12"/>
    <sheet name="Sheet14" sheetId="83" state="hidden" r:id="rId13"/>
    <sheet name="Sheet12" sheetId="79" state="hidden" r:id="rId14"/>
    <sheet name="Sheet13" sheetId="80" state="hidden" r:id="rId15"/>
    <sheet name="Sheet15" sheetId="82" state="hidden" r:id="rId16"/>
    <sheet name="TB401 DPR" sheetId="13" state="hidden" r:id="rId17"/>
    <sheet name="Survey-Summary" sheetId="43" state="hidden" r:id="rId18"/>
    <sheet name="Sheet6" sheetId="67" state="hidden" r:id="rId19"/>
    <sheet name="Approved Survey" sheetId="46" state="hidden" r:id="rId20"/>
    <sheet name="Approved CS J-S Line" sheetId="48" state="hidden" r:id="rId21"/>
    <sheet name="Approved CS K-S Line" sheetId="53" state="hidden" r:id="rId22"/>
    <sheet name="Foundation JS-Line -Jammu" sheetId="15" r:id="rId23"/>
    <sheet name="Sheet10" sheetId="77" state="hidden" r:id="rId24"/>
    <sheet name="Erection -Jammu" sheetId="69" r:id="rId25"/>
    <sheet name="Vertical Chart -JS Line Jammu " sheetId="65" state="hidden" r:id="rId26"/>
    <sheet name="Sheet17" sheetId="90" state="hidden" r:id="rId27"/>
    <sheet name="Stringing JS-Jammu" sheetId="99" r:id="rId28"/>
    <sheet name="Erection -SK" sheetId="76" r:id="rId29"/>
    <sheet name="Sheet7" sheetId="71" state="hidden" r:id="rId30"/>
    <sheet name="Sheet8" sheetId="73" state="hidden" r:id="rId31"/>
    <sheet name="LILO" sheetId="70" r:id="rId32"/>
    <sheet name="Erection-Punjab" sheetId="72" r:id="rId33"/>
    <sheet name="Vertical Chart -JS Line Punjab" sheetId="64" state="hidden" r:id="rId34"/>
    <sheet name="Sheet9" sheetId="75" state="hidden" r:id="rId35"/>
    <sheet name="ROW Front vs Progress" sheetId="63" state="hidden" r:id="rId36"/>
    <sheet name="Foundation -JS Line- Punjab" sheetId="59" r:id="rId37"/>
    <sheet name="Pile FDN" sheetId="98" r:id="rId38"/>
    <sheet name="Hindrance" sheetId="49" r:id="rId39"/>
    <sheet name="Foundation -KS Line" sheetId="60" r:id="rId40"/>
    <sheet name="Manpower" sheetId="52" r:id="rId41"/>
    <sheet name="Final Checking" sheetId="100" r:id="rId42"/>
    <sheet name="Stubs JS" sheetId="94" state="hidden" r:id="rId43"/>
    <sheet name="Stubs SK" sheetId="95" state="hidden" r:id="rId44"/>
    <sheet name="Towers JS" sheetId="96" state="hidden" r:id="rId45"/>
    <sheet name="Towers SK" sheetId="97" state="hidden" r:id="rId46"/>
    <sheet name="Sum" sheetId="92" state="hidden" r:id="rId47"/>
    <sheet name="Sheet18" sheetId="91" state="hidden" r:id="rId48"/>
    <sheet name="JS-Supply Stubs" sheetId="86" state="hidden" r:id="rId49"/>
    <sheet name="JS Supply Towers" sheetId="87" state="hidden" r:id="rId50"/>
    <sheet name="SK Supply Stubs" sheetId="88" state="hidden" r:id="rId51"/>
    <sheet name="SK Supply Towers" sheetId="89" state="hidden" r:id="rId52"/>
    <sheet name="Sheet11" sheetId="78" state="hidden" r:id="rId53"/>
    <sheet name="Planned Vs Actual -FDN" sheetId="51" state="hidden" r:id="rId54"/>
    <sheet name="Supply Status" sheetId="66" state="hidden" r:id="rId55"/>
    <sheet name="Material Status-Jammu-Punjab" sheetId="45" state="hidden" r:id="rId56"/>
    <sheet name="Material Status-Punjab" sheetId="62" state="hidden" r:id="rId57"/>
    <sheet name="Earthing (PKG-F)" sheetId="18" state="hidden" r:id="rId58"/>
    <sheet name="Earthing (PKG-G)" sheetId="7" state="hidden" r:id="rId59"/>
    <sheet name="Revetment Pkg-G" sheetId="37" state="hidden" r:id="rId60"/>
    <sheet name=" Benching Status-F" sheetId="33" state="hidden" r:id="rId61"/>
    <sheet name=" Benching Status-G" sheetId="26" state="hidden" r:id="rId62"/>
    <sheet name="Earthing Pkg -G Ist section" sheetId="17" state="hidden" r:id="rId63"/>
    <sheet name="Earthing balance" sheetId="35" state="hidden" r:id="rId64"/>
    <sheet name="Tack Welding - PKG-G" sheetId="11" state="hidden" r:id="rId65"/>
    <sheet name="Tack Welding - PKG-F" sheetId="24" state="hidden" r:id="rId66"/>
    <sheet name="Painting - PKG-G" sheetId="12" state="hidden" r:id="rId67"/>
    <sheet name="Painting - PKG-F" sheetId="25" state="hidden" r:id="rId68"/>
    <sheet name="Eretion - PKG-G" sheetId="4" state="hidden" r:id="rId69"/>
    <sheet name="Eretion - PKG-F" sheetId="22" state="hidden" r:id="rId70"/>
    <sheet name="Sheet1" sheetId="6" state="hidden" r:id="rId71"/>
    <sheet name="JMC 27.9.23" sheetId="8" state="hidden" r:id="rId72"/>
    <sheet name="Jumpering-G" sheetId="28" state="hidden" r:id="rId73"/>
    <sheet name="Insulator Hoisting - F" sheetId="29" state="hidden" r:id="rId74"/>
    <sheet name="Insulator Hoisting - G" sheetId="21" state="hidden" r:id="rId75"/>
    <sheet name="Jumpering-F" sheetId="36" state="hidden" r:id="rId76"/>
    <sheet name="Stringing - PKG-F" sheetId="34" state="hidden" r:id="rId77"/>
    <sheet name="Stringing - PKG-G" sheetId="27" state="hidden" r:id="rId78"/>
    <sheet name="OPGW PKG-G" sheetId="39" state="hidden" r:id="rId79"/>
    <sheet name="OPGW PKG-F" sheetId="41" state="hidden" r:id="rId80"/>
    <sheet name="Crossing" sheetId="23" state="hidden" r:id="rId81"/>
    <sheet name="Clear locs shared by client" sheetId="38" state="hidden" r:id="rId82"/>
  </sheets>
  <externalReferences>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s>
  <definedNames>
    <definedName name="\" localSheetId="4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localSheetId="41" hidden="1">{"'PROFITABILITY'!$A$1:$F$45"}</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localSheetId="41" hidden="1">{"'PROFITABILITY'!$A$1:$F$45"}</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localSheetId="41" hidden="1">{"'PROFITABILITY'!$A$1:$F$45"}</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localSheetId="41" hidden="1">{"'PROFITABILITY'!$A$1:$F$45"}</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localSheetId="41" hidden="1">{"'PROFITABILITY'!$A$1:$F$45"}</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localSheetId="41" hidden="1">{"'PROFITABILITY'!$A$1:$F$45"}</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localSheetId="41" hidden="1">{"'PROFITABILITY'!$A$1:$F$45"}</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localSheetId="41" hidden="1">{"'PROFITABILITY'!$A$1:$F$45"}</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localSheetId="41" hidden="1">{"'PROFITABILITY'!$A$1:$F$45"}</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localSheetId="41" hidden="1">{"'PROFITABILITY'!$A$1:$F$45"}</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localSheetId="41" hidden="1">{"'PROFITABILITY'!$A$1:$F$45"}</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localSheetId="41" hidden="1">{"'Sheet1'!$A$4386:$N$4591"}</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localSheetId="41" hidden="1">{"'PROFITABILITY'!$A$1:$F$45"}</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localSheetId="41" hidden="1">{"'PROFITABILITY'!$A$1:$F$45"}</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localSheetId="41" hidden="1">{"'Sheet1'!$A$4386:$N$4591"}</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localSheetId="41" hidden="1">{"'PROFITABILITY'!$A$1:$F$45"}</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localSheetId="41" hidden="1">{"'PROFITABILITY'!$A$1:$F$45"}</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localSheetId="41" hidden="1">{"'Sheet1'!$A$4386:$N$4591"}</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localSheetId="41" hidden="1">{"'PROFITABILITY'!$A$1:$F$45"}</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localSheetId="41" hidden="1">{"'PROFITABILITY'!$A$1:$F$45"}</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localSheetId="41" hidden="1">{"'Sheet1'!$A$4386:$N$4591"}</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localSheetId="41" hidden="1">{"'PROFITABILITY'!$A$1:$F$45"}</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localSheetId="41" hidden="1">{"'PROFITABILITY'!$A$1:$F$45"}</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localSheetId="41" hidden="1">{"'Sheet1'!$A$4386:$N$4591"}</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localSheetId="41" hidden="1">{"'PROFITABILITY'!$A$1:$F$45"}</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localSheetId="41" hidden="1">{"'PROFITABILITY'!$A$1:$F$45"}</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localSheetId="41" hidden="1">{#N/A,#N/A,TRUE,"toc";#N/A,#N/A,TRUE,"general";#N/A,#N/A,TRUE,"compressive";#N/A,#N/A,TRUE,"lateral";#N/A,#N/A,TRUE,"shallow"}</definedName>
    <definedName name="________CU600" hidden="1">{#N/A,#N/A,TRUE,"toc";#N/A,#N/A,TRUE,"general";#N/A,#N/A,TRUE,"compressive";#N/A,#N/A,TRUE,"lateral";#N/A,#N/A,TRUE,"shallow"}</definedName>
    <definedName name="________dec05" localSheetId="41" hidden="1">{"'Sheet1'!$A$4386:$N$4591"}</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localSheetId="41" hidden="1">{"'PROFITABILITY'!$A$1:$F$45"}</definedName>
    <definedName name="________Nov2007" hidden="1">{"'PROFITABILITY'!$A$1:$F$45"}</definedName>
    <definedName name="________OP2">#REF!</definedName>
    <definedName name="________PM123" localSheetId="41" hidden="1">{"'Sheet1'!$A$4386:$N$4591"}</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localSheetId="41" hidden="1">{"'PROFITABILITY'!$A$1:$F$45"}</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localSheetId="41" hidden="1">{"'Sheet1'!$A$4386:$N$4591"}</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localSheetId="41" hidden="1">{"'PROFITABILITY'!$A$1:$F$45"}</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localSheetId="41" hidden="1">{"form-D1",#N/A,FALSE,"FORM-D1";"form-D1_amt",#N/A,FALSE,"FORM-D1"}</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localSheetId="41" hidden="1">{"'PROFITABILITY'!$A$1:$F$45"}</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localSheetId="41" hidden="1">{#N/A,#N/A,TRUE,"toc";#N/A,#N/A,TRUE,"general";#N/A,#N/A,TRUE,"compressive";#N/A,#N/A,TRUE,"lateral";#N/A,#N/A,TRUE,"shallow"}</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localSheetId="41" hidden="1">{"'Sheet1'!$A$4386:$N$4591"}</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localSheetId="41" hidden="1">{"'PROFITABILITY'!$A$1:$F$45"}</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localSheetId="41" hidden="1">{"'Sheet1'!$A$4386:$N$4591"}</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localSheetId="41" hidden="1">{"form-D1",#N/A,FALSE,"FORM-D1";"form-D1_amt",#N/A,FALSE,"FORM-D1"}</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localSheetId="41" hidden="1">{"'PROFITABILITY'!$A$1:$F$45"}</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localSheetId="41" hidden="1">{"'Sheet1'!$A$4386:$N$4591"}</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localSheetId="41" hidden="1">{"'PROFITABILITY'!$A$1:$F$45"}</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localSheetId="41" hidden="1">{"'Sheet1'!$A$4386:$N$4591"}</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localSheetId="41" hidden="1">{"form-D1",#N/A,FALSE,"FORM-D1";"form-D1_amt",#N/A,FALSE,"FORM-D1"}</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localSheetId="41" hidden="1">{"'PROFITABILITY'!$A$1:$F$45"}</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localSheetId="41" hidden="1">{"'Sheet1'!$A$4386:$N$4591"}</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localSheetId="41" hidden="1">{"'PROFITABILITY'!$A$1:$F$45"}</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localSheetId="41" hidden="1">{"'Sheet1'!$A$4386:$N$4591"}</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localSheetId="41" hidden="1">{"form-D1",#N/A,FALSE,"FORM-D1";"form-D1_amt",#N/A,FALSE,"FORM-D1"}</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localSheetId="41" hidden="1">{"'PROFITABILITY'!$A$1:$F$45"}</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localSheetId="41" hidden="1">{"'Sheet1'!$A$4386:$N$4591"}</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localSheetId="41" hidden="1">{"'PROFITABILITY'!$A$1:$F$45"}</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localSheetId="41" hidden="1">{"'Sheet1'!$A$4386:$N$4591"}</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localSheetId="41" hidden="1">{"form-D1",#N/A,FALSE,"FORM-D1";"form-D1_amt",#N/A,FALSE,"FORM-D1"}</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localSheetId="41" hidden="1">{"'PROFITABILITY'!$A$1:$F$45"}</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localSheetId="41" hidden="1">{"'Sheet1'!$A$4386:$N$4591"}</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localSheetId="41" hidden="1">{#N/A,#N/A,FALSE,"COVER1.XLS ";#N/A,#N/A,FALSE,"RACT1.XLS";#N/A,#N/A,FALSE,"RACT2.XLS";#N/A,#N/A,FALSE,"ECCMP";#N/A,#N/A,FALSE,"WELDER.XLS"}</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localSheetId="41" hidden="1">{"'PROFITABILITY'!$A$1:$F$45"}</definedName>
    <definedName name="__Nov2007" hidden="1">{"'PROFITABILITY'!$A$1:$F$45"}</definedName>
    <definedName name="__np3">#REF!</definedName>
    <definedName name="__ns1" localSheetId="41" hidden="1">{#N/A,#N/A,FALSE,"COVER1.XLS ";#N/A,#N/A,FALSE,"RACT1.XLS";#N/A,#N/A,FALSE,"RACT2.XLS";#N/A,#N/A,FALSE,"ECCMP";#N/A,#N/A,FALSE,"WELDER.XLS"}</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localSheetId="41" hidden="1">{"form-D1",#N/A,FALSE,"FORM-D1";"form-D1_amt",#N/A,FALSE,"FORM-D1"}</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localSheetId="41" hidden="1">{#N/A,#N/A,FALSE,"CCTV"}</definedName>
    <definedName name="_41aa1_" hidden="1">{#N/A,#N/A,FALSE,"CCTV"}</definedName>
    <definedName name="_4321">#REF!</definedName>
    <definedName name="_4aa1_" localSheetId="41" hidden="1">{#N/A,#N/A,FALSE,"CCTV"}</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localSheetId="41" hidden="1">{"'PROFITABILITY'!$A$1:$F$45"}</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localSheetId="41" hidden="1">{#N/A,#N/A,FALSE,"Variables";#N/A,#N/A,FALSE,"NPV Cashflows NZ$";#N/A,#N/A,FALSE,"Cashflows NZ$"}</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localSheetId="41" hidden="1">{"'Sheet1'!$A$4386:$N$4591"}</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20" hidden="1">'Approved CS J-S Line'!$A$5:$AA$572</definedName>
    <definedName name="_xlnm._FilterDatabase" localSheetId="21" hidden="1">'Approved CS K-S Line'!$A$5:$AA$53</definedName>
    <definedName name="_xlnm._FilterDatabase" localSheetId="57" hidden="1">'Earthing (PKG-F)'!$A$4:$M$209</definedName>
    <definedName name="_xlnm._FilterDatabase" localSheetId="58" hidden="1">'Earthing (PKG-G)'!$A$4:$N$267</definedName>
    <definedName name="_xlnm._FilterDatabase" localSheetId="24" hidden="1">'Erection -Jammu'!$A$6:$O$90</definedName>
    <definedName name="_xlnm._FilterDatabase" localSheetId="28" hidden="1">'Erection -SK'!$A$6:$N$7</definedName>
    <definedName name="_xlnm._FilterDatabase" localSheetId="32" hidden="1">'Erection-Punjab'!$A$6:$O$154</definedName>
    <definedName name="_xlnm._FilterDatabase" localSheetId="69" hidden="1">'Eretion - PKG-F'!$B$4:$N$189</definedName>
    <definedName name="_xlnm._FilterDatabase" localSheetId="68" hidden="1">'Eretion - PKG-G'!$B$4:$J$224</definedName>
    <definedName name="_xlnm._FilterDatabase" localSheetId="2" hidden="1">'Fdn (Pkg -G Section -I)'!$D$4:$D$12</definedName>
    <definedName name="_xlnm._FilterDatabase" localSheetId="36" hidden="1">'Foundation -JS Line- Punjab'!$A$5:$Q$243</definedName>
    <definedName name="_xlnm._FilterDatabase" localSheetId="22" hidden="1">'Foundation JS-Line -Jammu'!$A$6:$T$124</definedName>
    <definedName name="_xlnm._FilterDatabase" localSheetId="39" hidden="1">'Foundation -KS Line'!$A$6:$Q$84</definedName>
    <definedName name="_xlnm._FilterDatabase" localSheetId="38" hidden="1">Hindrance!$A$2:$I$16</definedName>
    <definedName name="_xlnm._FilterDatabase" localSheetId="49" hidden="1">'JS Supply Towers'!$A$2:$K$32</definedName>
    <definedName name="_xlnm._FilterDatabase" localSheetId="31" hidden="1">LILO!$A$6:$Q$7</definedName>
    <definedName name="_xlnm._FilterDatabase" localSheetId="67" hidden="1">'Painting - PKG-F'!$J$4:$J$78</definedName>
    <definedName name="_xlnm._FilterDatabase" localSheetId="66" hidden="1">'Painting - PKG-G'!$J$4:$J$121</definedName>
    <definedName name="_xlnm._FilterDatabase" localSheetId="37" hidden="1">'Pile FDN'!$A$5:$H$6</definedName>
    <definedName name="_xlnm._FilterDatabase" localSheetId="53" hidden="1">'Planned Vs Actual -FDN'!$B$10:$P$30</definedName>
    <definedName name="_xlnm._FilterDatabase" localSheetId="7" hidden="1">ROW!$A$6:$G$247</definedName>
    <definedName name="_xlnm._FilterDatabase" localSheetId="23" hidden="1">Sheet10!$C$1:$H$36</definedName>
    <definedName name="_xlnm._FilterDatabase" localSheetId="29" hidden="1">Sheet7!$B$3:$I$59</definedName>
    <definedName name="_xlnm._FilterDatabase" localSheetId="34" hidden="1">Sheet9!$D$2:$I$32</definedName>
    <definedName name="_xlnm._FilterDatabase" localSheetId="50" hidden="1">'SK Supply Stubs'!$A$2:$G$44</definedName>
    <definedName name="_xlnm._FilterDatabase" localSheetId="51" hidden="1">'SK Supply Towers'!$A$2:$G$52</definedName>
    <definedName name="_xlnm._FilterDatabase" localSheetId="43" hidden="1">'Stubs SK'!$A$2:$H$45</definedName>
    <definedName name="_xlnm._FilterDatabase" localSheetId="17" hidden="1">'Survey-Summary'!$G$27:$L$43</definedName>
    <definedName name="_xlnm._FilterDatabase" localSheetId="65" hidden="1">'Tack Welding - PKG-F'!$J$4:$J$85</definedName>
    <definedName name="_xlnm._FilterDatabase" localSheetId="64" hidden="1">'Tack Welding - PKG-G'!$I$4:$I$135</definedName>
    <definedName name="_xlnm._FilterDatabase" localSheetId="9" hidden="1">'TB-605'!#REF!</definedName>
    <definedName name="_xlnm._FilterDatabase" localSheetId="44" hidden="1">'Towers JS'!$A$2:$L$33</definedName>
    <definedName name="_xlnm._FilterDatabase" localSheetId="45" hidden="1">'Towers SK'!$A$2:$G$52</definedName>
    <definedName name="_xlnm._FilterDatabase" localSheetId="25" hidden="1">'Vertical Chart -JS Line Jammu '!$A$7:$R$257</definedName>
    <definedName name="_xlnm._FilterDatabase" localSheetId="33"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localSheetId="41" hidden="1">{"'PROFITABILITY'!$A$1:$F$45"}</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localSheetId="41" hidden="1">{"'Sheet1'!$A$4386:$N$4591"}</definedName>
    <definedName name="_PM123" hidden="1">{"'Sheet1'!$A$4386:$N$4591"}</definedName>
    <definedName name="_PO2">#REF!</definedName>
    <definedName name="_pp" localSheetId="41" hidden="1">{"'PROFITABILITY'!$A$1:$F$45"}</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localSheetId="41" hidden="1">{"form-D1",#N/A,FALSE,"FORM-D1";"form-D1_amt",#N/A,FALSE,"FORM-D1"}</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localSheetId="41" hidden="1">{#N/A,#N/A,FALSE,"COVER1.XLS ";#N/A,#N/A,FALSE,"RACT1.XLS";#N/A,#N/A,FALSE,"RACT2.XLS";#N/A,#N/A,FALSE,"ECCMP";#N/A,#N/A,FALSE,"WELDER.XLS"}</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localSheetId="41" hidden="1">{"form-D1",#N/A,FALSE,"FORM-D1";"form-D1_amt",#N/A,FALSE,"FORM-D1"}</definedName>
    <definedName name="aab" hidden="1">{"form-D1",#N/A,FALSE,"FORM-D1";"form-D1_amt",#N/A,FALSE,"FORM-D1"}</definedName>
    <definedName name="aab_1">NA()</definedName>
    <definedName name="aac" localSheetId="41" hidden="1">{"'PROFITABILITY'!$A$1:$F$45"}</definedName>
    <definedName name="aac" hidden="1">{"'PROFITABILITY'!$A$1:$F$45"}</definedName>
    <definedName name="aadf" hidden="1">#REF!</definedName>
    <definedName name="aaffa" localSheetId="41" hidden="1">{#N/A,#N/A,FALSE,"COVER.XLS";#N/A,#N/A,FALSE,"RACT1.XLS";#N/A,#N/A,FALSE,"RACT2.XLS";#N/A,#N/A,FALSE,"ECCMP";#N/A,#N/A,FALSE,"WELDER.XLS"}</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localSheetId="41" hidden="1">{"'PROFITABILITY'!$A$1:$F$45"}</definedName>
    <definedName name="aav" hidden="1">{"'PROFITABILITY'!$A$1:$F$45"}</definedName>
    <definedName name="aAXX1">#REF!</definedName>
    <definedName name="ab">#REF!</definedName>
    <definedName name="aba" localSheetId="41" hidden="1">{#N/A,#N/A,FALSE,"COVER1.XLS ";#N/A,#N/A,FALSE,"RACT1.XLS";#N/A,#N/A,FALSE,"RACT2.XLS";#N/A,#N/A,FALSE,"ECCMP";#N/A,#N/A,FALSE,"WELDER.XLS"}</definedName>
    <definedName name="aba" hidden="1">{#N/A,#N/A,FALSE,"COVER1.XLS ";#N/A,#N/A,FALSE,"RACT1.XLS";#N/A,#N/A,FALSE,"RACT2.XLS";#N/A,#N/A,FALSE,"ECCMP";#N/A,#N/A,FALSE,"WELDER.XLS"}</definedName>
    <definedName name="abab">#REF!</definedName>
    <definedName name="ABACUS">#REF!</definedName>
    <definedName name="abb">#REF!</definedName>
    <definedName name="abc" localSheetId="41" hidden="1">{"'PROFITABILITY'!$A$1:$F$45"}</definedName>
    <definedName name="abc" hidden="1">{"'PROFITABILITY'!$A$1:$F$45"}</definedName>
    <definedName name="aBC_1">#REF!</definedName>
    <definedName name="ABCD">#REF!</definedName>
    <definedName name="abcde">#REF!</definedName>
    <definedName name="abcdefg" localSheetId="41" hidden="1">{"'PROFITABILITY'!$A$1:$F$45"}</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localSheetId="41" hidden="1">{"Total Indirect Manpower",#N/A,FALSE,"J";"Total Direct Manpower",#N/A,FALSE,"J";"Direct Structural Manpower",#N/A,FALSE,"J";"Direct Mechanical Manpower",#N/A,FALSE,"J";"Direct Piping Manpower",#N/A,FALSE,"J";"Direct Tanks Manpower",#N/A,FALSE,"J";"Direct ElecInstrSS Manpower",#N/A,FALSE,"J"}</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localSheetId="41">(PeriodInActual*(#REF!&gt;0))*PeriodInPlan</definedName>
    <definedName name="Actual">(PeriodInActual*(#REF!&gt;0))*PeriodInPlan</definedName>
    <definedName name="ActualBeyond" localSheetId="41">PeriodInActual*(#REF!&gt;0)</definedName>
    <definedName name="ActualBeyond">PeriodInActual*(#REF!&gt;0)</definedName>
    <definedName name="AD" localSheetId="41" hidden="1">{"'Sheet1'!$A$4386:$N$4591"}</definedName>
    <definedName name="AD" hidden="1">{"'Sheet1'!$A$4386:$N$4591"}</definedName>
    <definedName name="ada" localSheetId="41" hidden="1">{#N/A,#N/A,FALSE,"str_title";#N/A,#N/A,FALSE,"SUM";#N/A,#N/A,FALSE,"Scope";#N/A,#N/A,FALSE,"PIE-Jn";#N/A,#N/A,FALSE,"PIE-Jn_Hz";#N/A,#N/A,FALSE,"Liq_Plan";#N/A,#N/A,FALSE,"S_Curve";#N/A,#N/A,FALSE,"Liq_Prof";#N/A,#N/A,FALSE,"Man_Pwr";#N/A,#N/A,FALSE,"Man_Prof"}</definedName>
    <definedName name="ada" hidden="1">{#N/A,#N/A,FALSE,"str_title";#N/A,#N/A,FALSE,"SUM";#N/A,#N/A,FALSE,"Scope";#N/A,#N/A,FALSE,"PIE-Jn";#N/A,#N/A,FALSE,"PIE-Jn_Hz";#N/A,#N/A,FALSE,"Liq_Plan";#N/A,#N/A,FALSE,"S_Curve";#N/A,#N/A,FALSE,"Liq_Prof";#N/A,#N/A,FALSE,"Man_Pwr";#N/A,#N/A,FALSE,"Man_Prof"}</definedName>
    <definedName name="adad"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localSheetId="41" hidden="1">{#N/A,#N/A,FALSE,"COVER1.XLS ";#N/A,#N/A,FALSE,"RACT1.XLS";#N/A,#N/A,FALSE,"RACT2.XLS";#N/A,#N/A,FALSE,"ECCMP";#N/A,#N/A,FALSE,"WELDER.XLS"}</definedName>
    <definedName name="adadd" hidden="1">{#N/A,#N/A,FALSE,"COVER1.XLS ";#N/A,#N/A,FALSE,"RACT1.XLS";#N/A,#N/A,FALSE,"RACT2.XLS";#N/A,#N/A,FALSE,"ECCMP";#N/A,#N/A,FALSE,"WELDER.XLS"}</definedName>
    <definedName name="adas">[27]CLAY!#REF!</definedName>
    <definedName name="adasdas">#REF!</definedName>
    <definedName name="adcbef" localSheetId="41" hidden="1">{"'PROFITABILITY'!$A$1:$F$45"}</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localSheetId="41" hidden="1">{"'장비'!$A$3:$M$12"}</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localSheetId="41" hidden="1">{#N/A,#N/A,FALSE,"COVER1.XLS ";#N/A,#N/A,FALSE,"RACT1.XLS";#N/A,#N/A,FALSE,"RACT2.XLS";#N/A,#N/A,FALSE,"ECCMP";#N/A,#N/A,FALSE,"WELDER.XLS"}</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localSheetId="41" hidden="1">{"form-D1",#N/A,FALSE,"FORM-D1";"form-D1_amt",#N/A,FALSE,"FORM-D1"}</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localSheetId="41" hidden="1">{#N/A,#N/A,FALSE,"CCTV"}</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localSheetId="41" hidden="1">{"form-D1",#N/A,FALSE,"FORM-D1";"form-D1_amt",#N/A,FALSE,"FORM-D1"}</definedName>
    <definedName name="ajslk" hidden="1">{"form-D1",#N/A,FALSE,"FORM-D1";"form-D1_amt",#N/A,FALSE,"FORM-D1"}</definedName>
    <definedName name="AK">INDEX(#REF!,MATCH(#REF!,#REF!,0))</definedName>
    <definedName name="aks">#REF!</definedName>
    <definedName name="aksj" localSheetId="41" hidden="1">{"form-D1",#N/A,FALSE,"FORM-D1";"form-D1_amt",#N/A,FALSE,"FORM-D1"}</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localSheetId="41" hidden="1">{"form-D1",#N/A,FALSE,"FORM-D1";"form-D1_amt",#N/A,FALSE,"FORM-D1"}</definedName>
    <definedName name="APR" hidden="1">{"form-D1",#N/A,FALSE,"FORM-D1";"form-D1_amt",#N/A,FALSE,"FORM-D1"}</definedName>
    <definedName name="APR_1">NA()</definedName>
    <definedName name="APRIL">#REF!</definedName>
    <definedName name="april_qty">#REF!</definedName>
    <definedName name="APRIL14"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localSheetId="41" hidden="1">{#N/A,#N/A,FALSE,"WRSUMMARY";#N/A,#N/A,FALSE,"ANNEX-1";#N/A,#N/A,FALSE,"ANNEX-2";#N/A,#N/A,FALSE,"ANNEX-3";#N/A,#N/A,FALSE,"WORKING"}</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localSheetId="41" hidden="1">{"'PROFITABILITY'!$A$1:$F$45"}</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localSheetId="41" hidden="1">{"form-D1",#N/A,FALSE,"FORM-D1";"form-D1_amt",#N/A,FALSE,"FORM-D1"}</definedName>
    <definedName name="asjk" hidden="1">{"form-D1",#N/A,FALSE,"FORM-D1";"form-D1_amt",#N/A,FALSE,"FORM-D1"}</definedName>
    <definedName name="ass" hidden="1">#REF!</definedName>
    <definedName name="assa"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localSheetId="41" hidden="1">{"'PROFITABILITY'!$A$1:$F$45"}</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localSheetId="41" hidden="1">{"'PROFITABILITY'!$A$1:$F$45"}</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localSheetId="41" hidden="1">{"'PROFITABILITY'!$A$1:$F$45"}</definedName>
    <definedName name="bb" hidden="1">{"'PROFITABILITY'!$A$1:$F$45"}</definedName>
    <definedName name="bbb" localSheetId="41"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localSheetId="41" hidden="1">{"'PROFITABILITY'!$A$1:$F$45"}</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localSheetId="41" hidden="1">{"form-D1",#N/A,FALSE,"FORM-D1";"form-D1_amt",#N/A,FALSE,"FORM-D1"}</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localSheetId="41" hidden="1">{"'PROFITABILITY'!$A$1:$F$45"}</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localSheetId="41" hidden="1">{"form-D1",#N/A,FALSE,"FORM-D1";"form-D1_amt",#N/A,FALSE,"FORM-D1"}</definedName>
    <definedName name="cc" hidden="1">{"form-D1",#N/A,FALSE,"FORM-D1";"form-D1_amt",#N/A,FALSE,"FORM-D1"}</definedName>
    <definedName name="CCB">#REF!</definedName>
    <definedName name="CCC" localSheetId="41" hidden="1">{#N/A,#N/A,FALSE,"str_title";#N/A,#N/A,FALSE,"SUM";#N/A,#N/A,FALSE,"Scope";#N/A,#N/A,FALSE,"PIE-Jn";#N/A,#N/A,FALSE,"PIE-Jn_Hz";#N/A,#N/A,FALSE,"Liq_Plan";#N/A,#N/A,FALSE,"S_Curve";#N/A,#N/A,FALSE,"Liq_Prof";#N/A,#N/A,FALSE,"Man_Pwr";#N/A,#N/A,FALSE,"Man_Prof"}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localSheetId="41" hidden="1">{"Execavation",#N/A,FALSE,"furniture (employer)"}</definedName>
    <definedName name="Cl.Preforma" hidden="1">{"Execavation",#N/A,FALSE,"furniture (employer)"}</definedName>
    <definedName name="cl33kv">#REF!</definedName>
    <definedName name="CLAIMB" localSheetId="41" hidden="1">{"Execavation",#N/A,FALSE,"furniture (employer)"}</definedName>
    <definedName name="CLAIMB" hidden="1">{"Execavation",#N/A,FALSE,"furniture (employer)"}</definedName>
    <definedName name="CLAIMSB" localSheetId="41"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localSheetId="41" hidden="1">{"Execavation",#N/A,FALSE,"furniture (employer)"}</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localSheetId="41" hidden="1">{"form-D1",#N/A,FALSE,"FORM-D1";"form-D1_amt",#N/A,FALSE,"FORM-D1"}</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localSheetId="41" hidden="1">{"'PROFITABILITY'!$A$1:$F$45"}</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localSheetId="41" hidden="1">{"Total Indirect Manpower",#N/A,FALSE,"J";"Total Direct Manpower",#N/A,FALSE,"J";"Direct Structural Manpower",#N/A,FALSE,"J";"Direct Mechanical Manpower",#N/A,FALSE,"J";"Direct Piping Manpower",#N/A,FALSE,"J";"Direct Tanks Manpower",#N/A,FALSE,"J";"Direct ElecInstrSS Manpower",#N/A,FALSE,"J"}</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localSheetId="41" hidden="1">{#N/A,#N/A,FALSE,"str_title";#N/A,#N/A,FALSE,"SUM";#N/A,#N/A,FALSE,"Scope";#N/A,#N/A,FALSE,"PIE-Jn";#N/A,#N/A,FALSE,"PIE-Jn_Hz";#N/A,#N/A,FALSE,"Liq_Plan";#N/A,#N/A,FALSE,"S_Curve";#N/A,#N/A,FALSE,"Liq_Prof";#N/A,#N/A,FALSE,"Man_Pwr";#N/A,#N/A,FALSE,"Man_Prof"}</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localSheetId="41" hidden="1">{"'Sheet1'!$A$4386:$N$4591"}</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adaD">City&amp;" "&amp;State</definedName>
    <definedName name="DAdsaD" hidden="1">#REF!</definedName>
    <definedName name="dam">#REF!</definedName>
    <definedName name="Dampers" localSheetId="41" hidden="1">{"'PROFITABILITY'!$A$1:$F$45"}</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localSheetId="41" hidden="1">{"'PROFITABILITY'!$A$1:$F$45"}</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localSheetId="41" hidden="1">{"'PROFITABILITY'!$A$1:$F$45"}</definedName>
    <definedName name="DELTA" hidden="1">{"'PROFITABILITY'!$A$1:$F$45"}</definedName>
    <definedName name="DELTA1" localSheetId="41"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localSheetId="41" hidden="1">{#N/A,#N/A,FALSE,"abs";#N/A,#N/A,FALSE,"Annex-I";#N/A,#N/A,FALSE,"Annex-II";#N/A,#N/A,FALSE,"Annex-III";#N/A,#N/A,FALSE,"Annex-IV";#N/A,#N/A,FALSE,"Annex-V";#N/A,#N/A,FALSE,"Annex-VI"}</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localSheetId="41" hidden="1">{"'장비'!$A$3:$M$12"}</definedName>
    <definedName name="dfaf" hidden="1">{"'장비'!$A$3:$M$12"}</definedName>
    <definedName name="DFD" localSheetId="41" hidden="1">{"'PROFITABILITY'!$A$1:$F$45"}</definedName>
    <definedName name="DFD" hidden="1">{"'PROFITABILITY'!$A$1:$F$45"}</definedName>
    <definedName name="dfd_1">#REF!</definedName>
    <definedName name="dfdf">[36]Report!#REF!</definedName>
    <definedName name="dfdfdfd" localSheetId="41" hidden="1">{"'PROFITABILITY'!$A$1:$F$45"}</definedName>
    <definedName name="dfdfdfd" hidden="1">{"'PROFITABILITY'!$A$1:$F$45"}</definedName>
    <definedName name="dfdfs" localSheetId="41" hidden="1">{"'Sheet1'!$A$4386:$N$4591"}</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localSheetId="41" hidden="1">{#N/A,#N/A,FALSE,"COVER.XLS";#N/A,#N/A,FALSE,"RACT1.XLS";#N/A,#N/A,FALSE,"RACT2.XLS";#N/A,#N/A,FALSE,"ECCMP";#N/A,#N/A,FALSE,"WELDER.XLS"}</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localSheetId="41" hidden="1">{"'Sheet1'!$A$4386:$N$4591"}</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localSheetId="41" hidden="1">{"'PROFITABILITY'!$A$1:$F$45"}</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localSheetId="41" hidden="1">{"'PROFITABILITY'!$A$1:$F$45"}</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localSheetId="41" hidden="1">{#N/A,#N/A,FALSE,"COVER1.XLS ";#N/A,#N/A,FALSE,"RACT1.XLS";#N/A,#N/A,FALSE,"RACT2.XLS";#N/A,#N/A,FALSE,"ECCMP";#N/A,#N/A,FALSE,"WELDER.XLS"}</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localSheetId="41" hidden="1">{#N/A,#N/A,FALSE,"WRSUMMARY";#N/A,#N/A,FALSE,"ANNEX-1";#N/A,#N/A,FALSE,"ANNEX-2";#N/A,#N/A,FALSE,"ANNEX-3";#N/A,#N/A,FALSE,"WORKING"}</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localSheetId="41" hidden="1">{"form-D1",#N/A,FALSE,"FORM-D1";"form-D1_amt",#N/A,FALSE,"FORM-D1"}</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localSheetId="41" hidden="1">{"form-D1",#N/A,FALSE,"FORM-D1";"form-D1_amt",#N/A,FALSE,"FORM-D1"}</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localSheetId="41" hidden="1">{"'PROFITABILITY'!$A$1:$F$45"}</definedName>
    <definedName name="eee" hidden="1">{"'PROFITABILITY'!$A$1:$F$45"}</definedName>
    <definedName name="EEEE" localSheetId="41" hidden="1">{"form-D1",#N/A,FALSE,"FORM-D1";"form-D1_amt",#N/A,FALSE,"FORM-D1"}</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localSheetId="41" hidden="1">{"Execavation",#N/A,FALSE,"furniture (employer)"}</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localSheetId="41" hidden="1">{"form-D1",#N/A,FALSE,"FORM-D1";"form-D1_amt",#N/A,FALSE,"FORM-D1"}</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localSheetId="41" hidden="1">{"'PROFITABILITY'!$A$1:$F$45"}</definedName>
    <definedName name="ewer" hidden="1">{"'PROFITABILITY'!$A$1:$F$45"}</definedName>
    <definedName name="ewre" hidden="1">#REF!</definedName>
    <definedName name="EWWW" localSheetId="41" hidden="1">{"form-D1",#N/A,FALSE,"FORM-D1";"form-D1_amt",#N/A,FALSE,"FORM-D1"}</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localSheetId="41" hidden="1">{"'PROFITABILITY'!$A$1:$F$45"}</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localSheetId="41" hidden="1">{"'PROFITABILITY'!$A$1:$F$45"}</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localSheetId="41" hidden="1">{"'PROFITABILITY'!$A$1:$F$45"}</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localSheetId="41" hidden="1">{"'PROFITABILITY'!$A$1:$F$45"}</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localSheetId="41" hidden="1">{#N/A,#N/A,TRUE,"STEEL";#N/A,#N/A,TRUE,"OUTSIDE FAB.";#N/A,#N/A,TRUE,"WIP";#N/A,#N/A,TRUE,"FINISHED GOODS";#N/A,#N/A,TRUE,"SCRAP"}</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localSheetId="41" hidden="1">{"'TP-SUMMARY'!$I$11:$K$11"}</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localSheetId="41" hidden="1">{"form-D1",#N/A,FALSE,"FORM-D1";"form-D1_amt",#N/A,FALSE,"FORM-D1"}</definedName>
    <definedName name="fffffg" hidden="1">{"form-D1",#N/A,FALSE,"FORM-D1";"form-D1_amt",#N/A,FALSE,"FORM-D1"}</definedName>
    <definedName name="ffhfhf">#REF!</definedName>
    <definedName name="FFR">#REF!</definedName>
    <definedName name="ffvvv">[25]GWC!#REF!</definedName>
    <definedName name="fg" localSheetId="41" hidden="1">{"'PROFITABILITY'!$A$1:$F$45"}</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localSheetId="41" hidden="1">{#N/A,#N/A,FALSE,"str_title";#N/A,#N/A,FALSE,"SUM";#N/A,#N/A,FALSE,"Scope";#N/A,#N/A,FALSE,"PIE-Jn";#N/A,#N/A,FALSE,"PIE-Jn_Hz";#N/A,#N/A,FALSE,"Liq_Plan";#N/A,#N/A,FALSE,"S_Curve";#N/A,#N/A,FALSE,"Liq_Prof";#N/A,#N/A,FALSE,"Man_Pwr";#N/A,#N/A,FALSE,"Man_Prof"}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localSheetId="41" hidden="1">{"'Sheet1'!$A$4386:$N$4591"}</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localSheetId="41" hidden="1">{"Execavation",#N/A,FALSE,"furniture (employer)"}</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localSheetId="41" hidden="1">{"'PROFITABILITY'!$A$1:$F$45"}</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localSheetId="41" hidden="1">{"'Sheet1'!$A$4386:$N$4591"}</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localSheetId="41" hidden="1">{"'PROFITABILITY'!$A$1:$F$45"}</definedName>
    <definedName name="ggg" hidden="1">{"'PROFITABILITY'!$A$1:$F$45"}</definedName>
    <definedName name="GGGG">#REF!</definedName>
    <definedName name="ggt">#REF!</definedName>
    <definedName name="GH">INDEX(#REF!,MATCH(#REF!,#REF!,0))</definedName>
    <definedName name="ghmgm" localSheetId="41" hidden="1">{"'PROFITABILITY'!$A$1:$F$45"}</definedName>
    <definedName name="ghmgm" hidden="1">{"'PROFITABILITY'!$A$1:$F$45"}</definedName>
    <definedName name="GI">INDEX(#REF!,MATCH(#REF!,#REF!,0))</definedName>
    <definedName name="girder.span">#REF!</definedName>
    <definedName name="GIUIO"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localSheetId="41" hidden="1">{"'PROFITABILITY'!$A$1:$F$45"}</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localSheetId="41" hidden="1">{#N/A,#N/A,FALSE,"CCTV"}</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localSheetId="41" hidden="1">{"'PROFITABILITY'!$A$1:$F$45"}</definedName>
    <definedName name="hfh" hidden="1">{"'PROFITABILITY'!$A$1:$F$45"}</definedName>
    <definedName name="hfi">#REF!</definedName>
    <definedName name="hfjtyu" localSheetId="41" hidden="1">{"'PROFITABILITY'!$A$1:$F$45"}</definedName>
    <definedName name="hfjtyu" hidden="1">{"'PROFITABILITY'!$A$1:$F$45"}</definedName>
    <definedName name="HG">INDEX(#REF!,MATCH(#REF!,#REF!,0))</definedName>
    <definedName name="HGDFGD"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localSheetId="41" hidden="1">{"'PROFITABILITY'!$A$1:$F$45"}</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localSheetId="41" hidden="1">{"form-D1",#N/A,FALSE,"FORM-D1";"form-D1_amt",#N/A,FALSE,"FORM-D1"}</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localSheetId="41" hidden="1">{"form-D1",#N/A,FALSE,"FORM-D1";"form-D1_amt",#N/A,FALSE,"FORM-D1"}</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localSheetId="41" hidden="1">{"'PROFITABILITY'!$A$1:$F$45"}</definedName>
    <definedName name="html" hidden="1">{"'PROFITABILITY'!$A$1:$F$45"}</definedName>
    <definedName name="HTML_CodePage" hidden="1">1252</definedName>
    <definedName name="HTML_Control" localSheetId="41" hidden="1">{"'PROFITABILITY'!$A$1:$F$45"}</definedName>
    <definedName name="HTML_Control" hidden="1">{"'PROFITABILITY'!$A$1:$F$45"}</definedName>
    <definedName name="HTML_Control_1" localSheetId="41" hidden="1">{"'PROFITABILITY'!$A$1:$F$45"}</definedName>
    <definedName name="HTML_Control_1" hidden="1">{"'PROFITABILITY'!$A$1:$F$45"}</definedName>
    <definedName name="HTML_control2" localSheetId="41" hidden="1">{"'Sheet1'!$A$4386:$N$4591"}</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localSheetId="41" hidden="1">{"'PROFITABILITY'!$A$1:$F$45"}</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localSheetId="41" hidden="1">{"'Sheet1'!$A$4386:$N$4591"}</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localSheetId="41" hidden="1">{"form-D1",#N/A,FALSE,"FORM-D1";"form-D1_amt",#N/A,FALSE,"FORM-D1"}</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localSheetId="41" hidden="1">{"'PROFITABILITY'!$A$1:$F$45"}</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localSheetId="41" hidden="1">{"form-D1",#N/A,FALSE,"FORM-D1";"form-D1_amt",#N/A,FALSE,"FORM-D1"}</definedName>
    <definedName name="jjjj" hidden="1">{"form-D1",#N/A,FALSE,"FORM-D1";"form-D1_amt",#N/A,FALSE,"FORM-D1"}</definedName>
    <definedName name="jjjjjj" localSheetId="41" hidden="1">{"form-D1",#N/A,FALSE,"FORM-D1";"form-D1_amt",#N/A,FALSE,"FORM-D1"}</definedName>
    <definedName name="jjjjjj" hidden="1">{"form-D1",#N/A,FALSE,"FORM-D1";"form-D1_amt",#N/A,FALSE,"FORM-D1"}</definedName>
    <definedName name="jjjjjjjjj" localSheetId="41" hidden="1">{"form-D1",#N/A,FALSE,"FORM-D1";"form-D1_amt",#N/A,FALSE,"FORM-D1"}</definedName>
    <definedName name="jjjjjjjjj" hidden="1">{"form-D1",#N/A,FALSE,"FORM-D1";"form-D1_amt",#N/A,FALSE,"FORM-D1"}</definedName>
    <definedName name="jjjjjjjjjjjj" localSheetId="41"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localSheetId="41" hidden="1">{"'PROFITABILITY'!$A$1:$F$45"}</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localSheetId="41" hidden="1">{"form-D1",#N/A,FALSE,"FORM-D1";"form-D1_amt",#N/A,FALSE,"FORM-D1"}</definedName>
    <definedName name="KAMAL" hidden="1">{"form-D1",#N/A,FALSE,"FORM-D1";"form-D1_amt",#N/A,FALSE,"FORM-D1"}</definedName>
    <definedName name="kaml" localSheetId="41"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localSheetId="41" hidden="1">{#N/A,#N/A,FALSE,"WRSUMMARY";#N/A,#N/A,FALSE,"ANNEX-1";#N/A,#N/A,FALSE,"ANNEX-2";#N/A,#N/A,FALSE,"ANNEX-3";#N/A,#N/A,FALSE,"WORKING"}</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localSheetId="41" hidden="1">{"'PROFITABILITY'!$A$1:$F$45"}</definedName>
    <definedName name="kkkk" hidden="1">{"'PROFITABILITY'!$A$1:$F$45"}</definedName>
    <definedName name="kkkkk">#REF!</definedName>
    <definedName name="kklhl" localSheetId="41" hidden="1">{"'PROFITABILITY'!$A$1:$F$45"}</definedName>
    <definedName name="kklhl" hidden="1">{"'PROFITABILITY'!$A$1:$F$45"}</definedName>
    <definedName name="KL">INDEX(#REF!,MATCH(#REF!,#REF!,0))</definedName>
    <definedName name="klkml">#REF!</definedName>
    <definedName name="klmkl">#REF!</definedName>
    <definedName name="klsasK">#REF!</definedName>
    <definedName name="kltp" localSheetId="41" hidden="1">{"'PROFITABILITY'!$A$1:$F$45"}</definedName>
    <definedName name="kltp" hidden="1">{"'PROFITABILITY'!$A$1:$F$45"}</definedName>
    <definedName name="Km">#REF!</definedName>
    <definedName name="Km___0">#REF!</definedName>
    <definedName name="Km___13">#REF!</definedName>
    <definedName name="kmrc"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localSheetId="41" hidden="1">{#N/A,#N/A,FALSE,"COVER.XLS";#N/A,#N/A,FALSE,"RACT1.XLS";#N/A,#N/A,FALSE,"RACT2.XLS";#N/A,#N/A,FALSE,"ECCMP";#N/A,#N/A,FALSE,"WELDER.XLS"}</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localSheetId="41" hidden="1">{"'PROFITABILITY'!$A$1:$F$45"}</definedName>
    <definedName name="kususdd" hidden="1">{"'PROFITABILITY'!$A$1:$F$45"}</definedName>
    <definedName name="kvs" localSheetId="41" hidden="1">{#N/A,#N/A,FALSE,"COVER1.XLS ";#N/A,#N/A,FALSE,"RACT1.XLS";#N/A,#N/A,FALSE,"RACT2.XLS";#N/A,#N/A,FALSE,"ECCMP";#N/A,#N/A,FALSE,"WELDER.XLS"}</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localSheetId="41" hidden="1">{#N/A,#N/A,FALSE,"CCTV"}</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localSheetId="41" hidden="1">{"form-D1",#N/A,FALSE,"FORM-D1";"form-D1_amt",#N/A,FALSE,"FORM-D1"}</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28">[0]!City&amp;" "&amp;State</definedName>
    <definedName name="Location" localSheetId="32">[0]!City&amp;" "&amp;State</definedName>
    <definedName name="Location" localSheetId="41">City&amp;" "&amp;State</definedName>
    <definedName name="Location" localSheetId="37">[0]!City&amp;" "&amp;State</definedName>
    <definedName name="Location" localSheetId="7">[0]!City&amp;" "&amp;State</definedName>
    <definedName name="Location" localSheetId="8">[0]!City&amp;"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localSheetId="41" hidden="1">{"form-D1",#N/A,FALSE,"FORM-D1";"form-D1_amt",#N/A,FALSE,"FORM-D1"}</definedName>
    <definedName name="lohari" hidden="1">{"form-D1",#N/A,FALSE,"FORM-D1";"form-D1_amt",#N/A,FALSE,"FORM-D1"}</definedName>
    <definedName name="loi">#REF!</definedName>
    <definedName name="look">#REF!</definedName>
    <definedName name="Lot" localSheetId="41" hidden="1">{"'PROFITABILITY'!$A$1:$F$45"}</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localSheetId="41" hidden="1">{"form-D1",#N/A,FALSE,"FORM-D1";"form-D1_amt",#N/A,FALSE,"FORM-D1"}</definedName>
    <definedName name="mani" hidden="1">{"form-D1",#N/A,FALSE,"FORM-D1";"form-D1_amt",#N/A,FALSE,"FORM-D1"}</definedName>
    <definedName name="Manish" localSheetId="41"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localSheetId="41" hidden="1">{"'PROFITABILITY'!$A$1:$F$45"}</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localSheetId="41" hidden="1">{#N/A,#N/A,FALSE,"CCTV"}</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localSheetId="41" hidden="1">{#N/A,#N/A,FALSE,"CCTV"}</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localSheetId="41" hidden="1">{"'PROFITABILITY'!$A$1:$F$45"}</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localSheetId="41" hidden="1">{"'PROFITABILITY'!$A$1:$F$45"}</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localSheetId="41" hidden="1">{"form-D1",#N/A,FALSE,"FORM-D1";"form-D1_amt",#N/A,FALSE,"FORM-D1"}</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 localSheetId="41">PercentCompleteBeyond*PeriodInPlan</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localSheetId="41" hidden="1">{#N/A,#N/A,FALSE,"COVER1.XLS ";#N/A,#N/A,FALSE,"RACT1.XLS";#N/A,#N/A,FALSE,"RACT2.XLS";#N/A,#N/A,FALSE,"ECCMP";#N/A,#N/A,FALSE,"WELDER.XLS"}</definedName>
    <definedName name="PPPPPP" hidden="1">{#N/A,#N/A,FALSE,"COVER1.XLS ";#N/A,#N/A,FALSE,"RACT1.XLS";#N/A,#N/A,FALSE,"RACT2.XLS";#N/A,#N/A,FALSE,"ECCMP";#N/A,#N/A,FALSE,"WELDER.XLS"}</definedName>
    <definedName name="PR"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localSheetId="41" hidden="1">{"'Sheet1'!$A$4386:$N$4591"}</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49">'JS Supply Towers'!$A$1:$K$32</definedName>
    <definedName name="_xlnm.Print_Area" localSheetId="40">Manpower!$B$1:$BT$25</definedName>
    <definedName name="_xlnm.Print_Area" localSheetId="7">ROW!$A$6:$E$131</definedName>
    <definedName name="_xlnm.Print_Area" localSheetId="51">'SK Supply Towers'!$A$1:$G$52</definedName>
    <definedName name="_xlnm.Print_Area" localSheetId="17">'Survey-Summary'!$A$1:$M$22</definedName>
    <definedName name="_xlnm.Print_Area" localSheetId="9">'TB-605'!$A$1:$P$22</definedName>
    <definedName name="_xlnm.Print_Area" localSheetId="44">'Towers JS'!$A$1:$L$33</definedName>
    <definedName name="_xlnm.Print_Area" localSheetId="45">'Towers SK'!$A$1:$G$52</definedName>
    <definedName name="_xlnm.Print_Area" localSheetId="25">'Vertical Chart -JS Line Jammu '!$A$6:$R$256</definedName>
    <definedName name="_xlnm.Print_Area" localSheetId="33">'Vertical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25">'Vertical Chart -JS Line Jammu '!$6:$7</definedName>
    <definedName name="_xlnm.Print_Titles" localSheetId="33">'Vertical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localSheetId="41" hidden="1">{"form-D1",#N/A,FALSE,"FORM-D1";"form-D1_amt",#N/A,FALSE,"FORM-D1"}</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localSheetId="41" hidden="1">{"'PROFITABILITY'!$A$1:$F$45"}</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localSheetId="41" hidden="1">{"'Sheet1'!$A$4386:$N$4591"}</definedName>
    <definedName name="raaa" hidden="1">{"'Sheet1'!$A$4386:$N$4591"}</definedName>
    <definedName name="RAB_GI_Mranggen">#REF!</definedName>
    <definedName name="Rac">#REF!</definedName>
    <definedName name="RAD">#REF!</definedName>
    <definedName name="Radio" localSheetId="41" hidden="1">{"'PROFITABILITY'!$A$1:$F$45"}</definedName>
    <definedName name="Radio" hidden="1">{"'PROFITABILITY'!$A$1:$F$45"}</definedName>
    <definedName name="RaftD">#REF!</definedName>
    <definedName name="RaftSlbThk">#REF!</definedName>
    <definedName name="raghu">#REF!</definedName>
    <definedName name="rahee" localSheetId="41" hidden="1">{#N/A,#N/A,FALSE,"CCTV"}</definedName>
    <definedName name="rahee" hidden="1">{#N/A,#N/A,FALSE,"CCTV"}</definedName>
    <definedName name="rahee2" localSheetId="41" hidden="1">{#N/A,#N/A,FALSE,"CCTV"}</definedName>
    <definedName name="rahee2" hidden="1">{#N/A,#N/A,FALSE,"CCTV"}</definedName>
    <definedName name="Rahul">#REF!</definedName>
    <definedName name="Rahul1">#REF!</definedName>
    <definedName name="RAIL">#REF!</definedName>
    <definedName name="Raj" localSheetId="41" hidden="1">{"'Sheet1'!$A$4386:$N$4591"}</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localSheetId="41" hidden="1">{"form-D1",#N/A,FALSE,"FORM-D1";"form-D1_amt",#N/A,FALSE,"FORM-D1"}</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localSheetId="41" hidden="1">{#N/A,#N/A,FALSE,"COVER1.XLS ";#N/A,#N/A,FALSE,"RACT1.XLS";#N/A,#N/A,FALSE,"RACT2.XLS";#N/A,#N/A,FALSE,"ECCMP";#N/A,#N/A,FALSE,"WELDER.XLS"}</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localSheetId="41" hidden="1">{#N/A,#N/A,FALSE,"CCTV"}</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localSheetId="41" hidden="1">{"'PROFITABILITY'!$A$1:$F$45"}</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localSheetId="41" hidden="1">{"'PROFITABILITY'!$A$1:$F$45"}</definedName>
    <definedName name="rjrj" hidden="1">{"'PROFITABILITY'!$A$1:$F$45"}</definedName>
    <definedName name="rjrjj" localSheetId="41"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localSheetId="41" hidden="1">{"'PROFITABILITY'!$A$1:$F$45"}</definedName>
    <definedName name="rttj" hidden="1">{"'PROFITABILITY'!$A$1:$F$45"}</definedName>
    <definedName name="rttrt" localSheetId="41" hidden="1">{"form-D1",#N/A,FALSE,"FORM-D1";"form-D1_amt",#N/A,FALSE,"FORM-D1"}</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localSheetId="41" hidden="1">{#N/A,#N/A,FALSE,"COVER1.XLS ";#N/A,#N/A,FALSE,"RACT1.XLS";#N/A,#N/A,FALSE,"RACT2.XLS";#N/A,#N/A,FALSE,"ECCMP";#N/A,#N/A,FALSE,"WELDER.XLS"}</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localSheetId="41" hidden="1">{"'PROFITABILITY'!$A$1:$F$45"}</definedName>
    <definedName name="s_1" hidden="1">{"'PROFITABILITY'!$A$1:$F$45"}</definedName>
    <definedName name="S_41" localSheetId="41" hidden="1">{0,0,0,0;0,#N/A,FALSE,0}</definedName>
    <definedName name="S_41" hidden="1">{0,0,0,0;0,#N/A,FALSE,0}</definedName>
    <definedName name="S_S_Name">#REF!</definedName>
    <definedName name="S_T_Q_E_MI">#REF!</definedName>
    <definedName name="S0">#REF!</definedName>
    <definedName name="s0ne">#REF!</definedName>
    <definedName name="SA">#REF!</definedName>
    <definedName name="saa" localSheetId="41" hidden="1">{"form-D1",#N/A,FALSE,"FORM-D1";"form-D1_amt",#N/A,FALSE,"FORM-D1"}</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localSheetId="41" hidden="1">{"form-D1",#N/A,FALSE,"FORM-D1";"form-D1_amt",#N/A,FALSE,"FORM-D1"}</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localSheetId="41" hidden="1">{"form-D1",#N/A,FALSE,"FORM-D1";"form-D1_amt",#N/A,FALSE,"FORM-D1"}</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localSheetId="41" hidden="1">{"'PROFITABILITY'!$A$1:$F$45"}</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localSheetId="41" hidden="1">{"'PROFITABILITY'!$A$1:$F$45"}</definedName>
    <definedName name="SDGDSHGD" hidden="1">{"'PROFITABILITY'!$A$1:$F$45"}</definedName>
    <definedName name="SDGSDG" localSheetId="41" hidden="1">{"'PROFITABILITY'!$A$1:$F$45"}</definedName>
    <definedName name="SDGSDG" hidden="1">{"'PROFITABILITY'!$A$1:$F$45"}</definedName>
    <definedName name="SDGSG" localSheetId="41"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localSheetId="41" hidden="1">{"Cost Summary",#N/A,FALSE,"B";"Cost Detail 1",#N/A,FALSE,"C";"Cost Detail 2",#N/A,FALSE,"C"}</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localSheetId="41"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localSheetId="41" hidden="1">{"form-D1",#N/A,FALSE,"FORM-D1";"form-D1_amt",#N/A,FALSE,"FORM-D1"}</definedName>
    <definedName name="slab" hidden="1">{"form-D1",#N/A,FALSE,"FORM-D1";"form-D1_amt",#N/A,FALSE,"FORM-D1"}</definedName>
    <definedName name="slab_p" localSheetId="41"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localSheetId="41" hidden="1">{"'PROFITABILITY'!$A$1:$F$45"}</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localSheetId="41" hidden="1">{"'PROFITABILITY'!$A$1:$F$45"}</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localSheetId="41" hidden="1">{"form-D1",#N/A,FALSE,"FORM-D1";"form-D1_amt",#N/A,FALSE,"FORM-D1"}</definedName>
    <definedName name="sssssssssssss" hidden="1">{"form-D1",#N/A,FALSE,"FORM-D1";"form-D1_amt",#N/A,FALSE,"FORM-D1"}</definedName>
    <definedName name="sssssssssssssas" localSheetId="41"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localSheetId="41" hidden="1">{"'Sheet1'!$A$4386:$N$4591"}</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localSheetId="41" hidden="1">{"form-D1",#N/A,FALSE,"FORM-D1";"form-D1_amt",#N/A,FALSE,"FORM-D1"}</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localSheetId="41" hidden="1">{"'PROFITABILITY'!$A$1:$F$45"}</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localSheetId="41" hidden="1">{"'PROFITABILITY'!$A$1:$F$45"}</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localSheetId="41" hidden="1">{"'TP-SUMMARY'!$I$11:$K$11"}</definedName>
    <definedName name="tree" hidden="1">{"'TP-SUMMARY'!$I$11:$K$11"}</definedName>
    <definedName name="Tres">#REF!</definedName>
    <definedName name="tres4">#REF!</definedName>
    <definedName name="trolley">#REF!</definedName>
    <definedName name="trrrrrrrrrrrrr" localSheetId="41" hidden="1">{"form-D1",#N/A,FALSE,"FORM-D1";"form-D1_amt",#N/A,FALSE,"FORM-D1"}</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localSheetId="41" hidden="1">{"'PROFITABILITY'!$A$1:$F$45"}</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localSheetId="41" hidden="1">{"'Sheet1'!$A$4386:$N$4591"}</definedName>
    <definedName name="vggfd" hidden="1">{"'Sheet1'!$A$4386:$N$4591"}</definedName>
    <definedName name="vgwer">#REF!</definedName>
    <definedName name="vibroroller">#REF!</definedName>
    <definedName name="view" localSheetId="41" hidden="1">{"'PROFITABILITY'!$A$1:$F$45"}</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localSheetId="41" hidden="1">{"'PROFITABILITY'!$A$1:$F$45"}</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localSheetId="41" hidden="1">{"'Sheet1'!$A$4386:$N$4591"}</definedName>
    <definedName name="water_funds" hidden="1">{"'Sheet1'!$A$4386:$N$4591"}</definedName>
    <definedName name="Wc">#REF!</definedName>
    <definedName name="wcl">#REF!</definedName>
    <definedName name="WCT">#REF!</definedName>
    <definedName name="wds" localSheetId="41" hidden="1">{"Cost Summary",#N/A,FALSE,"B";"Cost Detail 1",#N/A,FALSE,"C";"Cost Detail 2",#N/A,FALSE,"C"}</definedName>
    <definedName name="wds" hidden="1">{"Cost Summary",#N/A,FALSE,"B";"Cost Detail 1",#N/A,FALSE,"C";"Cost Detail 2",#N/A,FALSE,"C"}</definedName>
    <definedName name="wdwewe">#REF!</definedName>
    <definedName name="WE" localSheetId="41" hidden="1">{#N/A,#N/A,FALSE,"CCTV"}</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localSheetId="41" hidden="1">{#N/A,#N/A,FALSE,"COVER1.XLS ";#N/A,#N/A,FALSE,"RACT1.XLS";#N/A,#N/A,FALSE,"RACT2.XLS";#N/A,#N/A,FALSE,"ECCMP";#N/A,#N/A,FALSE,"WELDER.XLS"}</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localSheetId="41" hidden="1">{#N/A,#N/A,FALSE,"COVER1.XLS ";#N/A,#N/A,FALSE,"RACT1.XLS";#N/A,#N/A,FALSE,"RACT2.XLS";#N/A,#N/A,FALSE,"ECCMP";#N/A,#N/A,FALSE,"WELDER.XLS"}</definedName>
    <definedName name="wr" hidden="1">{#N/A,#N/A,FALSE,"COVER1.XLS ";#N/A,#N/A,FALSE,"RACT1.XLS";#N/A,#N/A,FALSE,"RACT2.XLS";#N/A,#N/A,FALSE,"ECCMP";#N/A,#N/A,FALSE,"WELDER.XLS"}</definedName>
    <definedName name="wrd" localSheetId="41" hidden="1">{#N/A,#N/A,FALSE,"WRSUMMARY";#N/A,#N/A,FALSE,"ANNEX-1";#N/A,#N/A,FALSE,"ANNEX-2";#N/A,#N/A,FALSE,"ANNEX-3";#N/A,#N/A,FALSE,"WORKING"}</definedName>
    <definedName name="wrd" hidden="1">{#N/A,#N/A,FALSE,"WRSUMMARY";#N/A,#N/A,FALSE,"ANNEX-1";#N/A,#N/A,FALSE,"ANNEX-2";#N/A,#N/A,FALSE,"ANNEX-3";#N/A,#N/A,FALSE,"WORKING"}</definedName>
    <definedName name="WRITE" localSheetId="41" hidden="1">{#N/A,#N/A,FALSE,"CCTV"}</definedName>
    <definedName name="WRITE" hidden="1">{#N/A,#N/A,FALSE,"CCTV"}</definedName>
    <definedName name="wrn"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localSheetId="41" hidden="1">{#N/A,#N/A,FALSE,"17MAY";#N/A,#N/A,FALSE,"24MAY"}</definedName>
    <definedName name="wrn.1." hidden="1">{#N/A,#N/A,FALSE,"17MAY";#N/A,#N/A,FALSE,"24MAY"}</definedName>
    <definedName name="wrn.abc." localSheetId="41" hidden="1">{"Execavation",#N/A,FALSE,"furniture (employer)"}</definedName>
    <definedName name="wrn.abc." hidden="1">{"Execavation",#N/A,FALSE,"furniture (employer)"}</definedName>
    <definedName name="wrn.BM." localSheetId="41" hidden="1">{#N/A,#N/A,FALSE,"CCTV"}</definedName>
    <definedName name="wrn.BM." hidden="1">{#N/A,#N/A,FALSE,"CCTV"}</definedName>
    <definedName name="wrn.budget." localSheetId="41" hidden="1">{"form-D1",#N/A,FALSE,"FORM-D1";"form-D1_amt",#N/A,FALSE,"FORM-D1"}</definedName>
    <definedName name="wrn.budget." hidden="1">{"form-D1",#N/A,FALSE,"FORM-D1";"form-D1_amt",#N/A,FALSE,"FORM-D1"}</definedName>
    <definedName name="wrn.budget._1">NA()</definedName>
    <definedName name="wrn.Co." localSheetId="41" hidden="1">{#N/A,#N/A,TRUE,"GW-Cond";#N/A,#N/A,TRUE,"HW"}</definedName>
    <definedName name="wrn.Co." hidden="1">{#N/A,#N/A,TRUE,"GW-Cond";#N/A,#N/A,TRUE,"HW"}</definedName>
    <definedName name="wrn.Complete._.Cost._.Sheet." localSheetId="4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localSheetId="41" hidden="1">{#N/A,#N/A,FALSE,"consu_cover";#N/A,#N/A,FALSE,"consu_strategy";#N/A,#N/A,FALSE,"consu_flow";#N/A,#N/A,FALSE,"Summary_reqmt";#N/A,#N/A,FALSE,"field_ppg";#N/A,#N/A,FALSE,"ppg_shop";#N/A,#N/A,FALSE,"strl";#N/A,#N/A,FALSE,"tankages";#N/A,#N/A,FALSE,"gases"}</definedName>
    <definedName name="wrn.consumable." hidden="1">{#N/A,#N/A,FALSE,"consu_cover";#N/A,#N/A,FALSE,"consu_strategy";#N/A,#N/A,FALSE,"consu_flow";#N/A,#N/A,FALSE,"Summary_reqmt";#N/A,#N/A,FALSE,"field_ppg";#N/A,#N/A,FALSE,"ppg_shop";#N/A,#N/A,FALSE,"strl";#N/A,#N/A,FALSE,"tankages";#N/A,#N/A,FALSE,"gases"}</definedName>
    <definedName name="wrn.cost." localSheetId="41" hidden="1">{#N/A,#N/A,FALSE,"abs";#N/A,#N/A,FALSE,"Annex-I";#N/A,#N/A,FALSE,"Annex-II";#N/A,#N/A,FALSE,"Annex-III";#N/A,#N/A,FALSE,"Annex-IV";#N/A,#N/A,FALSE,"Annex-V";#N/A,#N/A,FALSE,"Annex-VI"}</definedName>
    <definedName name="wrn.cost." hidden="1">{#N/A,#N/A,FALSE,"abs";#N/A,#N/A,FALSE,"Annex-I";#N/A,#N/A,FALSE,"Annex-II";#N/A,#N/A,FALSE,"Annex-III";#N/A,#N/A,FALSE,"Annex-IV";#N/A,#N/A,FALSE,"Annex-V";#N/A,#N/A,FALSE,"Annex-VI"}</definedName>
    <definedName name="wrn.Cost._.Summary." localSheetId="41" hidden="1">{"Cost Summary",#N/A,FALSE,"B";"Cost Detail 1",#N/A,FALSE,"C";"Cost Detail 2",#N/A,FALSE,"C"}</definedName>
    <definedName name="wrn.Cost._.Summary." hidden="1">{"Cost Summary",#N/A,FALSE,"B";"Cost Detail 1",#N/A,FALSE,"C";"Cost Detail 2",#N/A,FALSE,"C"}</definedName>
    <definedName name="wrn.costprint." localSheetId="41"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41"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localSheetId="41"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localSheetId="41"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localSheetId="41"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Full._.Report." localSheetId="4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tem1." localSheetId="41" hidden="1">{#N/A,#N/A,FALSE,"Wadhal";#N/A,#N/A,FALSE,"Manglad U-S";#N/A,#N/A,FALSE,"Manglad D-S";#N/A,#N/A,FALSE,"Ratanpur U-S";#N/A,#N/A,FALSE,"Ratanpur D-S";#N/A,#N/A,FALSE,"VI Face"}</definedName>
    <definedName name="wrn.item1." hidden="1">{#N/A,#N/A,FALSE,"Wadhal";#N/A,#N/A,FALSE,"Manglad U-S";#N/A,#N/A,FALSE,"Manglad D-S";#N/A,#N/A,FALSE,"Ratanpur U-S";#N/A,#N/A,FALSE,"Ratanpur D-S";#N/A,#N/A,FALSE,"VI Face"}</definedName>
    <definedName name="wrn.Manpower._.Details." localSheetId="41"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localSheetId="41" hidden="1">{#N/A,#N/A,TRUE,"STEEL";#N/A,#N/A,TRUE,"OUTSIDE FAB.";#N/A,#N/A,TRUE,"WIP";#N/A,#N/A,TRUE,"FINISHED GOODS";#N/A,#N/A,TRUE,"SCRAP"}</definedName>
    <definedName name="wrn.Monthly._.Report." hidden="1">{#N/A,#N/A,TRUE,"STEEL";#N/A,#N/A,TRUE,"OUTSIDE FAB.";#N/A,#N/A,TRUE,"WIP";#N/A,#N/A,TRUE,"FINISHED GOODS";#N/A,#N/A,TRUE,"SCRAP"}</definedName>
    <definedName name="wrn.piping." localSheetId="4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localSheetId="41" hidden="1">{"PLANNING",#N/A,FALSE,"A"}</definedName>
    <definedName name="wrn.PLANNING." hidden="1">{"PLANNING",#N/A,FALSE,"A"}</definedName>
    <definedName name="wrn.RCC." localSheetId="4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localSheetId="41" hidden="1">{#N/A,#N/A,FALSE,"COVER.XLS";#N/A,#N/A,FALSE,"RACT1.XLS";#N/A,#N/A,FALSE,"RACT2.XLS";#N/A,#N/A,FALSE,"ECCMP";#N/A,#N/A,FALSE,"WELDER.XLS"}</definedName>
    <definedName name="wrn.report." hidden="1">{#N/A,#N/A,FALSE,"COVER.XLS";#N/A,#N/A,FALSE,"RACT1.XLS";#N/A,#N/A,FALSE,"RACT2.XLS";#N/A,#N/A,FALSE,"ECCMP";#N/A,#N/A,FALSE,"WELDER.XLS"}</definedName>
    <definedName name="wrn.RPLINS." localSheetId="41" hidden="1">{#N/A,#N/A,FALSE,"str_title";#N/A,#N/A,FALSE,"SUM";#N/A,#N/A,FALSE,"Scope";#N/A,#N/A,FALSE,"PIE-Jn";#N/A,#N/A,FALSE,"PIE-Jn_Hz";#N/A,#N/A,FALSE,"Liq_Plan";#N/A,#N/A,FALSE,"S_Curve";#N/A,#N/A,FALSE,"Liq_Prof";#N/A,#N/A,FALSE,"Man_Pwr";#N/A,#N/A,FALSE,"Man_Prof"}</definedName>
    <definedName name="wrn.RPLINS." hidden="1">{#N/A,#N/A,FALSE,"str_title";#N/A,#N/A,FALSE,"SUM";#N/A,#N/A,FALSE,"Scope";#N/A,#N/A,FALSE,"PIE-Jn";#N/A,#N/A,FALSE,"PIE-Jn_Hz";#N/A,#N/A,FALSE,"Liq_Plan";#N/A,#N/A,FALSE,"S_Curve";#N/A,#N/A,FALSE,"Liq_Prof";#N/A,#N/A,FALSE,"Man_Pwr";#N/A,#N/A,FALSE,"Man_Prof"}</definedName>
    <definedName name="wrn.summary." localSheetId="41" hidden="1">{#N/A,#N/A,FALSE,"COVER1.XLS ";#N/A,#N/A,FALSE,"RACT1.XLS";#N/A,#N/A,FALSE,"RACT2.XLS";#N/A,#N/A,FALSE,"ECCMP";#N/A,#N/A,FALSE,"WELDER.XLS"}</definedName>
    <definedName name="wrn.summary." hidden="1">{#N/A,#N/A,FALSE,"COVER1.XLS ";#N/A,#N/A,FALSE,"RACT1.XLS";#N/A,#N/A,FALSE,"RACT2.XLS";#N/A,#N/A,FALSE,"ECCMP";#N/A,#N/A,FALSE,"WELDER.XLS"}</definedName>
    <definedName name="wrn.test." localSheetId="41" hidden="1">{#N/A,#N/A,FALSE,"Motor List"}</definedName>
    <definedName name="wrn.test." hidden="1">{#N/A,#N/A,FALSE,"Motor List"}</definedName>
    <definedName name="wrn.Test._.Report." localSheetId="41" hidden="1">{#N/A,#N/A,FALSE,"DATA D.I.";#N/A,#N/A,FALSE,"DATA C.I."}</definedName>
    <definedName name="wrn.Test._.Report." hidden="1">{#N/A,#N/A,FALSE,"DATA D.I.";#N/A,#N/A,FALSE,"DATA C.I."}</definedName>
    <definedName name="wrn.WEEKLY." localSheetId="41" hidden="1">{#N/A,#N/A,FALSE,"WRSUMMARY";#N/A,#N/A,FALSE,"ANNEX-1";#N/A,#N/A,FALSE,"ANNEX-2";#N/A,#N/A,FALSE,"ANNEX-3";#N/A,#N/A,FALSE,"WORKING"}</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localSheetId="41" hidden="1">{"form-D1",#N/A,FALSE,"FORM-D1";"form-D1_amt",#N/A,FALSE,"FORM-D1"}</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localSheetId="41"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localSheetId="41" hidden="1">{"'PROFITABILITY'!$A$1:$F$45"}</definedName>
    <definedName name="yyy" hidden="1">{"'PROFITABILITY'!$A$1:$F$45"}</definedName>
    <definedName name="yyy1" localSheetId="41" hidden="1">{"'PROFITABILITY'!$A$1:$F$45"}</definedName>
    <definedName name="yyy1" hidden="1">{"'PROFITABILITY'!$A$1:$F$45"}</definedName>
    <definedName name="yyyyyyyyyyy">#REF!</definedName>
    <definedName name="z" localSheetId="41" hidden="1">{"'PROFITABILITY'!$A$1:$F$45"}</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localSheetId="41" hidden="1">{"'PROFITABILITY'!$A$1:$F$45"}</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localSheetId="41" hidden="1">{"'장비'!$A$3:$M$12"}</definedName>
    <definedName name="추가분" hidden="1">{"'장비'!$A$3:$M$12"}</definedName>
    <definedName name="토목">#REF!</definedName>
    <definedName name="토목1">#REF!</definedName>
    <definedName name="토목변경" localSheetId="41" hidden="1">{"'장비'!$A$3:$M$12"}</definedName>
    <definedName name="토목변경" hidden="1">{"'장비'!$A$3:$M$12"}</definedName>
    <definedName name="토목실행예산" localSheetId="41" hidden="1">{"'장비'!$A$3:$M$12"}</definedName>
    <definedName name="토목실행예산" hidden="1">{"'장비'!$A$3:$M$12"}</definedName>
    <definedName name="토목조정분" localSheetId="41"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6" i="69" l="1"/>
  <c r="A125" i="15"/>
  <c r="E25" i="52"/>
  <c r="A244" i="59"/>
  <c r="A23" i="76"/>
  <c r="B11" i="99"/>
  <c r="C57" i="42"/>
  <c r="U51" i="42"/>
  <c r="U50" i="42"/>
  <c r="E55" i="42"/>
  <c r="L12" i="42"/>
  <c r="A22" i="76"/>
  <c r="A21" i="76"/>
  <c r="G10" i="42"/>
  <c r="F3" i="100"/>
  <c r="G12" i="42"/>
  <c r="A105" i="69"/>
  <c r="I25" i="52"/>
  <c r="A51" i="49"/>
  <c r="A50" i="49"/>
  <c r="A104" i="69"/>
  <c r="A161" i="72"/>
  <c r="L13" i="42"/>
  <c r="A103" i="69"/>
  <c r="A102" i="69"/>
  <c r="E18" i="70"/>
  <c r="D64" i="42"/>
  <c r="D56" i="42"/>
  <c r="D55" i="42"/>
  <c r="D13" i="42"/>
  <c r="A101" i="69"/>
  <c r="J23" i="42"/>
  <c r="K23" i="42" s="1"/>
  <c r="E17" i="70"/>
  <c r="A160" i="72"/>
  <c r="A159" i="72"/>
  <c r="E16" i="70"/>
  <c r="A97" i="69"/>
  <c r="A158" i="72"/>
  <c r="A157" i="72"/>
  <c r="A156" i="72"/>
  <c r="G13" i="42"/>
  <c r="A155" i="72"/>
  <c r="A98" i="69"/>
  <c r="A99" i="69" s="1"/>
  <c r="A100" i="69" s="1"/>
  <c r="H6" i="100"/>
  <c r="F6" i="100"/>
  <c r="E6" i="100"/>
  <c r="G5" i="100"/>
  <c r="G4" i="100"/>
  <c r="C4" i="100"/>
  <c r="C5" i="100" s="1"/>
  <c r="G3" i="100"/>
  <c r="A49" i="49"/>
  <c r="H13" i="42"/>
  <c r="F13" i="42"/>
  <c r="E13" i="42"/>
  <c r="B13" i="42"/>
  <c r="P50" i="42"/>
  <c r="K50" i="42"/>
  <c r="Q41" i="42"/>
  <c r="Q40" i="42"/>
  <c r="P41" i="42"/>
  <c r="K41" i="42"/>
  <c r="Q23" i="42"/>
  <c r="Q32" i="42"/>
  <c r="K32" i="42"/>
  <c r="I32" i="42"/>
  <c r="P32" i="42" s="1"/>
  <c r="Q48" i="42"/>
  <c r="Q47" i="42"/>
  <c r="Q46" i="42"/>
  <c r="Q45" i="42"/>
  <c r="Q39" i="42"/>
  <c r="Q38" i="42"/>
  <c r="Q37" i="42"/>
  <c r="Q36" i="42"/>
  <c r="Q31" i="42"/>
  <c r="Q30" i="42"/>
  <c r="Q29" i="42"/>
  <c r="Q28" i="42"/>
  <c r="Q27" i="42"/>
  <c r="Q22" i="42"/>
  <c r="Q21" i="42"/>
  <c r="Q20" i="42"/>
  <c r="Q19" i="42"/>
  <c r="Q18" i="42"/>
  <c r="F8" i="42"/>
  <c r="F9" i="42"/>
  <c r="F10" i="42"/>
  <c r="F11" i="42"/>
  <c r="F12" i="42"/>
  <c r="F22" i="52"/>
  <c r="F23" i="52" s="1"/>
  <c r="E15" i="70"/>
  <c r="E14" i="70"/>
  <c r="B8" i="99"/>
  <c r="B9" i="99" s="1"/>
  <c r="B10" i="99" s="1"/>
  <c r="E13" i="70"/>
  <c r="C72" i="42"/>
  <c r="C64" i="42"/>
  <c r="A7" i="98"/>
  <c r="G1" i="98"/>
  <c r="O14" i="96"/>
  <c r="J36" i="42"/>
  <c r="E52" i="97"/>
  <c r="D52" i="97"/>
  <c r="C52" i="97"/>
  <c r="F51" i="97"/>
  <c r="F50" i="97"/>
  <c r="F49" i="97"/>
  <c r="F48" i="97"/>
  <c r="F47" i="97"/>
  <c r="F46" i="97"/>
  <c r="F45" i="97"/>
  <c r="F44" i="97"/>
  <c r="F43" i="97"/>
  <c r="F42" i="97"/>
  <c r="F41" i="97"/>
  <c r="F40" i="97"/>
  <c r="F39" i="97"/>
  <c r="F38" i="97"/>
  <c r="F37" i="97"/>
  <c r="F36" i="97"/>
  <c r="F52" i="97" s="1"/>
  <c r="F35" i="97"/>
  <c r="F34" i="97"/>
  <c r="F33" i="97"/>
  <c r="F32" i="97"/>
  <c r="F31" i="97"/>
  <c r="F30" i="97"/>
  <c r="F29" i="97"/>
  <c r="F28" i="97"/>
  <c r="F27" i="97"/>
  <c r="F26" i="97"/>
  <c r="F25" i="97"/>
  <c r="F24" i="97"/>
  <c r="F23" i="97"/>
  <c r="F22" i="97"/>
  <c r="F21" i="97"/>
  <c r="F20" i="97"/>
  <c r="F19" i="97"/>
  <c r="F18" i="97"/>
  <c r="F17" i="97"/>
  <c r="F16" i="97"/>
  <c r="F15" i="97"/>
  <c r="F14" i="97"/>
  <c r="F13" i="97"/>
  <c r="F12" i="97"/>
  <c r="F11" i="97"/>
  <c r="F10" i="97"/>
  <c r="F9" i="97"/>
  <c r="F8" i="97"/>
  <c r="F7" i="97"/>
  <c r="F6" i="97"/>
  <c r="F5" i="97"/>
  <c r="F4" i="97"/>
  <c r="F3" i="97"/>
  <c r="J33" i="96"/>
  <c r="I33" i="96"/>
  <c r="G33" i="96"/>
  <c r="F33" i="96"/>
  <c r="D33" i="96"/>
  <c r="C33" i="96"/>
  <c r="H32" i="96"/>
  <c r="E32" i="96"/>
  <c r="K32" i="96" s="1"/>
  <c r="H31" i="96"/>
  <c r="H33" i="96" s="1"/>
  <c r="E31" i="96"/>
  <c r="H30" i="96"/>
  <c r="E30" i="96"/>
  <c r="K30" i="96" s="1"/>
  <c r="H29" i="96"/>
  <c r="E29" i="96"/>
  <c r="K29" i="96" s="1"/>
  <c r="H28" i="96"/>
  <c r="E28" i="96"/>
  <c r="K28" i="96" s="1"/>
  <c r="H27" i="96"/>
  <c r="E27" i="96"/>
  <c r="K27" i="96" s="1"/>
  <c r="H26" i="96"/>
  <c r="E26" i="96"/>
  <c r="K26" i="96" s="1"/>
  <c r="H25" i="96"/>
  <c r="E25" i="96"/>
  <c r="K25" i="96" s="1"/>
  <c r="H24" i="96"/>
  <c r="E24" i="96"/>
  <c r="K24" i="96" s="1"/>
  <c r="H23" i="96"/>
  <c r="E23" i="96"/>
  <c r="K23" i="96" s="1"/>
  <c r="H22" i="96"/>
  <c r="E22" i="96"/>
  <c r="K22" i="96" s="1"/>
  <c r="H21" i="96"/>
  <c r="E21" i="96"/>
  <c r="K21" i="96" s="1"/>
  <c r="H20" i="96"/>
  <c r="E20" i="96"/>
  <c r="K20" i="96" s="1"/>
  <c r="H19" i="96"/>
  <c r="E19" i="96"/>
  <c r="K19" i="96" s="1"/>
  <c r="H18" i="96"/>
  <c r="E18" i="96"/>
  <c r="K18" i="96" s="1"/>
  <c r="H17" i="96"/>
  <c r="E17" i="96"/>
  <c r="K17" i="96" s="1"/>
  <c r="H16" i="96"/>
  <c r="E16" i="96"/>
  <c r="K16" i="96" s="1"/>
  <c r="H15" i="96"/>
  <c r="E15" i="96"/>
  <c r="K15" i="96" s="1"/>
  <c r="H14" i="96"/>
  <c r="E14" i="96"/>
  <c r="K14" i="96" s="1"/>
  <c r="H13" i="96"/>
  <c r="E13" i="96"/>
  <c r="K13" i="96" s="1"/>
  <c r="H12" i="96"/>
  <c r="E12" i="96"/>
  <c r="K12" i="96" s="1"/>
  <c r="H11" i="96"/>
  <c r="E11" i="96"/>
  <c r="K11" i="96" s="1"/>
  <c r="H10" i="96"/>
  <c r="E10" i="96"/>
  <c r="K10" i="96" s="1"/>
  <c r="H9" i="96"/>
  <c r="E9" i="96"/>
  <c r="K9" i="96" s="1"/>
  <c r="H8" i="96"/>
  <c r="E8" i="96"/>
  <c r="K8" i="96" s="1"/>
  <c r="H7" i="96"/>
  <c r="E7" i="96"/>
  <c r="K7" i="96" s="1"/>
  <c r="H6" i="96"/>
  <c r="E6" i="96"/>
  <c r="K6" i="96" s="1"/>
  <c r="H5" i="96"/>
  <c r="E5" i="96"/>
  <c r="K5" i="96" s="1"/>
  <c r="H4" i="96"/>
  <c r="E4" i="96"/>
  <c r="K4" i="96" s="1"/>
  <c r="G45" i="95"/>
  <c r="E45" i="95"/>
  <c r="F44" i="95"/>
  <c r="F43" i="95"/>
  <c r="F42" i="95"/>
  <c r="F41" i="95"/>
  <c r="F40" i="95"/>
  <c r="F39" i="95"/>
  <c r="F38" i="95"/>
  <c r="F37" i="95"/>
  <c r="F36" i="95"/>
  <c r="F34" i="95"/>
  <c r="F33" i="95"/>
  <c r="F32" i="95"/>
  <c r="F31" i="95"/>
  <c r="F30" i="95"/>
  <c r="F29" i="95"/>
  <c r="F28" i="95"/>
  <c r="F27" i="95"/>
  <c r="F26" i="95"/>
  <c r="F25" i="95"/>
  <c r="F24" i="95"/>
  <c r="F23" i="95"/>
  <c r="F22" i="95"/>
  <c r="F21" i="95"/>
  <c r="F20" i="95"/>
  <c r="F19" i="95"/>
  <c r="F18" i="95"/>
  <c r="D17" i="95"/>
  <c r="F16" i="95"/>
  <c r="F15" i="95"/>
  <c r="F14" i="95"/>
  <c r="F13" i="95"/>
  <c r="F12" i="95"/>
  <c r="F11" i="95"/>
  <c r="F10" i="95"/>
  <c r="F9" i="95"/>
  <c r="F8" i="95"/>
  <c r="F7" i="95"/>
  <c r="F6" i="95"/>
  <c r="F5" i="95"/>
  <c r="F4" i="95"/>
  <c r="F3" i="95"/>
  <c r="H30" i="94"/>
  <c r="G30" i="94"/>
  <c r="E30" i="94"/>
  <c r="D30" i="94"/>
  <c r="I29" i="94"/>
  <c r="F29" i="94"/>
  <c r="J29" i="94" s="1"/>
  <c r="I28" i="94"/>
  <c r="F28" i="94"/>
  <c r="J28" i="94" s="1"/>
  <c r="I27" i="94"/>
  <c r="F27" i="94"/>
  <c r="J27" i="94" s="1"/>
  <c r="I26" i="94"/>
  <c r="D26" i="94"/>
  <c r="F26" i="94" s="1"/>
  <c r="J26" i="94" s="1"/>
  <c r="I25" i="94"/>
  <c r="F25" i="94"/>
  <c r="J25" i="94" s="1"/>
  <c r="I24" i="94"/>
  <c r="F24" i="94"/>
  <c r="J24" i="94" s="1"/>
  <c r="I23" i="94"/>
  <c r="F23" i="94"/>
  <c r="J23" i="94" s="1"/>
  <c r="I22" i="94"/>
  <c r="F22" i="94"/>
  <c r="J22" i="94" s="1"/>
  <c r="I21" i="94"/>
  <c r="F21" i="94"/>
  <c r="J21" i="94" s="1"/>
  <c r="I20" i="94"/>
  <c r="F20" i="94"/>
  <c r="J20" i="94" s="1"/>
  <c r="I19" i="94"/>
  <c r="F19" i="94"/>
  <c r="J19" i="94" s="1"/>
  <c r="I18" i="94"/>
  <c r="F18" i="94"/>
  <c r="J18" i="94" s="1"/>
  <c r="I17" i="94"/>
  <c r="F17" i="94"/>
  <c r="J17" i="94" s="1"/>
  <c r="I16" i="94"/>
  <c r="F16" i="94"/>
  <c r="J16" i="94" s="1"/>
  <c r="I15" i="94"/>
  <c r="F15" i="94"/>
  <c r="J15" i="94" s="1"/>
  <c r="I14" i="94"/>
  <c r="F14" i="94"/>
  <c r="J14" i="94" s="1"/>
  <c r="I13" i="94"/>
  <c r="F13" i="94"/>
  <c r="J13" i="94" s="1"/>
  <c r="I12" i="94"/>
  <c r="F12" i="94"/>
  <c r="J12" i="94" s="1"/>
  <c r="I11" i="94"/>
  <c r="F11" i="94"/>
  <c r="J11" i="94" s="1"/>
  <c r="I10" i="94"/>
  <c r="F10" i="94"/>
  <c r="J10" i="94" s="1"/>
  <c r="I9" i="94"/>
  <c r="F9" i="94"/>
  <c r="J9" i="94" s="1"/>
  <c r="I8" i="94"/>
  <c r="F8" i="94"/>
  <c r="J8" i="94" s="1"/>
  <c r="I7" i="94"/>
  <c r="F7" i="94"/>
  <c r="J7" i="94" s="1"/>
  <c r="I6" i="94"/>
  <c r="F6" i="94"/>
  <c r="J6" i="94" s="1"/>
  <c r="I5" i="94"/>
  <c r="F5" i="94"/>
  <c r="J5" i="94" s="1"/>
  <c r="I4" i="94"/>
  <c r="F4" i="94"/>
  <c r="J4" i="94" s="1"/>
  <c r="I3" i="94"/>
  <c r="I30" i="94" s="1"/>
  <c r="F3" i="94"/>
  <c r="I47" i="42"/>
  <c r="I29" i="42"/>
  <c r="H8" i="42"/>
  <c r="A8" i="70"/>
  <c r="A9" i="70" s="1"/>
  <c r="A10" i="70" s="1"/>
  <c r="A11" i="70" s="1"/>
  <c r="A12" i="70" s="1"/>
  <c r="A13" i="70" s="1"/>
  <c r="A14" i="70" s="1"/>
  <c r="A15" i="70" s="1"/>
  <c r="A16" i="70" s="1"/>
  <c r="A17" i="70" s="1"/>
  <c r="A18" i="70" s="1"/>
  <c r="E12" i="70"/>
  <c r="E11" i="70"/>
  <c r="E7" i="42"/>
  <c r="F7" i="42"/>
  <c r="E8" i="42"/>
  <c r="E9" i="42"/>
  <c r="E10" i="42"/>
  <c r="E11" i="42"/>
  <c r="E12" i="42"/>
  <c r="B12" i="99" l="1"/>
  <c r="B13" i="99" s="1"/>
  <c r="B14" i="99" s="1"/>
  <c r="J13" i="42"/>
  <c r="K13" i="42" s="1"/>
  <c r="Q13" i="42"/>
  <c r="C13" i="42"/>
  <c r="I13" i="42" s="1"/>
  <c r="I23" i="42"/>
  <c r="P23" i="42" s="1"/>
  <c r="P13" i="42" s="1"/>
  <c r="G6" i="100"/>
  <c r="Q12" i="42"/>
  <c r="Q11" i="42"/>
  <c r="Q10" i="42"/>
  <c r="Q9" i="42"/>
  <c r="Q8" i="42"/>
  <c r="F14" i="52"/>
  <c r="F15" i="52" s="1"/>
  <c r="F16" i="52" s="1"/>
  <c r="F17" i="52" s="1"/>
  <c r="F18" i="52" s="1"/>
  <c r="K31" i="96"/>
  <c r="E33" i="96"/>
  <c r="F17" i="95"/>
  <c r="F45" i="95" s="1"/>
  <c r="D45" i="95"/>
  <c r="F30" i="94"/>
  <c r="J3" i="94"/>
  <c r="J30" i="94" s="1"/>
  <c r="K33" i="96"/>
  <c r="J26" i="42"/>
  <c r="F21" i="92"/>
  <c r="G20" i="92"/>
  <c r="G21" i="92" s="1"/>
  <c r="E15" i="92"/>
  <c r="F15" i="92"/>
  <c r="G14" i="92"/>
  <c r="G13" i="92"/>
  <c r="G15" i="92" s="1"/>
  <c r="D15" i="92"/>
  <c r="E8" i="92"/>
  <c r="F8" i="92"/>
  <c r="G7" i="92"/>
  <c r="G6" i="92"/>
  <c r="G5" i="92"/>
  <c r="D8" i="92"/>
  <c r="K29" i="91"/>
  <c r="J29" i="91"/>
  <c r="H27" i="91"/>
  <c r="H28" i="91" s="1"/>
  <c r="K38" i="91"/>
  <c r="H37" i="91"/>
  <c r="H36" i="91"/>
  <c r="H35" i="91"/>
  <c r="G8" i="92" l="1"/>
  <c r="Q5" i="91"/>
  <c r="D48" i="91" l="1"/>
  <c r="B46" i="91"/>
  <c r="B47" i="91" s="1"/>
  <c r="K8" i="91"/>
  <c r="J8" i="91"/>
  <c r="H18" i="91"/>
  <c r="H19" i="91" s="1"/>
  <c r="H20" i="91" s="1"/>
  <c r="H21" i="91" s="1"/>
  <c r="H22" i="91" s="1"/>
  <c r="H23" i="91" s="1"/>
  <c r="H24" i="91" s="1"/>
  <c r="H25" i="91" s="1"/>
  <c r="H26" i="91" s="1"/>
  <c r="H5" i="91"/>
  <c r="H6" i="91" s="1"/>
  <c r="H7" i="91" s="1"/>
  <c r="B5" i="91"/>
  <c r="B6" i="91" s="1"/>
  <c r="B7" i="91" s="1"/>
  <c r="B8" i="91" s="1"/>
  <c r="B9" i="91" s="1"/>
  <c r="B10" i="91" s="1"/>
  <c r="B11" i="91" s="1"/>
  <c r="B12" i="91" s="1"/>
  <c r="B18" i="91"/>
  <c r="B19" i="91"/>
  <c r="B20" i="91"/>
  <c r="B21" i="91"/>
  <c r="B22" i="91"/>
  <c r="B23" i="91"/>
  <c r="B24" i="91" s="1"/>
  <c r="B25" i="91" s="1"/>
  <c r="B26" i="91" s="1"/>
  <c r="B27" i="91" s="1"/>
  <c r="B28" i="91" s="1"/>
  <c r="B29" i="91" s="1"/>
  <c r="B30" i="91" s="1"/>
  <c r="B36" i="91"/>
  <c r="B37" i="91"/>
  <c r="B38" i="91"/>
  <c r="B39" i="91"/>
  <c r="B40" i="91" s="1"/>
  <c r="D41" i="91"/>
  <c r="E31" i="91"/>
  <c r="D31" i="91"/>
  <c r="E13" i="91"/>
  <c r="D13" i="91"/>
  <c r="B14" i="92"/>
  <c r="B6" i="92"/>
  <c r="B7" i="92" s="1"/>
  <c r="E10" i="70" l="1"/>
  <c r="G8" i="42" l="1"/>
  <c r="G9" i="42"/>
  <c r="F4" i="88"/>
  <c r="F5" i="88"/>
  <c r="F6" i="88"/>
  <c r="F7" i="88"/>
  <c r="F8" i="88"/>
  <c r="F9" i="88"/>
  <c r="F10" i="88"/>
  <c r="F11" i="88"/>
  <c r="F12" i="88"/>
  <c r="F13" i="88"/>
  <c r="F14" i="88"/>
  <c r="F15" i="88"/>
  <c r="F16" i="88"/>
  <c r="F17" i="88"/>
  <c r="F18" i="88"/>
  <c r="F19" i="88"/>
  <c r="F20" i="88"/>
  <c r="F21" i="88"/>
  <c r="F22" i="88"/>
  <c r="F23" i="88"/>
  <c r="F24" i="88"/>
  <c r="F25" i="88"/>
  <c r="F26" i="88"/>
  <c r="F27" i="88"/>
  <c r="F28" i="88"/>
  <c r="F29" i="88"/>
  <c r="F30" i="88"/>
  <c r="F31" i="88"/>
  <c r="F32" i="88"/>
  <c r="F33" i="88"/>
  <c r="F34" i="88"/>
  <c r="F35" i="88"/>
  <c r="F36" i="88"/>
  <c r="F37" i="88"/>
  <c r="F38" i="88"/>
  <c r="F39" i="88"/>
  <c r="F40" i="88"/>
  <c r="F41" i="88"/>
  <c r="F42" i="88"/>
  <c r="F43" i="88"/>
  <c r="F3" i="88"/>
  <c r="J4" i="86"/>
  <c r="J5" i="86"/>
  <c r="J6" i="86"/>
  <c r="J7" i="86"/>
  <c r="J8" i="86"/>
  <c r="J9" i="86"/>
  <c r="J10" i="86"/>
  <c r="J11" i="86"/>
  <c r="J12" i="86"/>
  <c r="J13" i="86"/>
  <c r="J14" i="86"/>
  <c r="J15" i="86"/>
  <c r="J16" i="86"/>
  <c r="J17" i="86"/>
  <c r="J18" i="86"/>
  <c r="J19" i="86"/>
  <c r="J20" i="86"/>
  <c r="J21" i="86"/>
  <c r="J22" i="86"/>
  <c r="J23" i="86"/>
  <c r="J24" i="86"/>
  <c r="J25" i="86"/>
  <c r="J26" i="86"/>
  <c r="J27" i="86"/>
  <c r="J28" i="86"/>
  <c r="J29" i="86"/>
  <c r="J3" i="86"/>
  <c r="H26" i="86"/>
  <c r="G24" i="86"/>
  <c r="H3" i="86"/>
  <c r="E9" i="70" l="1"/>
  <c r="E8" i="70"/>
  <c r="I5" i="90" l="1"/>
  <c r="I4" i="90"/>
  <c r="I3" i="90"/>
  <c r="B4" i="90"/>
  <c r="B5" i="90" s="1"/>
  <c r="E52" i="89"/>
  <c r="D52" i="89"/>
  <c r="C52" i="89"/>
  <c r="F51" i="89"/>
  <c r="F50" i="89"/>
  <c r="F49" i="89"/>
  <c r="F48" i="89"/>
  <c r="F47" i="89"/>
  <c r="F46" i="89"/>
  <c r="F45" i="89"/>
  <c r="F44" i="89"/>
  <c r="F43" i="89"/>
  <c r="F42" i="89"/>
  <c r="F41" i="89"/>
  <c r="F40" i="89"/>
  <c r="F39" i="89"/>
  <c r="F38" i="89"/>
  <c r="F37" i="89"/>
  <c r="F36" i="89"/>
  <c r="F35" i="89"/>
  <c r="F34" i="89"/>
  <c r="F33" i="89"/>
  <c r="F32" i="89"/>
  <c r="F31" i="89"/>
  <c r="F30" i="89"/>
  <c r="F29" i="89"/>
  <c r="F28" i="89"/>
  <c r="F27" i="89"/>
  <c r="F26" i="89"/>
  <c r="F25" i="89"/>
  <c r="F24" i="89"/>
  <c r="F23" i="89"/>
  <c r="F22" i="89"/>
  <c r="F21" i="89"/>
  <c r="F20" i="89"/>
  <c r="F19" i="89"/>
  <c r="F18" i="89"/>
  <c r="F17" i="89"/>
  <c r="F16" i="89"/>
  <c r="F15" i="89"/>
  <c r="F14" i="89"/>
  <c r="F13" i="89"/>
  <c r="F12" i="89"/>
  <c r="F11" i="89"/>
  <c r="F10" i="89"/>
  <c r="F9" i="89"/>
  <c r="F8" i="89"/>
  <c r="F7" i="89"/>
  <c r="F6" i="89"/>
  <c r="F5" i="89"/>
  <c r="F4" i="89"/>
  <c r="F3" i="89"/>
  <c r="D44" i="88"/>
  <c r="L8" i="88"/>
  <c r="E44" i="88"/>
  <c r="G32" i="87"/>
  <c r="F32" i="87"/>
  <c r="D32" i="87"/>
  <c r="C32" i="87"/>
  <c r="H31" i="87"/>
  <c r="E31" i="87"/>
  <c r="J31" i="87" s="1"/>
  <c r="H30" i="87"/>
  <c r="J30" i="87" s="1"/>
  <c r="E30" i="87"/>
  <c r="H29" i="87"/>
  <c r="E29" i="87"/>
  <c r="J29" i="87" s="1"/>
  <c r="H28" i="87"/>
  <c r="E28" i="87"/>
  <c r="J28" i="87" s="1"/>
  <c r="H27" i="87"/>
  <c r="E27" i="87"/>
  <c r="J27" i="87" s="1"/>
  <c r="H26" i="87"/>
  <c r="J26" i="87" s="1"/>
  <c r="E26" i="87"/>
  <c r="H25" i="87"/>
  <c r="E25" i="87"/>
  <c r="J25" i="87" s="1"/>
  <c r="H24" i="87"/>
  <c r="E24" i="87"/>
  <c r="J24" i="87" s="1"/>
  <c r="H23" i="87"/>
  <c r="E23" i="87"/>
  <c r="J23" i="87" s="1"/>
  <c r="H22" i="87"/>
  <c r="J22" i="87" s="1"/>
  <c r="E22" i="87"/>
  <c r="H21" i="87"/>
  <c r="E21" i="87"/>
  <c r="J21" i="87" s="1"/>
  <c r="H20" i="87"/>
  <c r="E20" i="87"/>
  <c r="J20" i="87" s="1"/>
  <c r="I19" i="87"/>
  <c r="H19" i="87"/>
  <c r="E19" i="87"/>
  <c r="J19" i="87" s="1"/>
  <c r="J18" i="87"/>
  <c r="H18" i="87"/>
  <c r="E18" i="87"/>
  <c r="I17" i="87"/>
  <c r="H17" i="87"/>
  <c r="E17" i="87"/>
  <c r="J17" i="87" s="1"/>
  <c r="I16" i="87"/>
  <c r="H16" i="87"/>
  <c r="E16" i="87"/>
  <c r="J16" i="87" s="1"/>
  <c r="I15" i="87"/>
  <c r="I32" i="87" s="1"/>
  <c r="H15" i="87"/>
  <c r="H32" i="87" s="1"/>
  <c r="E15" i="87"/>
  <c r="H14" i="87"/>
  <c r="E14" i="87"/>
  <c r="J14" i="87" s="1"/>
  <c r="H13" i="87"/>
  <c r="E13" i="87"/>
  <c r="J13" i="87" s="1"/>
  <c r="H12" i="87"/>
  <c r="E12" i="87"/>
  <c r="J12" i="87" s="1"/>
  <c r="J11" i="87"/>
  <c r="H11" i="87"/>
  <c r="E11" i="87"/>
  <c r="H10" i="87"/>
  <c r="E10" i="87"/>
  <c r="J10" i="87" s="1"/>
  <c r="H9" i="87"/>
  <c r="E9" i="87"/>
  <c r="E32" i="87" s="1"/>
  <c r="H8" i="87"/>
  <c r="E8" i="87"/>
  <c r="J8" i="87" s="1"/>
  <c r="J7" i="87"/>
  <c r="H7" i="87"/>
  <c r="E7" i="87"/>
  <c r="H6" i="87"/>
  <c r="E6" i="87"/>
  <c r="J6" i="87" s="1"/>
  <c r="H5" i="87"/>
  <c r="E5" i="87"/>
  <c r="J5" i="87" s="1"/>
  <c r="H4" i="87"/>
  <c r="E4" i="87"/>
  <c r="J4" i="87" s="1"/>
  <c r="J3" i="87"/>
  <c r="H3" i="87"/>
  <c r="E3" i="87"/>
  <c r="G30" i="86"/>
  <c r="E30" i="86"/>
  <c r="D30" i="86"/>
  <c r="I29" i="86"/>
  <c r="F29" i="86"/>
  <c r="I28" i="86"/>
  <c r="F28" i="86"/>
  <c r="I27" i="86"/>
  <c r="F27" i="86"/>
  <c r="I26" i="86"/>
  <c r="F26" i="86"/>
  <c r="I25" i="86"/>
  <c r="F25" i="86"/>
  <c r="I24" i="86"/>
  <c r="F24" i="86"/>
  <c r="I23" i="86"/>
  <c r="F23" i="86"/>
  <c r="I22" i="86"/>
  <c r="F22" i="86"/>
  <c r="I21" i="86"/>
  <c r="F21" i="86"/>
  <c r="I20" i="86"/>
  <c r="F20" i="86"/>
  <c r="I19" i="86"/>
  <c r="F19" i="86"/>
  <c r="I18" i="86"/>
  <c r="F18" i="86"/>
  <c r="I17" i="86"/>
  <c r="F17" i="86"/>
  <c r="I16" i="86"/>
  <c r="F16" i="86"/>
  <c r="I15" i="86"/>
  <c r="F15" i="86"/>
  <c r="I14" i="86"/>
  <c r="F14" i="86"/>
  <c r="I13" i="86"/>
  <c r="F13" i="86"/>
  <c r="I12" i="86"/>
  <c r="F12" i="86"/>
  <c r="I11" i="86"/>
  <c r="F11" i="86"/>
  <c r="I10" i="86"/>
  <c r="F10" i="86"/>
  <c r="I9" i="86"/>
  <c r="F9" i="86"/>
  <c r="I8" i="86"/>
  <c r="F8" i="86"/>
  <c r="I7" i="86"/>
  <c r="F7" i="86"/>
  <c r="I6" i="86"/>
  <c r="F6" i="86"/>
  <c r="I5" i="86"/>
  <c r="F5" i="86"/>
  <c r="I4" i="86"/>
  <c r="F4" i="86"/>
  <c r="H30" i="86"/>
  <c r="F3" i="86"/>
  <c r="F52" i="89" l="1"/>
  <c r="F30" i="86"/>
  <c r="I3" i="86"/>
  <c r="I30" i="86" s="1"/>
  <c r="J9" i="87"/>
  <c r="J15" i="87"/>
  <c r="J32" i="87" s="1"/>
  <c r="E44" i="49"/>
  <c r="C6" i="84"/>
  <c r="C5" i="84"/>
  <c r="C4" i="84"/>
  <c r="F44" i="88" l="1"/>
  <c r="J30" i="86"/>
  <c r="D54" i="42"/>
  <c r="E39" i="49"/>
  <c r="G11" i="83" l="1"/>
  <c r="E11" i="83"/>
  <c r="D11" i="83"/>
  <c r="B5" i="83"/>
  <c r="B6" i="83" s="1"/>
  <c r="B7" i="83" s="1"/>
  <c r="B8" i="83" s="1"/>
  <c r="B9" i="83" s="1"/>
  <c r="B10" i="83" s="1"/>
  <c r="F10" i="83"/>
  <c r="F9" i="83"/>
  <c r="F8" i="83"/>
  <c r="F11" i="83" s="1"/>
  <c r="F7" i="83"/>
  <c r="F6" i="83"/>
  <c r="F5" i="83"/>
  <c r="F4" i="83"/>
  <c r="M19" i="79" l="1"/>
  <c r="J4" i="79"/>
  <c r="J3" i="79"/>
  <c r="D47" i="75" l="1"/>
  <c r="D40" i="75" l="1"/>
  <c r="D41" i="75"/>
  <c r="D42" i="75"/>
  <c r="D43" i="75"/>
  <c r="D44" i="75"/>
  <c r="D45" i="75"/>
  <c r="D46" i="75"/>
  <c r="D39" i="75"/>
  <c r="J12" i="82"/>
  <c r="F12" i="82"/>
  <c r="F16" i="82"/>
  <c r="G12" i="82"/>
  <c r="G16" i="82" s="1"/>
  <c r="G13" i="82"/>
  <c r="G14" i="82"/>
  <c r="G15" i="82"/>
  <c r="F11" i="82"/>
  <c r="E16" i="82"/>
  <c r="C15" i="82"/>
  <c r="C14" i="82"/>
  <c r="C13" i="82"/>
  <c r="C12" i="82"/>
  <c r="E7" i="82"/>
  <c r="F6" i="82"/>
  <c r="G6" i="82" s="1"/>
  <c r="F5" i="82"/>
  <c r="G5" i="82" s="1"/>
  <c r="F7" i="82"/>
  <c r="G4" i="82" l="1"/>
  <c r="G7" i="82" s="1"/>
  <c r="G11" i="82"/>
  <c r="E4" i="81" l="1"/>
  <c r="D4" i="81"/>
  <c r="E4" i="80"/>
  <c r="D4" i="80"/>
  <c r="N22" i="79" l="1"/>
  <c r="N21" i="79"/>
  <c r="L21" i="79"/>
  <c r="N20" i="79"/>
  <c r="L20" i="79"/>
  <c r="L19" i="79"/>
  <c r="J42" i="79"/>
  <c r="J41" i="79"/>
  <c r="L16" i="79"/>
  <c r="L15" i="79"/>
  <c r="J30" i="79"/>
  <c r="J29" i="79"/>
  <c r="N17" i="79"/>
  <c r="M16" i="79"/>
  <c r="N16" i="79" s="1"/>
  <c r="M15" i="79"/>
  <c r="N15" i="79" s="1"/>
  <c r="M14" i="79"/>
  <c r="L14" i="79"/>
  <c r="N12" i="79"/>
  <c r="M11" i="79"/>
  <c r="N11" i="79" s="1"/>
  <c r="L11" i="79"/>
  <c r="L10" i="79"/>
  <c r="M10" i="79"/>
  <c r="N10" i="79" s="1"/>
  <c r="M9" i="79"/>
  <c r="N9" i="79" s="1"/>
  <c r="L9" i="79"/>
  <c r="D17" i="78" l="1"/>
  <c r="D16" i="78"/>
  <c r="E10" i="78"/>
  <c r="J19" i="42" l="1"/>
  <c r="M4" i="65"/>
  <c r="A8" i="76"/>
  <c r="A9" i="76" s="1"/>
  <c r="A10" i="76" s="1"/>
  <c r="A11" i="76" s="1"/>
  <c r="A12" i="76" s="1"/>
  <c r="A13" i="76" s="1"/>
  <c r="A14" i="76" s="1"/>
  <c r="A15" i="76" s="1"/>
  <c r="A16" i="76" s="1"/>
  <c r="A17" i="76" s="1"/>
  <c r="A18" i="76" s="1"/>
  <c r="A19" i="76" s="1"/>
  <c r="A20" i="76" s="1"/>
  <c r="M32" i="77"/>
  <c r="M30" i="77"/>
  <c r="O19" i="77"/>
  <c r="O18" i="77"/>
  <c r="O17" i="77"/>
  <c r="H36" i="77"/>
  <c r="G36" i="77"/>
  <c r="G24" i="77"/>
  <c r="H24" i="77"/>
  <c r="H19" i="77"/>
  <c r="G19" i="77"/>
  <c r="H15" i="77"/>
  <c r="G15" i="77"/>
  <c r="C3" i="77"/>
  <c r="C4" i="77" s="1"/>
  <c r="C5" i="77" s="1"/>
  <c r="C6" i="77" s="1"/>
  <c r="C7" i="77" s="1"/>
  <c r="C8" i="77" s="1"/>
  <c r="C9" i="77" s="1"/>
  <c r="C10" i="77" s="1"/>
  <c r="C11" i="77" s="1"/>
  <c r="C12" i="77" s="1"/>
  <c r="C13" i="77" s="1"/>
  <c r="C14" i="77" s="1"/>
  <c r="C15" i="77" s="1"/>
  <c r="C16" i="77" s="1"/>
  <c r="C17" i="77" s="1"/>
  <c r="C18" i="77" s="1"/>
  <c r="C19" i="77" s="1"/>
  <c r="C20" i="77" s="1"/>
  <c r="C21" i="77" s="1"/>
  <c r="C22" i="77" s="1"/>
  <c r="C23" i="77" s="1"/>
  <c r="C24" i="77" s="1"/>
  <c r="C25" i="77" s="1"/>
  <c r="C26" i="77" s="1"/>
  <c r="C27" i="77" s="1"/>
  <c r="C28" i="77" s="1"/>
  <c r="C29" i="77" s="1"/>
  <c r="C30" i="77" s="1"/>
  <c r="C31" i="77" s="1"/>
  <c r="C32" i="77" s="1"/>
  <c r="C33" i="77" s="1"/>
  <c r="C34" i="77" s="1"/>
  <c r="C35" i="77" s="1"/>
  <c r="O4" i="64" l="1"/>
  <c r="J1" i="76" l="1"/>
  <c r="J19" i="49" l="1"/>
  <c r="J19" i="66"/>
  <c r="L8" i="42"/>
  <c r="M8" i="42"/>
  <c r="L9" i="42"/>
  <c r="M9" i="42"/>
  <c r="L10" i="42"/>
  <c r="M10" i="42"/>
  <c r="L11" i="42"/>
  <c r="M11" i="42"/>
  <c r="M7" i="42"/>
  <c r="L7" i="42"/>
  <c r="H9" i="42"/>
  <c r="H10" i="42"/>
  <c r="G11" i="42"/>
  <c r="H11" i="42"/>
  <c r="H12" i="42"/>
  <c r="H7" i="42"/>
  <c r="G7" i="42"/>
  <c r="B8" i="42"/>
  <c r="C8" i="42"/>
  <c r="D8" i="42"/>
  <c r="J8" i="42" s="1"/>
  <c r="B9" i="42"/>
  <c r="C9" i="42"/>
  <c r="D9" i="42"/>
  <c r="B10" i="42"/>
  <c r="C10" i="42"/>
  <c r="D10" i="42"/>
  <c r="B11" i="42"/>
  <c r="C11" i="42"/>
  <c r="D11" i="42"/>
  <c r="B12" i="42"/>
  <c r="C12" i="42"/>
  <c r="D12" i="42"/>
  <c r="C7" i="42"/>
  <c r="D7" i="42"/>
  <c r="B7" i="42"/>
  <c r="C53"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I11" i="42" l="1"/>
  <c r="I10" i="42"/>
  <c r="I8" i="42"/>
  <c r="J12" i="42"/>
  <c r="K12" i="42" s="1"/>
  <c r="J7" i="42"/>
  <c r="J11" i="42"/>
  <c r="K11" i="42" s="1"/>
  <c r="K8" i="42"/>
  <c r="J9" i="42"/>
  <c r="K9" i="42" s="1"/>
  <c r="J10" i="42"/>
  <c r="K10" i="42" s="1"/>
  <c r="I7" i="42"/>
  <c r="I9" i="42"/>
  <c r="I12" i="42"/>
  <c r="O5" i="64" l="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E34" i="49" l="1"/>
  <c r="K29" i="73" l="1"/>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53" i="42"/>
  <c r="J1" i="72"/>
  <c r="J18" i="42" l="1"/>
  <c r="E33" i="49"/>
  <c r="L7" i="66"/>
  <c r="J20" i="42"/>
  <c r="K20" i="42" s="1"/>
  <c r="E32" i="49"/>
  <c r="E31" i="49"/>
  <c r="N4" i="64"/>
  <c r="L4" i="64"/>
  <c r="I27"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G6" i="63"/>
  <c r="G5" i="63"/>
  <c r="B15" i="71"/>
  <c r="B5" i="71"/>
  <c r="B6" i="71" s="1"/>
  <c r="B7" i="71" s="1"/>
  <c r="B8" i="71" s="1"/>
  <c r="B9" i="71" s="1"/>
  <c r="B10" i="71" s="1"/>
  <c r="B11" i="71" s="1"/>
  <c r="B12" i="71" s="1"/>
  <c r="B13" i="71" s="1"/>
  <c r="B14" i="71" s="1"/>
  <c r="G3" i="63"/>
  <c r="M4" i="64"/>
  <c r="M5" i="64"/>
  <c r="E27" i="49"/>
  <c r="E26" i="49"/>
  <c r="E7" i="70"/>
  <c r="P1" i="70"/>
  <c r="A8" i="69"/>
  <c r="A9" i="69" s="1"/>
  <c r="J1" i="69"/>
  <c r="J489" i="64"/>
  <c r="F7" i="63"/>
  <c r="D7" i="63"/>
  <c r="B6" i="63"/>
  <c r="A35" i="69" l="1"/>
  <c r="A36" i="69" s="1"/>
  <c r="A37" i="69" s="1"/>
  <c r="A38" i="69" s="1"/>
  <c r="A39" i="69" s="1"/>
  <c r="A40" i="69" s="1"/>
  <c r="A41" i="69" s="1"/>
  <c r="A42" i="69"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A43" i="69" l="1"/>
  <c r="A44" i="69" s="1"/>
  <c r="A45" i="69" s="1"/>
  <c r="A46" i="69" s="1"/>
  <c r="A47" i="69" s="1"/>
  <c r="A48" i="69" s="1"/>
  <c r="A49" i="69" s="1"/>
  <c r="A50" i="69" s="1"/>
  <c r="A51" i="69" s="1"/>
  <c r="A52" i="69" s="1"/>
  <c r="A53" i="69" s="1"/>
  <c r="A54" i="69" s="1"/>
  <c r="A55" i="69" s="1"/>
  <c r="A56" i="69" s="1"/>
  <c r="A57" i="69" s="1"/>
  <c r="A58" i="69" s="1"/>
  <c r="A59" i="69" s="1"/>
  <c r="A60" i="69" s="1"/>
  <c r="A61" i="69" s="1"/>
  <c r="A62" i="69" s="1"/>
  <c r="A63" i="69" s="1"/>
  <c r="A64" i="69" s="1"/>
  <c r="A65" i="69" s="1"/>
  <c r="A66" i="69" s="1"/>
  <c r="A67" i="69" s="1"/>
  <c r="A68" i="69" s="1"/>
  <c r="A69" i="69" s="1"/>
  <c r="A70" i="69" s="1"/>
  <c r="A71" i="69" s="1"/>
  <c r="A72" i="69" s="1"/>
  <c r="A73" i="69" s="1"/>
  <c r="A74" i="69" s="1"/>
  <c r="A75" i="69" s="1"/>
  <c r="A76" i="69" s="1"/>
  <c r="A77" i="69" s="1"/>
  <c r="A78" i="69" s="1"/>
  <c r="A79" i="69" s="1"/>
  <c r="A80" i="69" s="1"/>
  <c r="A81" i="69" s="1"/>
  <c r="A82" i="69" s="1"/>
  <c r="A83" i="69" s="1"/>
  <c r="A84" i="69" s="1"/>
  <c r="A85" i="69" s="1"/>
  <c r="A86" i="69" s="1"/>
  <c r="A87" i="69" s="1"/>
  <c r="A88" i="69" s="1"/>
  <c r="A89" i="69" s="1"/>
  <c r="A90" i="69" s="1"/>
  <c r="A91" i="69" s="1"/>
  <c r="A92" i="69" s="1"/>
  <c r="A93" i="69" s="1"/>
  <c r="A94" i="69" s="1"/>
  <c r="A95" i="69" s="1"/>
  <c r="A96" i="69" s="1"/>
  <c r="H10" i="43"/>
  <c r="J53" i="43"/>
  <c r="G52" i="43"/>
  <c r="I44"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52" i="60" s="1"/>
  <c r="A53" i="60" s="1"/>
  <c r="A54" i="60" s="1"/>
  <c r="A55" i="60" s="1"/>
  <c r="A56" i="60" s="1"/>
  <c r="A57" i="60" s="1"/>
  <c r="A58" i="60" s="1"/>
  <c r="A59" i="60" s="1"/>
  <c r="A60" i="60" s="1"/>
  <c r="A61" i="60" s="1"/>
  <c r="A62" i="60" s="1"/>
  <c r="A63" i="60" s="1"/>
  <c r="A64" i="60" s="1"/>
  <c r="A65" i="60" s="1"/>
  <c r="A66" i="60" s="1"/>
  <c r="A67" i="60" s="1"/>
  <c r="A68" i="60" s="1"/>
  <c r="A69" i="60" s="1"/>
  <c r="A70" i="60" s="1"/>
  <c r="A71" i="60" s="1"/>
  <c r="A72" i="60" s="1"/>
  <c r="A73" i="60" s="1"/>
  <c r="A74" i="60" s="1"/>
  <c r="A75" i="60" s="1"/>
  <c r="A76" i="60" s="1"/>
  <c r="A77" i="60" s="1"/>
  <c r="A78" i="60" s="1"/>
  <c r="A79" i="60" s="1"/>
  <c r="A80" i="60" s="1"/>
  <c r="A81" i="60" s="1"/>
  <c r="A82" i="60" s="1"/>
  <c r="A83" i="60" s="1"/>
  <c r="A84"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8" i="42"/>
  <c r="P18" i="42" s="1"/>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58" i="64"/>
  <c r="K52"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A89" i="15" s="1"/>
  <c r="A90"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A38" i="49" s="1"/>
  <c r="A39" i="49" s="1"/>
  <c r="A40" i="49" s="1"/>
  <c r="A41" i="49" s="1"/>
  <c r="A42" i="49" s="1"/>
  <c r="A43" i="49" s="1"/>
  <c r="A44" i="49" s="1"/>
  <c r="A45" i="49" s="1"/>
  <c r="A46" i="49" s="1"/>
  <c r="A47" i="49" s="1"/>
  <c r="A48" i="49" s="1"/>
  <c r="F29" i="62"/>
  <c r="G20" i="62"/>
  <c r="G17" i="62"/>
  <c r="G15" i="62"/>
  <c r="A91" i="15" l="1"/>
  <c r="A92" i="15" s="1"/>
  <c r="A93" i="15" s="1"/>
  <c r="A94" i="15" s="1"/>
  <c r="A95" i="15" s="1"/>
  <c r="A96" i="15" s="1"/>
  <c r="A97" i="15" s="1"/>
  <c r="A98" i="15" s="1"/>
  <c r="A99" i="15" s="1"/>
  <c r="A100" i="15" s="1"/>
  <c r="A101" i="15" s="1"/>
  <c r="A102" i="15" s="1"/>
  <c r="A103" i="15" s="1"/>
  <c r="A104" i="15" s="1"/>
  <c r="A105" i="15" s="1"/>
  <c r="A106" i="15" s="1"/>
  <c r="A107" i="15" s="1"/>
  <c r="A108" i="15" s="1"/>
  <c r="A109" i="15" s="1"/>
  <c r="A110" i="15" s="1"/>
  <c r="A111" i="15" s="1"/>
  <c r="A112" i="15" s="1"/>
  <c r="A113" i="15" s="1"/>
  <c r="A114" i="15" s="1"/>
  <c r="A115" i="15" s="1"/>
  <c r="A116" i="15" s="1"/>
  <c r="A117" i="15" s="1"/>
  <c r="A118" i="15" s="1"/>
  <c r="A119" i="15" s="1"/>
  <c r="A120" i="15" s="1"/>
  <c r="A121" i="15" s="1"/>
  <c r="A122" i="15" s="1"/>
  <c r="A123" i="15" s="1"/>
  <c r="A124" i="15" s="1"/>
  <c r="H17" i="43"/>
  <c r="R30" i="45"/>
  <c r="N30" i="45"/>
  <c r="L30" i="45"/>
  <c r="I30" i="45"/>
  <c r="M30" i="45"/>
  <c r="O30" i="45" s="1"/>
  <c r="R29" i="45"/>
  <c r="N29" i="45"/>
  <c r="M29" i="45"/>
  <c r="O29" i="45" s="1"/>
  <c r="S29" i="45" s="1"/>
  <c r="L29" i="45"/>
  <c r="I29" i="45"/>
  <c r="F29" i="45"/>
  <c r="R23" i="62"/>
  <c r="R24" i="62"/>
  <c r="R25" i="6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S16" i="62"/>
  <c r="O11" i="62"/>
  <c r="S11" i="62" s="1"/>
  <c r="O22" i="62"/>
  <c r="S22" i="62" s="1"/>
  <c r="R14" i="62"/>
  <c r="S20" i="62"/>
  <c r="S17" i="62"/>
  <c r="M19" i="62"/>
  <c r="I20" i="62"/>
  <c r="I14" i="62" s="1"/>
  <c r="M15" i="62"/>
  <c r="O15" i="62" s="1"/>
  <c r="S15" i="62" s="1"/>
  <c r="O29" i="62"/>
  <c r="S29" i="62" s="1"/>
  <c r="F23" i="62"/>
  <c r="F18" i="62"/>
  <c r="F14" i="62" s="1"/>
  <c r="J31" i="42"/>
  <c r="K31" i="42" s="1"/>
  <c r="I31" i="42"/>
  <c r="J30" i="42"/>
  <c r="K30" i="42" s="1"/>
  <c r="I30" i="42"/>
  <c r="J29" i="42"/>
  <c r="J28" i="42"/>
  <c r="K28" i="42" s="1"/>
  <c r="I28" i="42"/>
  <c r="J27" i="42"/>
  <c r="K26" i="42"/>
  <c r="P1" i="60"/>
  <c r="J25" i="53"/>
  <c r="A25" i="53"/>
  <c r="V8" i="53"/>
  <c r="V10" i="53" s="1"/>
  <c r="V12" i="53" s="1"/>
  <c r="V14" i="53" s="1"/>
  <c r="V16" i="53" s="1"/>
  <c r="V18" i="53" s="1"/>
  <c r="V20" i="53" s="1"/>
  <c r="V22" i="53" s="1"/>
  <c r="E8" i="53"/>
  <c r="E10" i="53" s="1"/>
  <c r="E12" i="53" s="1"/>
  <c r="E14" i="53" s="1"/>
  <c r="E16" i="53" s="1"/>
  <c r="E18" i="53" s="1"/>
  <c r="E20" i="53" s="1"/>
  <c r="E22" i="53" s="1"/>
  <c r="P28" i="42" l="1"/>
  <c r="P31" i="42"/>
  <c r="P30" i="42"/>
  <c r="K27" i="42"/>
  <c r="P27" i="42"/>
  <c r="K29" i="42"/>
  <c r="P29" i="42"/>
  <c r="A157" i="59"/>
  <c r="A158" i="59" s="1"/>
  <c r="A159" i="59" s="1"/>
  <c r="A160" i="59" s="1"/>
  <c r="A161" i="59" s="1"/>
  <c r="A162" i="59" s="1"/>
  <c r="A163" i="59" s="1"/>
  <c r="A164" i="59" s="1"/>
  <c r="A165" i="59" s="1"/>
  <c r="A166" i="59" s="1"/>
  <c r="A167" i="59" s="1"/>
  <c r="A168" i="59" s="1"/>
  <c r="A169" i="59" s="1"/>
  <c r="A170" i="59" s="1"/>
  <c r="A171" i="59" s="1"/>
  <c r="A172" i="59" s="1"/>
  <c r="A173" i="59" s="1"/>
  <c r="A174" i="59" s="1"/>
  <c r="A175" i="59" s="1"/>
  <c r="A176" i="59" s="1"/>
  <c r="A177" i="59" s="1"/>
  <c r="A178" i="59" s="1"/>
  <c r="A179" i="59" s="1"/>
  <c r="A180" i="59" s="1"/>
  <c r="A181" i="59" s="1"/>
  <c r="A182" i="59" s="1"/>
  <c r="A183" i="59" s="1"/>
  <c r="A184" i="59" s="1"/>
  <c r="A185" i="59" s="1"/>
  <c r="A186" i="59" s="1"/>
  <c r="A187" i="59" s="1"/>
  <c r="A188" i="59" s="1"/>
  <c r="A189" i="59" s="1"/>
  <c r="A190" i="59" s="1"/>
  <c r="A191" i="59" s="1"/>
  <c r="A192" i="59" s="1"/>
  <c r="A193" i="59" s="1"/>
  <c r="A194" i="59" s="1"/>
  <c r="A195" i="59" s="1"/>
  <c r="A196" i="59" s="1"/>
  <c r="A197" i="59" s="1"/>
  <c r="A198" i="59" s="1"/>
  <c r="A199" i="59" s="1"/>
  <c r="A200" i="59" s="1"/>
  <c r="A201" i="59" s="1"/>
  <c r="A202" i="59" s="1"/>
  <c r="A203" i="59" s="1"/>
  <c r="A204" i="59" s="1"/>
  <c r="A205" i="59" s="1"/>
  <c r="A206" i="59" s="1"/>
  <c r="A207" i="59" s="1"/>
  <c r="A208" i="59" s="1"/>
  <c r="A209" i="59" s="1"/>
  <c r="A210" i="59" s="1"/>
  <c r="A211" i="59" s="1"/>
  <c r="A212" i="59" s="1"/>
  <c r="A213" i="59" s="1"/>
  <c r="A214" i="59" s="1"/>
  <c r="A215" i="59" s="1"/>
  <c r="A216" i="59" s="1"/>
  <c r="A217" i="59" s="1"/>
  <c r="A218" i="59" s="1"/>
  <c r="A219" i="59" s="1"/>
  <c r="A220" i="59" s="1"/>
  <c r="A221" i="59" s="1"/>
  <c r="A222" i="59" s="1"/>
  <c r="A223" i="59" s="1"/>
  <c r="A224" i="59" s="1"/>
  <c r="A225" i="59" s="1"/>
  <c r="A226" i="59" s="1"/>
  <c r="A227" i="59" s="1"/>
  <c r="A228" i="59" s="1"/>
  <c r="A229" i="59" s="1"/>
  <c r="A230" i="59" s="1"/>
  <c r="A231" i="59" s="1"/>
  <c r="A232" i="59" s="1"/>
  <c r="A233" i="59" s="1"/>
  <c r="A234" i="59" s="1"/>
  <c r="A235" i="59" s="1"/>
  <c r="A236" i="59" s="1"/>
  <c r="A237" i="59" s="1"/>
  <c r="A238" i="59" s="1"/>
  <c r="A239" i="59" s="1"/>
  <c r="A240" i="59" s="1"/>
  <c r="A241" i="59" s="1"/>
  <c r="A242" i="59" s="1"/>
  <c r="A243" i="59" s="1"/>
  <c r="O19" i="62"/>
  <c r="M14" i="62"/>
  <c r="I26"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5"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J1"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9" i="42" l="1"/>
  <c r="K49" i="42" s="1"/>
  <c r="I49" i="42"/>
  <c r="J48" i="42"/>
  <c r="K48" i="42" s="1"/>
  <c r="I48" i="42"/>
  <c r="P48" i="42" s="1"/>
  <c r="J47" i="42"/>
  <c r="J46" i="42"/>
  <c r="K46" i="42" s="1"/>
  <c r="I46" i="42"/>
  <c r="J45" i="42"/>
  <c r="K45" i="42" s="1"/>
  <c r="I45" i="42"/>
  <c r="J44" i="42"/>
  <c r="K44" i="42" s="1"/>
  <c r="J40" i="42"/>
  <c r="K40" i="42" s="1"/>
  <c r="I40" i="42"/>
  <c r="J39" i="42"/>
  <c r="K39" i="42" s="1"/>
  <c r="I39" i="42"/>
  <c r="J38" i="42"/>
  <c r="K38" i="42" s="1"/>
  <c r="I38" i="42"/>
  <c r="J37" i="42"/>
  <c r="K37" i="42" s="1"/>
  <c r="I37" i="42"/>
  <c r="K35" i="42"/>
  <c r="I35" i="42"/>
  <c r="J22" i="42"/>
  <c r="K22" i="42" s="1"/>
  <c r="J21" i="42"/>
  <c r="K21" i="42" s="1"/>
  <c r="K19" i="42"/>
  <c r="J17" i="42"/>
  <c r="I22" i="42"/>
  <c r="I21" i="42"/>
  <c r="I20" i="42"/>
  <c r="P20" i="42" s="1"/>
  <c r="I19" i="42"/>
  <c r="P19" i="42" s="1"/>
  <c r="I17" i="42"/>
  <c r="K36" i="42"/>
  <c r="I36" i="42"/>
  <c r="P36" i="42" s="1"/>
  <c r="P49" i="42" l="1"/>
  <c r="P39" i="42"/>
  <c r="P40" i="42"/>
  <c r="P21" i="42"/>
  <c r="P11" i="42" s="1"/>
  <c r="P22" i="42"/>
  <c r="P45" i="42"/>
  <c r="P8" i="42" s="1"/>
  <c r="P37" i="42"/>
  <c r="P38" i="42"/>
  <c r="P46" i="42"/>
  <c r="P9" i="42" s="1"/>
  <c r="K47" i="42"/>
  <c r="P47" i="42"/>
  <c r="K17" i="42"/>
  <c r="K18" i="42"/>
  <c r="P12" i="42" l="1"/>
  <c r="P10" i="42"/>
  <c r="O182" i="22"/>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 r="D33" i="75" s="1"/>
  <c r="D34" i="75" s="1"/>
</calcChain>
</file>

<file path=xl/sharedStrings.xml><?xml version="1.0" encoding="utf-8"?>
<sst xmlns="http://schemas.openxmlformats.org/spreadsheetml/2006/main" count="24013" uniqueCount="3734">
  <si>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</si>
  <si>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</si>
  <si>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</si>
  <si>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</si>
  <si>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</si>
  <si>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</si>
  <si>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</si>
  <si>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</si>
  <si>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</si>
  <si>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</si>
  <si>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</si>
  <si>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</si>
  <si>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</si>
  <si>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</si>
  <si>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</si>
  <si>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</si>
  <si>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</si>
  <si>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</si>
  <si>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</si>
  <si>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</si>
  <si>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</si>
  <si>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</si>
  <si>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</si>
  <si>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</si>
  <si>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</si>
  <si>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</si>
  <si>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</si>
  <si>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</si>
  <si>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</si>
  <si>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</si>
  <si>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</si>
  <si>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</si>
  <si>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</si>
  <si>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</si>
  <si>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</si>
  <si>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</si>
  <si>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</si>
  <si>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</si>
  <si>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</si>
  <si>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</si>
  <si>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</si>
  <si>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</si>
  <si>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</si>
  <si>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</si>
  <si>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</si>
  <si>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</si>
  <si>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</si>
  <si>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</si>
  <si>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</si>
  <si>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</si>
  <si>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</si>
  <si>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</si>
  <si>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</si>
  <si>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</si>
  <si>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</si>
  <si>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</si>
  <si>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</si>
  <si>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</si>
  <si>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</si>
  <si>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</si>
  <si>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</si>
  <si>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</si>
  <si>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</si>
  <si>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</si>
  <si>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</si>
  <si>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</si>
  <si>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</si>
  <si>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</si>
  <si>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</si>
  <si>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</si>
  <si>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</si>
  <si>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</si>
  <si>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</si>
  <si>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</si>
  <si>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</si>
  <si>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</si>
  <si>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</si>
  <si>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</si>
  <si>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</si>
  <si>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</si>
  <si>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</si>
  <si>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</si>
  <si>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</si>
  <si>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</si>
  <si>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</si>
  <si>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</si>
  <si>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</si>
  <si>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</si>
  <si>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</si>
  <si>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</si>
  <si>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</si>
  <si>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</si>
  <si>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</si>
  <si>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</si>
  <si>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</si>
  <si>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</si>
  <si>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</si>
  <si>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</si>
  <si>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</si>
  <si>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</si>
  <si>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</si>
  <si>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</si>
  <si>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</si>
  <si>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</si>
  <si>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</si>
  <si>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</si>
  <si>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</si>
  <si>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</si>
  <si>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</si>
  <si>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</si>
  <si>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</si>
  <si>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</si>
  <si>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</si>
  <si>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</si>
  <si>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</si>
  <si>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</si>
  <si>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</si>
  <si>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</si>
  <si>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</si>
  <si>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</si>
  <si>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</si>
  <si>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</si>
  <si>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</si>
  <si>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</si>
  <si>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</si>
  <si>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</si>
  <si>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</si>
  <si>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</si>
  <si>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</si>
  <si>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</si>
  <si>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</si>
  <si>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</si>
  <si>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</si>
  <si>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</si>
  <si>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</si>
  <si>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</si>
  <si>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</si>
  <si>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</si>
  <si>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</si>
  <si>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</si>
  <si>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</si>
  <si>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</si>
  <si>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</si>
  <si>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</si>
  <si>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</si>
  <si>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</si>
  <si>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</si>
  <si>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</si>
  <si>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</si>
  <si>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</si>
  <si>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</si>
  <si>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</si>
  <si>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</si>
  <si>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</si>
  <si>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</si>
  <si>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</si>
  <si>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</si>
  <si>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</si>
  <si>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</si>
  <si>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</si>
  <si>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</si>
  <si>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</si>
  <si>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</si>
  <si>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</si>
  <si>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</si>
  <si>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</si>
  <si>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</si>
  <si>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</si>
  <si>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</si>
  <si>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</si>
  <si>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</si>
  <si>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</si>
  <si>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</si>
  <si>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</si>
  <si>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</si>
  <si>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</si>
  <si>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</si>
  <si>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</si>
  <si>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</si>
  <si>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</si>
  <si>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</si>
  <si>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</si>
  <si>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</si>
  <si>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</si>
  <si>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</si>
  <si>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</si>
  <si>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</si>
  <si>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</si>
  <si>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</si>
  <si>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</si>
  <si>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</si>
  <si>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</si>
  <si>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</si>
  <si>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</si>
  <si>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</si>
  <si>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</si>
  <si>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</si>
  <si>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</si>
  <si>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</si>
  <si>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</si>
  <si>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</si>
  <si>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</si>
  <si>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</si>
  <si>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</si>
  <si>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</si>
  <si>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</si>
  <si>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</si>
  <si>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</si>
  <si>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</si>
  <si>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</si>
  <si>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</si>
  <si>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</si>
  <si>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</si>
  <si>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</si>
  <si>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</si>
  <si>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</si>
  <si>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</si>
  <si>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</si>
  <si>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</si>
  <si>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</si>
  <si>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</si>
  <si>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</si>
  <si>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</si>
  <si>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</si>
  <si>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</si>
  <si>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</si>
  <si>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</si>
  <si>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</si>
  <si>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</si>
  <si>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</si>
  <si>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</si>
  <si>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</si>
  <si>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</si>
  <si>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</si>
  <si>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</si>
  <si>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</si>
  <si>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</si>
  <si>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</si>
  <si>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</si>
  <si>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</si>
  <si>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</si>
  <si>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</si>
  <si>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</si>
  <si>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</si>
  <si>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</si>
  <si>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</si>
  <si>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</si>
  <si>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</si>
  <si>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</si>
  <si>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</si>
  <si>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</si>
  <si>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</si>
  <si>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</si>
  <si>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</si>
  <si>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</si>
  <si>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</si>
  <si>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</si>
  <si>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</si>
  <si>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</si>
  <si>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</si>
  <si>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</si>
  <si>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</si>
  <si>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</si>
  <si>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</si>
  <si>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</si>
  <si>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</si>
  <si>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</si>
  <si>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</si>
  <si>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</si>
  <si>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</si>
  <si>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</si>
  <si>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</si>
  <si>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</si>
  <si>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</si>
  <si>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</si>
  <si>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</si>
  <si>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</si>
  <si>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</si>
  <si>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</si>
  <si>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</si>
  <si>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</si>
  <si>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</si>
  <si>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</si>
  <si>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</si>
  <si>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</si>
  <si>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</si>
  <si>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</si>
  <si>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</si>
  <si>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</si>
  <si>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</si>
  <si>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</si>
  <si>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</si>
  <si>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</si>
  <si>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</si>
  <si>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</si>
  <si>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</si>
  <si>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</si>
  <si>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</si>
  <si>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</si>
  <si>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</si>
  <si>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</si>
  <si>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</si>
  <si>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</si>
  <si>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</si>
  <si>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</si>
  <si>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</si>
  <si>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</si>
  <si>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</si>
  <si>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</si>
  <si>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</si>
  <si>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</si>
  <si>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</si>
  <si>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</si>
  <si>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</si>
  <si>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</si>
  <si>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</si>
  <si>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</si>
  <si>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</si>
  <si>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</si>
  <si>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</si>
  <si>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</si>
  <si>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</si>
  <si>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</si>
  <si>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</si>
  <si>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</si>
  <si>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</si>
  <si>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</si>
  <si>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</si>
  <si>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</si>
  <si>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</si>
  <si>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</si>
  <si>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</si>
  <si>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</si>
  <si>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</si>
  <si>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</si>
  <si>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</si>
  <si>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</si>
  <si>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</si>
  <si>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</si>
  <si>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</si>
  <si>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</si>
  <si>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</si>
  <si>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</si>
  <si>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</si>
  <si>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</si>
  <si>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</si>
  <si>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</si>
  <si>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</si>
  <si>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</si>
  <si>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</si>
  <si>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</si>
  <si>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</si>
  <si>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</si>
  <si>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</si>
  <si>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</si>
  <si>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</si>
  <si>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</si>
  <si>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</si>
  <si>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</si>
  <si>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</si>
  <si>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</si>
  <si>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</si>
  <si>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</si>
  <si>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</si>
  <si>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</si>
  <si>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</si>
  <si>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</si>
  <si>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</si>
  <si>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</si>
  <si>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</si>
  <si>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</si>
  <si>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</si>
  <si>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</si>
  <si>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</si>
  <si>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</si>
  <si>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</si>
  <si>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</si>
  <si>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</si>
  <si>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</si>
  <si>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</si>
  <si>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</si>
  <si>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</si>
  <si>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</si>
  <si>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</si>
  <si>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</si>
  <si>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</si>
  <si>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</si>
  <si>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</si>
  <si>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</si>
  <si>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</si>
  <si>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</si>
  <si>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</si>
  <si>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</si>
  <si>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</si>
  <si>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</si>
  <si>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</si>
  <si>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</si>
  <si>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</si>
  <si>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</si>
  <si>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</si>
  <si>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</si>
  <si>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</si>
  <si>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</si>
  <si>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</si>
  <si>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</si>
  <si>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</si>
  <si>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</si>
  <si>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</si>
  <si>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</si>
  <si>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</si>
  <si>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</si>
  <si>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</si>
  <si>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</si>
  <si>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</si>
  <si>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</si>
  <si>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</si>
  <si>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</si>
  <si>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</si>
  <si>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</si>
  <si>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</si>
  <si>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</si>
  <si>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</si>
  <si>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</si>
  <si>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</si>
  <si>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</si>
  <si>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</si>
  <si>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</si>
  <si>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</si>
  <si>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</si>
  <si>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</si>
  <si>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</si>
  <si>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</si>
  <si>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</si>
  <si>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</si>
  <si>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</si>
  <si>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</si>
  <si>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</si>
  <si>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</si>
  <si>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</si>
  <si>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</si>
  <si>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</si>
  <si>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</si>
  <si>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</si>
  <si>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</si>
  <si>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</si>
  <si>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</si>
  <si>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</si>
  <si>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</si>
  <si>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</si>
  <si>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</si>
  <si>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</si>
  <si>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</si>
  <si>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</si>
  <si>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</si>
  <si>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</si>
  <si>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</si>
  <si>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</si>
  <si>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</si>
  <si>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</si>
  <si>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</si>
  <si>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</si>
  <si>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</si>
  <si>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</si>
  <si>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</si>
  <si>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</si>
  <si>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</si>
  <si>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</si>
  <si>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</si>
  <si>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</si>
  <si>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</si>
  <si>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</si>
  <si>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</si>
  <si>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</si>
  <si>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</si>
  <si>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</si>
  <si>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</si>
  <si>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</si>
  <si>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</si>
  <si>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</si>
  <si>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</si>
  <si>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</si>
  <si>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</si>
  <si>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</si>
  <si>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</si>
  <si>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</si>
  <si>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</si>
  <si>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</si>
  <si>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</si>
  <si>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</si>
  <si>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</si>
  <si>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</si>
  <si>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</si>
  <si>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</si>
  <si>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</si>
  <si>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</si>
  <si>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</si>
  <si>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</si>
  <si>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</si>
  <si>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</si>
  <si>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</si>
  <si>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</si>
  <si>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</si>
  <si>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</si>
  <si>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</si>
  <si>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</si>
  <si>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</si>
  <si>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</si>
  <si>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</si>
  <si>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</si>
  <si>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</si>
  <si>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</si>
  <si>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</si>
  <si>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</si>
  <si>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</si>
  <si>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</si>
  <si>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</si>
  <si>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</si>
  <si>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</si>
  <si>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</si>
  <si>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</si>
  <si>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</si>
  <si>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</si>
  <si>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</si>
  <si>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</si>
  <si>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</si>
  <si>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</si>
  <si>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</si>
  <si>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</si>
  <si>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</si>
  <si>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</si>
  <si>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</si>
  <si>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</si>
  <si>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</si>
  <si>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</si>
  <si>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</si>
  <si>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</si>
  <si>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</si>
  <si>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</si>
  <si>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</si>
  <si>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</si>
  <si>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</si>
  <si>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</si>
  <si>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</si>
  <si>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</si>
  <si>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</si>
  <si>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</si>
  <si>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</si>
  <si>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</si>
  <si>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</si>
  <si>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</si>
  <si>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</si>
  <si>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</si>
  <si>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</si>
  <si>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</si>
  <si>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</si>
  <si>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</si>
  <si>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</si>
  <si>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</si>
  <si>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</si>
  <si>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</si>
  <si>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</si>
  <si>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</si>
  <si>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</si>
  <si>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</si>
  <si>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</si>
  <si>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</si>
  <si>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</si>
  <si>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</si>
  <si>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</si>
  <si>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</si>
  <si>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</si>
  <si>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</si>
  <si>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</si>
  <si>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</si>
  <si>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</si>
  <si>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</si>
  <si>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</si>
  <si>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</si>
  <si>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</si>
  <si>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</si>
  <si>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</si>
  <si>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</si>
  <si>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</si>
  <si>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</si>
  <si>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</si>
  <si>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</si>
  <si>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</si>
  <si>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</si>
  <si>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</si>
  <si>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</si>
  <si>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</si>
  <si>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</si>
  <si>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</si>
  <si>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</si>
  <si>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</si>
  <si>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</si>
  <si>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</si>
  <si>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</si>
  <si>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</si>
  <si>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</si>
  <si>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</si>
  <si>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</si>
  <si>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</si>
  <si>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</si>
  <si>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</si>
  <si>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</si>
  <si>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</si>
  <si>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</si>
  <si>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</si>
  <si>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</si>
  <si>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</si>
  <si>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</si>
  <si>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</si>
  <si>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</si>
  <si>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</si>
  <si>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</si>
  <si>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</si>
  <si>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</si>
  <si>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</si>
  <si>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</si>
  <si>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</si>
  <si>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</si>
  <si>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</si>
  <si>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</si>
  <si>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</si>
  <si>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</si>
  <si>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</si>
  <si>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</si>
  <si>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</si>
  <si>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</si>
  <si>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</si>
  <si>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</si>
  <si>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</si>
  <si>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</si>
  <si>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</si>
  <si>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</si>
  <si>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</si>
  <si>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</si>
  <si>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</si>
  <si>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</si>
  <si>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</si>
  <si>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</si>
  <si>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</si>
  <si>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</si>
  <si>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</si>
  <si>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</si>
  <si>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</si>
  <si>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</si>
  <si>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</si>
  <si>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</si>
  <si>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</si>
  <si>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</si>
  <si>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</si>
  <si>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</si>
  <si>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</si>
  <si>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</si>
  <si>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</si>
  <si>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</si>
  <si>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</si>
  <si>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</si>
  <si>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</si>
  <si>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</si>
  <si>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</si>
  <si>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</si>
  <si>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</si>
  <si>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</si>
  <si>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</si>
  <si>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</si>
  <si>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</si>
  <si>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</si>
  <si>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</si>
  <si>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</si>
  <si>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</si>
  <si>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</si>
  <si>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</si>
  <si>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</si>
  <si>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</si>
  <si>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</si>
  <si>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</si>
  <si>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</si>
  <si>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</si>
  <si>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</si>
  <si>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</si>
  <si>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</si>
  <si>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</si>
  <si>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</si>
  <si>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</si>
  <si>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</si>
  <si>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</si>
  <si>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</si>
  <si>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</si>
  <si>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</si>
  <si>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</si>
  <si>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</si>
  <si>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</si>
  <si>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</si>
  <si>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</si>
  <si>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</si>
  <si>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</si>
  <si>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</si>
  <si>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</si>
  <si>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</si>
  <si>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</si>
  <si>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</si>
  <si>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</si>
  <si>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</si>
  <si>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</si>
  <si>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</si>
  <si>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</si>
  <si>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</si>
  <si>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</si>
  <si>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</si>
  <si>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</si>
  <si>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</si>
  <si>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</si>
  <si>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</si>
  <si>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</si>
  <si>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</si>
  <si>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</si>
  <si>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</si>
  <si>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</si>
  <si>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</si>
  <si>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</si>
  <si>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</si>
  <si>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</si>
  <si>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</si>
  <si>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</si>
  <si>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</si>
  <si>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</si>
  <si>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</si>
  <si>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</si>
  <si>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</si>
  <si>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</si>
  <si>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</si>
  <si>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</si>
  <si>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</si>
  <si>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</si>
  <si>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</si>
  <si>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</si>
  <si>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</si>
  <si>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</si>
  <si>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</si>
  <si>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</si>
  <si>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</si>
  <si>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</si>
  <si>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</si>
  <si>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</si>
  <si>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</si>
  <si>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</si>
  <si>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</si>
  <si>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</si>
  <si>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</si>
  <si>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</si>
  <si>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</si>
  <si>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</si>
  <si>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</si>
  <si>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</si>
  <si>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</si>
  <si>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</si>
  <si>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</si>
  <si>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</si>
  <si>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</si>
  <si>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</si>
  <si>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</si>
  <si>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</si>
  <si>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</si>
  <si>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</si>
  <si>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</si>
  <si>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</si>
  <si>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</si>
  <si>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</si>
  <si>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</si>
  <si>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</si>
  <si>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</si>
  <si>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</si>
  <si>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</si>
  <si>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</si>
  <si>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</si>
  <si>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</si>
  <si>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</si>
  <si>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</si>
  <si>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</si>
  <si>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</si>
  <si>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</si>
  <si>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</si>
  <si>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</si>
  <si>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</si>
  <si>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</si>
  <si>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</si>
  <si>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</si>
  <si>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</si>
  <si>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</si>
  <si>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</si>
  <si>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</si>
  <si>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</si>
  <si>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</si>
  <si>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</si>
  <si>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</si>
  <si>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</si>
  <si>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</si>
  <si>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</si>
  <si>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</si>
  <si>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</si>
  <si>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</si>
  <si>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</si>
  <si>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</si>
  <si>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</si>
  <si>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</si>
  <si>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</si>
  <si>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</si>
  <si>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</si>
  <si>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</si>
  <si>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</si>
  <si>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</si>
  <si>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</si>
  <si>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</si>
  <si>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</si>
  <si>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</si>
  <si>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</si>
  <si>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</si>
  <si>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</si>
  <si>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</si>
  <si>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</si>
  <si>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</si>
  <si>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</si>
  <si>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</si>
  <si>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</si>
  <si>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</si>
  <si>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</si>
  <si>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</si>
  <si>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</si>
  <si>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</si>
  <si>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</si>
  <si>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</si>
  <si>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</si>
  <si>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</si>
  <si>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</si>
  <si>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</si>
  <si>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</si>
  <si>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</si>
  <si>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</si>
  <si>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</si>
  <si>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</si>
  <si>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</si>
  <si>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</si>
  <si>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</si>
  <si>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</si>
  <si>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</si>
  <si>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</si>
  <si>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</si>
  <si>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</si>
  <si>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</si>
  <si>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</si>
  <si>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</si>
  <si>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</si>
  <si>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</si>
  <si>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</si>
  <si>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</si>
  <si>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</si>
  <si>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</si>
  <si>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</si>
  <si>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</si>
  <si>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</si>
  <si>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</si>
  <si>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</si>
  <si>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</si>
  <si>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</si>
  <si>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</si>
  <si>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</si>
  <si>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</si>
  <si>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</si>
  <si>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</si>
  <si>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</si>
  <si>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</si>
  <si>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</si>
  <si>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</si>
  <si>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</si>
  <si>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</si>
  <si>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</si>
  <si>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</si>
  <si>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</si>
  <si>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</si>
  <si>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</si>
  <si>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</si>
  <si>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</si>
  <si>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</si>
  <si>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</si>
  <si>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</si>
  <si>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</si>
  <si>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</si>
  <si>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</si>
  <si>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</si>
  <si>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</si>
  <si>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</si>
  <si>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</si>
  <si>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</si>
  <si>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</si>
  <si>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</si>
  <si>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</si>
  <si>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</si>
  <si>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</si>
  <si>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</si>
  <si>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</si>
  <si>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</si>
  <si>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</si>
  <si>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</si>
  <si>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</si>
  <si>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</si>
  <si>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</si>
  <si>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</si>
  <si>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</si>
  <si>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</si>
  <si>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</si>
  <si>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</si>
  <si>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</si>
  <si>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</si>
  <si>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</si>
  <si>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</si>
  <si>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</si>
  <si>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</si>
  <si>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</si>
  <si>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</si>
  <si>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</si>
  <si>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</si>
  <si>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</si>
  <si>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</si>
  <si>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</si>
  <si>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</si>
  <si>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</si>
  <si>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</si>
  <si>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</si>
  <si>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</si>
  <si>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</si>
  <si>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</si>
  <si>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</si>
  <si>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</si>
  <si>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</si>
  <si>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</si>
  <si>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</si>
  <si>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</si>
  <si>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</si>
  <si>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</si>
  <si>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</si>
  <si>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</si>
  <si>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</si>
  <si>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</si>
  <si>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</si>
  <si>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</si>
  <si>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</si>
  <si>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</si>
  <si>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</si>
  <si>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</si>
  <si>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</si>
  <si>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</si>
  <si>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</si>
  <si>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</si>
  <si>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</si>
  <si>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</si>
  <si>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</si>
  <si>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</si>
  <si>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</si>
  <si>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</si>
  <si>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</si>
  <si>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</si>
  <si>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</si>
  <si>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</si>
  <si>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</si>
  <si>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</si>
  <si>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</si>
  <si>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</si>
  <si>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</si>
  <si>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</si>
  <si>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</si>
  <si>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</si>
  <si>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</si>
  <si>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</si>
  <si>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</si>
  <si>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</si>
  <si>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</si>
  <si>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</si>
  <si>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</si>
  <si>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</si>
  <si>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</si>
  <si>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</si>
  <si>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</si>
  <si>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</si>
  <si>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</si>
  <si>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</si>
  <si>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</si>
  <si>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</si>
  <si>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</si>
  <si>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</si>
  <si>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</si>
  <si>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</si>
  <si>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</si>
  <si>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</si>
  <si>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</si>
  <si>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</si>
  <si>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</si>
  <si>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</si>
  <si>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</si>
  <si>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</si>
  <si>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</si>
  <si>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</si>
  <si>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</si>
  <si>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</si>
  <si>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</si>
  <si>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</si>
  <si>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</si>
  <si>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</si>
  <si>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</si>
  <si>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</si>
  <si>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</si>
  <si>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</si>
  <si>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</si>
  <si>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</si>
  <si>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</si>
  <si>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</si>
  <si>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</si>
  <si>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</si>
  <si>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</si>
  <si>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</si>
  <si>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</si>
  <si>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</si>
  <si>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</si>
  <si>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</si>
  <si>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</si>
  <si>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</si>
  <si>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</si>
  <si>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</si>
  <si>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</si>
  <si>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</si>
  <si>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</si>
  <si>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</si>
  <si>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</si>
  <si>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</si>
  <si>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</si>
  <si>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</si>
  <si>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</si>
  <si>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</si>
  <si>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</si>
  <si>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</si>
  <si>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</si>
  <si>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</si>
  <si>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</si>
  <si>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</si>
  <si>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</si>
  <si>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</si>
  <si>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</si>
  <si>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</si>
  <si>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</si>
  <si>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</si>
  <si>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</si>
  <si>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</si>
  <si>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</si>
  <si>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</si>
  <si>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</si>
  <si>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</si>
  <si>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</si>
  <si>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</si>
  <si>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</si>
  <si>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</si>
  <si>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</si>
  <si>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</si>
  <si>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</si>
  <si>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</si>
  <si>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</si>
  <si>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</si>
  <si>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</si>
  <si>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</si>
  <si>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</si>
  <si>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</si>
  <si>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</si>
  <si>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</si>
  <si>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</si>
  <si>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</si>
  <si>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</si>
  <si>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</si>
  <si>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</si>
  <si>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</si>
  <si>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</si>
  <si>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</si>
  <si>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</si>
  <si>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</si>
  <si>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</si>
  <si>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</si>
  <si>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</si>
  <si>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</si>
  <si>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</si>
  <si>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</si>
  <si>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</si>
  <si>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</si>
  <si>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</si>
  <si>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</si>
  <si>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</si>
  <si>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</si>
  <si>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</si>
  <si>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</si>
  <si>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</si>
  <si>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</si>
  <si>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</si>
  <si>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</si>
  <si>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</si>
  <si>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</si>
  <si>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</si>
  <si>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</si>
  <si>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</si>
  <si>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</si>
  <si>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</si>
  <si>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</si>
  <si>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</si>
  <si>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</si>
  <si>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</si>
  <si>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</si>
  <si>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</si>
  <si>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</si>
  <si>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</si>
  <si>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</si>
  <si>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</si>
  <si>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</si>
  <si>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</si>
  <si>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</si>
  <si>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</si>
  <si>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</si>
  <si>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</si>
  <si>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</si>
  <si>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</si>
  <si>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</si>
  <si>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</si>
  <si>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</si>
  <si>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</si>
  <si>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</si>
  <si>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</si>
  <si>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</si>
  <si>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</si>
  <si>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</si>
  <si>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</si>
  <si>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</si>
  <si>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</si>
  <si>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</si>
  <si>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</si>
  <si>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</si>
  <si>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</si>
  <si>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</si>
  <si>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</si>
  <si>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</si>
  <si>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</si>
  <si>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</si>
  <si>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</si>
  <si>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</si>
  <si>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</si>
  <si>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</si>
  <si>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</si>
  <si>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</si>
  <si>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</si>
  <si>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</si>
  <si>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</si>
  <si>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</si>
  <si>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</si>
  <si>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</si>
  <si>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</si>
  <si>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</si>
  <si>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</si>
  <si>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</si>
  <si>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</si>
  <si>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</si>
  <si>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</si>
  <si>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</si>
  <si>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</si>
  <si>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</si>
  <si>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</si>
  <si>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</si>
  <si>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</si>
  <si>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</si>
  <si>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</si>
  <si>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</si>
  <si>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</si>
  <si>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</si>
  <si>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</si>
  <si>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</si>
  <si>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</si>
  <si>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</si>
  <si>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</si>
  <si>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</si>
  <si>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</si>
  <si>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</si>
  <si>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</si>
  <si>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</si>
  <si>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</si>
  <si>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</si>
  <si>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</si>
  <si>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</si>
  <si>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</si>
  <si>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</si>
  <si>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</si>
  <si>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</si>
  <si>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</si>
  <si>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</si>
  <si>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</si>
  <si>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</si>
  <si>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</si>
  <si>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</si>
  <si>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</si>
  <si>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</si>
  <si>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</si>
  <si>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</si>
  <si>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</si>
  <si>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</si>
  <si>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</si>
  <si>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</si>
  <si>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</si>
  <si>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</si>
  <si>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</si>
  <si>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</si>
  <si>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</si>
  <si>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</si>
  <si>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</si>
  <si>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</si>
  <si>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</si>
  <si>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</si>
  <si>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</si>
  <si>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</si>
  <si>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</si>
  <si>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</si>
  <si>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</si>
  <si>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</si>
  <si>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</si>
  <si>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</si>
  <si>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</si>
  <si>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</si>
  <si>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</si>
  <si>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</si>
  <si>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</si>
  <si>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</si>
  <si>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</si>
  <si>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</si>
  <si>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</si>
  <si>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</si>
  <si>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</si>
  <si>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</si>
  <si>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</si>
  <si>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</si>
  <si>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</si>
  <si>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</si>
  <si>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</si>
  <si>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</si>
  <si>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</si>
  <si>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</si>
  <si>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</si>
  <si>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</si>
  <si>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</si>
  <si>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</si>
  <si>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</si>
  <si>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</si>
  <si>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</si>
  <si>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</si>
  <si>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</si>
  <si>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</si>
  <si>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</si>
  <si>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</si>
  <si>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</si>
  <si>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</si>
  <si>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</si>
  <si>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</si>
  <si>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</si>
  <si>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</si>
  <si>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</si>
  <si>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</si>
  <si>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</si>
  <si>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</si>
  <si>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</si>
  <si>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</si>
  <si>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</si>
  <si>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</si>
  <si>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</si>
  <si>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</si>
  <si>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</si>
  <si>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</si>
  <si>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</si>
  <si>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</si>
  <si>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</si>
  <si>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</si>
  <si>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</si>
  <si>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</si>
  <si>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</si>
  <si>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</si>
  <si>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</si>
  <si>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</si>
  <si>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</si>
  <si>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</si>
  <si>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</si>
  <si>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</si>
  <si>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</si>
  <si>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</si>
  <si>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</si>
  <si>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</si>
  <si>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</si>
  <si>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</si>
  <si>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</si>
  <si>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</si>
  <si>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</si>
  <si>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</si>
  <si>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</si>
  <si>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</si>
  <si>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</si>
  <si>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</si>
  <si>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</si>
  <si>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</si>
  <si>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</si>
  <si>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</si>
  <si>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</si>
  <si>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</si>
  <si>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</si>
  <si>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</si>
  <si>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</si>
  <si>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</si>
  <si>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</si>
  <si>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</si>
  <si>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</si>
  <si>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</si>
  <si>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</si>
  <si>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</si>
  <si>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</si>
  <si>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</si>
  <si>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</si>
  <si>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</si>
  <si>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</si>
  <si>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</si>
  <si>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</si>
  <si>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</si>
  <si>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</si>
  <si>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</si>
  <si>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</si>
  <si>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</si>
  <si>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</si>
  <si>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</si>
  <si>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</si>
  <si>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</si>
  <si>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</si>
  <si>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</si>
  <si>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</si>
  <si>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</si>
  <si>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</si>
  <si>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</si>
  <si>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</si>
  <si>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</si>
  <si>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</si>
  <si>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</si>
  <si>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</si>
  <si>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</si>
  <si>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</si>
  <si>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</si>
  <si>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</si>
  <si>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</si>
  <si>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</si>
  <si>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</si>
  <si>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</si>
  <si>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</si>
  <si>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</si>
  <si>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</si>
  <si>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</si>
  <si>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</si>
  <si>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</si>
  <si>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</si>
  <si>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</si>
  <si>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</si>
  <si>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</si>
  <si>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</si>
  <si>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</si>
  <si>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</si>
  <si>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</si>
  <si>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</si>
  <si>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</si>
  <si>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</si>
  <si>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</si>
  <si>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</si>
  <si>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</si>
  <si>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</si>
  <si>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</si>
  <si>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</si>
  <si>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</si>
  <si>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</si>
  <si>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</si>
  <si>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</si>
  <si>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</si>
  <si>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</si>
  <si>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</si>
  <si>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</si>
  <si>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</si>
  <si>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</si>
  <si>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</si>
  <si>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</si>
  <si>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</si>
  <si>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</si>
  <si>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</si>
  <si>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</si>
  <si>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</si>
  <si>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</si>
  <si>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</si>
  <si>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</si>
  <si>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</si>
  <si>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</si>
  <si>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</si>
  <si>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</si>
  <si>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</si>
  <si>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</si>
  <si>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</si>
  <si>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</si>
  <si>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</si>
  <si>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</si>
  <si>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</si>
  <si>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</si>
  <si>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</si>
  <si>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</si>
  <si>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</si>
  <si>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</si>
  <si>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</si>
  <si>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</si>
  <si>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</si>
  <si>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</si>
  <si>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</si>
  <si>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</si>
  <si>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</si>
  <si>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</si>
  <si>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</si>
  <si>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</si>
  <si>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</si>
  <si>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</si>
  <si>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</si>
  <si>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</si>
  <si>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</si>
  <si>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</si>
  <si>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</si>
  <si>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</si>
  <si>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</si>
  <si>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</si>
  <si>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</si>
  <si>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</si>
  <si>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</si>
  <si>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</si>
  <si>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</si>
  <si>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</si>
  <si>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</si>
  <si>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</si>
  <si>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</si>
  <si>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</si>
  <si>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</si>
  <si>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</si>
  <si>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</si>
  <si>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</si>
  <si>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</si>
  <si>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</si>
  <si>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</si>
  <si>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</si>
  <si>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</si>
  <si>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</si>
  <si>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</si>
  <si>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</si>
  <si>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</si>
  <si>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</si>
  <si>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</si>
  <si>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</si>
  <si>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</si>
  <si>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</si>
  <si>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</si>
  <si>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</si>
  <si>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</si>
  <si>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</si>
  <si>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</si>
  <si>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</si>
  <si>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</si>
  <si>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</si>
  <si>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</si>
  <si>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</si>
  <si>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</si>
  <si>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</si>
  <si>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</si>
  <si>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</si>
  <si>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</si>
  <si>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</si>
  <si>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</si>
  <si>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</si>
  <si>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</si>
  <si>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</si>
  <si>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</si>
  <si>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</si>
  <si>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</si>
  <si>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</si>
  <si>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</si>
  <si>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</si>
  <si>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</si>
  <si>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</si>
  <si>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</si>
  <si>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</si>
  <si>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</si>
  <si>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</si>
  <si>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</si>
  <si>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</si>
  <si>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</si>
  <si>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</si>
  <si>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</si>
  <si>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</si>
  <si>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</si>
  <si>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</si>
  <si>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</si>
  <si>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</si>
  <si>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</si>
  <si>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</si>
  <si>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</si>
  <si>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</si>
  <si>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</si>
  <si>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</si>
  <si>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</si>
  <si>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</si>
  <si>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</si>
  <si>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</si>
  <si>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</si>
  <si>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</si>
  <si>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</si>
  <si>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</si>
  <si>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</si>
  <si>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</si>
  <si>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</si>
  <si>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</si>
  <si>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</si>
  <si>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</si>
  <si>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</si>
  <si>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</si>
  <si>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</si>
  <si>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</si>
  <si>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</si>
  <si>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</si>
  <si>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</si>
  <si>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</si>
  <si>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</si>
  <si>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</si>
  <si>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</si>
  <si>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</si>
  <si>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</si>
  <si>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</si>
  <si>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</si>
  <si>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</si>
  <si>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</si>
  <si>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</si>
  <si>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</si>
  <si>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</si>
  <si>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</si>
  <si>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</si>
  <si>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</si>
  <si>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</si>
  <si>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</si>
  <si>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</si>
  <si>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</si>
  <si>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</si>
  <si>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</si>
  <si>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</si>
  <si>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</si>
  <si>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</si>
  <si>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</si>
  <si>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</si>
  <si>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</si>
  <si>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</si>
  <si>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</si>
  <si>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</si>
  <si>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</si>
  <si>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</si>
  <si>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</si>
  <si>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</si>
  <si>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</si>
  <si>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</si>
  <si>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</si>
  <si>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</si>
  <si>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</si>
  <si>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</si>
  <si>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</si>
  <si>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</si>
  <si>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</si>
  <si>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</si>
  <si>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</si>
  <si>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</si>
  <si>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</si>
  <si>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</si>
  <si>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</si>
  <si>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</si>
  <si>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</si>
  <si>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</si>
  <si>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</si>
  <si>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</si>
  <si>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</si>
  <si>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</si>
  <si>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</si>
  <si>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</si>
  <si>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</si>
  <si>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</si>
  <si>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</si>
  <si>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</si>
  <si>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</si>
  <si>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</si>
  <si>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</si>
  <si>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</si>
  <si>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</si>
  <si>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</si>
  <si>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</si>
  <si>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</si>
  <si>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</si>
  <si>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</si>
  <si>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</si>
  <si>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</si>
  <si>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</si>
  <si>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</si>
  <si>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</si>
  <si>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</si>
  <si>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</si>
  <si>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</si>
  <si>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</si>
  <si>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</si>
  <si>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</si>
  <si>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</si>
  <si>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</si>
  <si>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</si>
  <si>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</si>
  <si>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</si>
  <si>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</si>
  <si>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</si>
  <si>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</si>
  <si>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</si>
  <si>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</si>
  <si>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</si>
  <si>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</si>
  <si>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</si>
  <si>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</si>
  <si>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</si>
  <si>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</si>
  <si>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</si>
  <si>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</si>
  <si>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</si>
  <si>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</si>
  <si>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</si>
  <si>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</si>
  <si>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</si>
  <si>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</si>
  <si>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</si>
  <si>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</si>
  <si>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</si>
  <si>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</si>
  <si>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</si>
  <si>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</si>
  <si>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</si>
  <si>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</si>
  <si>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</si>
  <si>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</si>
  <si>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</si>
  <si>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</si>
  <si>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</si>
  <si>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</si>
  <si>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</si>
  <si>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</si>
  <si>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</si>
  <si>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</si>
  <si>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</si>
  <si>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</si>
  <si>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</si>
  <si>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</si>
  <si>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</si>
  <si>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</si>
  <si>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</si>
  <si>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</si>
  <si>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</si>
  <si>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</si>
  <si>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</si>
  <si>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</si>
  <si>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</si>
  <si>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</si>
  <si>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</si>
  <si>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</si>
  <si>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</si>
  <si>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</si>
  <si>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</si>
  <si>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</si>
  <si>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</si>
  <si>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</si>
  <si>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</si>
  <si>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</si>
  <si>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</si>
  <si>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</si>
  <si>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</si>
  <si>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</si>
  <si>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</si>
  <si>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</si>
  <si>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</si>
  <si>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</si>
  <si>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</si>
  <si>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</si>
  <si>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</si>
  <si>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</si>
  <si>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</si>
  <si>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</si>
  <si>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</si>
  <si>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</si>
  <si>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</si>
  <si>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</si>
  <si>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</si>
  <si>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</si>
  <si>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</si>
  <si>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</si>
  <si>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</si>
  <si>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</si>
  <si>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</si>
  <si>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</si>
  <si>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</si>
  <si>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</si>
  <si>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</si>
  <si>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</si>
  <si>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</si>
  <si>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</si>
  <si>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</si>
  <si>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</si>
  <si>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</si>
  <si>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</si>
  <si>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</si>
  <si>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</si>
  <si>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</si>
  <si>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</si>
  <si>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</si>
  <si>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</si>
  <si>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</si>
  <si>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</si>
  <si>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</si>
  <si>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</si>
  <si>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</si>
  <si>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</si>
  <si>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</si>
  <si>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</si>
  <si>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</si>
  <si>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</si>
  <si>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</si>
  <si>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</si>
  <si>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</si>
  <si>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</si>
  <si>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</si>
  <si>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</si>
  <si>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</si>
  <si>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</si>
  <si>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</si>
  <si>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</si>
  <si>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</si>
  <si>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</si>
  <si>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</si>
  <si>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</si>
  <si>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</si>
  <si>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</si>
  <si>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</si>
  <si>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</si>
  <si>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</si>
  <si>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</si>
  <si>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</si>
  <si>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</si>
  <si>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</si>
  <si>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</si>
  <si>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</si>
  <si>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</si>
  <si>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</si>
  <si>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</si>
  <si>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</si>
  <si>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</si>
  <si>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</si>
  <si>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</si>
  <si>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</si>
  <si>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</si>
  <si>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Ratle Kiru Power Transmission Ltd</t>
  </si>
  <si>
    <t>Mithu Dutta</t>
  </si>
  <si>
    <t>SBU Head- T&amp;D</t>
  </si>
  <si>
    <t>400 kV Samba- Jalandhar D/C Line(Quad) - Wind Zone - 5</t>
  </si>
  <si>
    <t>400 kV Kishenpur-Samba D/C Line (Quad) - Wind Zone-5</t>
  </si>
  <si>
    <t>400kV DC LILO at Kistwar(Twin) Line - Wind Zone-2</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</si>
  <si>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</si>
  <si>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</si>
  <si>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</si>
  <si>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</si>
  <si>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</si>
  <si>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</si>
  <si>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</si>
  <si>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</si>
  <si>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</si>
  <si>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</si>
  <si>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</si>
  <si>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</si>
  <si>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</si>
  <si>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</si>
  <si>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</si>
  <si>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</si>
  <si>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</si>
  <si>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</si>
  <si>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</si>
  <si>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</si>
  <si>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</si>
  <si>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</si>
  <si>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</si>
  <si>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</si>
  <si>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</si>
  <si>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</si>
  <si>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</si>
  <si>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</si>
  <si>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</si>
  <si>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</si>
  <si>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</si>
  <si>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</si>
  <si>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</si>
  <si>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</si>
  <si>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</si>
  <si>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</si>
  <si>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</si>
  <si>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</si>
  <si>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</si>
  <si>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</si>
  <si>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</si>
  <si>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</si>
  <si>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</si>
  <si>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</si>
  <si>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</si>
  <si>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</si>
  <si>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</si>
  <si>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</si>
  <si>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</si>
  <si>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</si>
  <si>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</si>
  <si>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</si>
  <si>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</si>
  <si>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</si>
  <si>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</si>
  <si>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</si>
  <si>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</si>
  <si>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</si>
  <si>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</si>
  <si>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</si>
  <si>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</si>
  <si>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</si>
  <si>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</si>
  <si>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</si>
  <si>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</si>
  <si>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</si>
  <si>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</si>
  <si>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</si>
  <si>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</si>
  <si>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</si>
  <si>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</si>
  <si>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</si>
  <si>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</si>
  <si>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</si>
  <si>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</si>
  <si>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</si>
  <si>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</si>
  <si>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</si>
  <si>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</si>
  <si>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</si>
  <si>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</si>
  <si>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</si>
  <si>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</si>
  <si>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</si>
  <si>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</si>
  <si>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</si>
  <si>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</si>
  <si>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</si>
  <si>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</si>
  <si>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</si>
  <si>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</si>
  <si>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</si>
  <si>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</si>
  <si>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</si>
  <si>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</si>
  <si>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</si>
  <si>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</si>
  <si>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</si>
  <si>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</si>
  <si>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</si>
  <si>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</si>
  <si>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</si>
  <si>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</si>
  <si>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</si>
  <si>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</si>
  <si>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</si>
  <si>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</si>
  <si>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</si>
  <si>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</si>
  <si>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</si>
  <si>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</si>
  <si>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</si>
  <si>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</si>
  <si>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</si>
  <si>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</si>
  <si>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</si>
  <si>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</si>
  <si>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</si>
  <si>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</si>
  <si>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</si>
  <si>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</si>
  <si>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</si>
  <si>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</si>
  <si>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</si>
  <si>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</si>
  <si>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</si>
  <si>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</si>
  <si>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</si>
  <si>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</si>
  <si>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</si>
  <si>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</si>
  <si>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</si>
  <si>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</si>
  <si>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</si>
  <si>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</si>
  <si>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</si>
  <si>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</si>
  <si>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</si>
  <si>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</si>
  <si>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</si>
  <si>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</si>
  <si>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</si>
  <si>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</si>
  <si>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</si>
  <si>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</si>
  <si>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</si>
  <si>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</si>
  <si>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</si>
  <si>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</si>
  <si>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</si>
  <si>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</si>
  <si>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</si>
  <si>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</si>
  <si>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</si>
  <si>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</si>
  <si>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</si>
  <si>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</si>
  <si>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</si>
  <si>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</si>
  <si>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</si>
  <si>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</si>
  <si>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</si>
  <si>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</si>
  <si>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</si>
  <si>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</si>
  <si>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</si>
  <si>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</si>
  <si>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</si>
  <si>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</si>
  <si>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</si>
  <si>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</si>
  <si>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</si>
  <si>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</si>
  <si>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</si>
  <si>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</si>
  <si>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</si>
  <si>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</si>
  <si>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</si>
  <si>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</si>
  <si>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</si>
  <si>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</si>
  <si>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</si>
  <si>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</si>
  <si>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</si>
  <si>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</si>
  <si>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</si>
  <si>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</si>
  <si>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</si>
  <si>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</si>
  <si>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</si>
  <si>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</si>
  <si>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</si>
  <si>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</si>
  <si>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</si>
  <si>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</si>
  <si>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</si>
  <si>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</si>
  <si>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</si>
  <si>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</si>
  <si>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</si>
  <si>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</si>
  <si>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</si>
  <si>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</si>
  <si>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</si>
  <si>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</si>
  <si>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</si>
  <si>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</si>
  <si>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</si>
  <si>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</si>
  <si>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</si>
  <si>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</si>
  <si>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</si>
  <si>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</si>
  <si>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</si>
  <si>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</si>
  <si>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</si>
  <si>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</si>
  <si>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</si>
  <si>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</si>
  <si>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</si>
  <si>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</si>
  <si>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</si>
  <si>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</si>
  <si>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</si>
  <si>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</si>
  <si>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</si>
  <si>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</si>
  <si>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</si>
  <si>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</si>
  <si>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</si>
  <si>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</si>
  <si>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</si>
  <si>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</si>
  <si>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</si>
  <si>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</si>
  <si>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</si>
  <si>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</si>
  <si>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</si>
  <si>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</si>
  <si>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</si>
  <si>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</si>
  <si>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</si>
  <si>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</si>
  <si>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</si>
  <si>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</si>
  <si>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</si>
  <si>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</si>
  <si>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</si>
  <si>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</si>
  <si>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</si>
  <si>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</si>
  <si>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</si>
  <si>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</si>
  <si>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</si>
  <si>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</si>
  <si>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</si>
  <si>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</si>
  <si>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</si>
  <si>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</si>
  <si>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</si>
  <si>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</si>
  <si>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</si>
  <si>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</si>
  <si>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</si>
  <si>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</si>
  <si>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</si>
  <si>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</si>
  <si>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</si>
  <si>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</si>
  <si>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</si>
  <si>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</si>
  <si>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</si>
  <si>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</si>
  <si>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</si>
  <si>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</si>
  <si>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</si>
  <si>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</si>
  <si>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</si>
  <si>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</si>
  <si>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</si>
  <si>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</si>
  <si>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</si>
  <si>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</si>
  <si>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</si>
  <si>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</si>
  <si>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</si>
  <si>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</si>
  <si>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</si>
  <si>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</si>
  <si>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</si>
  <si>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</si>
  <si>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</si>
  <si>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</si>
  <si>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</si>
  <si>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</si>
  <si>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</si>
  <si>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</si>
  <si>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</si>
  <si>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</si>
  <si>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</si>
  <si>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</si>
  <si>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</si>
  <si>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</si>
  <si>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</si>
  <si>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</si>
  <si>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</si>
  <si>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</si>
  <si>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</si>
  <si>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</si>
  <si>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</si>
  <si>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</si>
  <si>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</si>
  <si>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</si>
  <si>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</si>
  <si>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</si>
  <si>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</si>
  <si>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</si>
  <si>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</si>
  <si>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</si>
  <si>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</si>
  <si>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</si>
  <si>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</si>
  <si>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</si>
  <si>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</si>
  <si>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</si>
  <si>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</si>
  <si>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</si>
  <si>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</si>
  <si>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</si>
  <si>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</si>
  <si>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</si>
  <si>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</si>
  <si>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</si>
  <si>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</si>
  <si>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</si>
  <si>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</si>
  <si>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</si>
  <si>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</si>
  <si>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</si>
  <si>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</si>
  <si>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</si>
  <si>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</si>
  <si>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</si>
  <si>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</si>
  <si>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</si>
  <si>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</si>
  <si>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</si>
  <si>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</si>
  <si>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</si>
  <si>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</si>
  <si>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</si>
  <si>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</si>
  <si>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</si>
  <si>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</si>
  <si>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</si>
  <si>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</si>
  <si>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</si>
  <si>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</si>
  <si>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</si>
  <si>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</si>
  <si>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</si>
  <si>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</si>
  <si>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</si>
  <si>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</si>
  <si>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</si>
  <si>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</si>
  <si>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</si>
  <si>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</si>
  <si>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</si>
  <si>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</si>
  <si>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</si>
  <si>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</si>
  <si>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</si>
  <si>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</si>
  <si>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</si>
  <si>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</si>
  <si>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</si>
  <si>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</si>
  <si>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</si>
  <si>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</si>
  <si>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</si>
  <si>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</si>
  <si>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</si>
  <si>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</si>
  <si>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</si>
  <si>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</si>
  <si>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</si>
  <si>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</si>
  <si>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</si>
  <si>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</si>
  <si>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</si>
  <si>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</si>
  <si>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</si>
  <si>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</si>
  <si>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</si>
  <si>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</si>
  <si>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</si>
  <si>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</si>
  <si>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</si>
  <si>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</si>
  <si>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</si>
  <si>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</si>
  <si>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</si>
  <si>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</si>
  <si>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</si>
  <si>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</si>
  <si>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</si>
  <si>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Manpower in Gangs</t>
  </si>
  <si>
    <t>Qty</t>
  </si>
  <si>
    <t>ROW Lead</t>
  </si>
  <si>
    <t xml:space="preserve">Total </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</si>
  <si>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</si>
  <si>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</si>
  <si>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</si>
  <si>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</si>
  <si>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</si>
  <si>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</si>
  <si>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</si>
  <si>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</si>
  <si>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</si>
  <si>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</si>
  <si>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</si>
  <si>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</si>
  <si>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</si>
  <si>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</si>
  <si>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</si>
  <si>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</si>
  <si>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</si>
  <si>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</si>
  <si>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</si>
  <si>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</si>
  <si>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</si>
  <si>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</si>
  <si>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</si>
  <si>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</si>
  <si>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</si>
  <si>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</si>
  <si>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</si>
  <si>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</si>
  <si>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</si>
  <si>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</si>
  <si>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</si>
  <si>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</si>
  <si>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</si>
  <si>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</si>
  <si>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</si>
  <si>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</si>
  <si>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</si>
  <si>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</si>
  <si>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</si>
  <si>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</si>
  <si>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</si>
  <si>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</si>
  <si>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</si>
  <si>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</si>
  <si>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</si>
  <si>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</si>
  <si>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</si>
  <si>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</si>
  <si>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</si>
  <si>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</si>
  <si>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</si>
  <si>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</si>
  <si>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</si>
  <si>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</si>
  <si>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</si>
  <si>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</si>
  <si>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</si>
  <si>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</si>
  <si>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</si>
  <si>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</si>
  <si>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</si>
  <si>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</si>
  <si>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</si>
  <si>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</si>
  <si>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</si>
  <si>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</si>
  <si>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</si>
  <si>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</si>
  <si>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</si>
  <si>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</si>
  <si>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</si>
  <si>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</si>
  <si>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</si>
  <si>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</si>
  <si>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</si>
  <si>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</si>
  <si>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</si>
  <si>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</si>
  <si>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</si>
  <si>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</si>
  <si>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</si>
  <si>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</si>
  <si>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</si>
  <si>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</si>
  <si>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</si>
  <si>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</si>
  <si>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</si>
  <si>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</si>
  <si>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</si>
  <si>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</si>
  <si>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</si>
  <si>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</si>
  <si>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</si>
  <si>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</si>
  <si>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</si>
  <si>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</si>
  <si>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</si>
  <si>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</si>
  <si>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</si>
  <si>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</si>
  <si>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</si>
  <si>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</si>
  <si>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</si>
  <si>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</si>
  <si>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</si>
  <si>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</si>
  <si>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</si>
  <si>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</si>
  <si>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</si>
  <si>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</si>
  <si>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</si>
  <si>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</si>
  <si>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</si>
  <si>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</si>
  <si>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</si>
  <si>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</si>
  <si>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</si>
  <si>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</si>
  <si>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</si>
  <si>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</si>
  <si>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</si>
  <si>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</si>
  <si>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</si>
  <si>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</si>
  <si>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</si>
  <si>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</si>
  <si>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</si>
  <si>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</si>
  <si>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</si>
  <si>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</si>
  <si>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</si>
  <si>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</si>
  <si>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</si>
  <si>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</si>
  <si>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</si>
  <si>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</si>
  <si>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</si>
  <si>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</si>
  <si>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</si>
  <si>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</si>
  <si>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</si>
  <si>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</si>
  <si>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</si>
  <si>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</si>
  <si>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</si>
  <si>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</si>
  <si>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</si>
  <si>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</si>
  <si>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</si>
  <si>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</si>
  <si>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</si>
  <si>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</si>
  <si>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</si>
  <si>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</si>
  <si>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</si>
  <si>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</si>
  <si>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</si>
  <si>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</si>
  <si>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</si>
  <si>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</si>
  <si>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</si>
  <si>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</si>
  <si>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</si>
  <si>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</si>
  <si>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</si>
  <si>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</si>
  <si>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</si>
  <si>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</si>
  <si>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</si>
  <si>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</si>
  <si>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</si>
  <si>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</si>
  <si>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</si>
  <si>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</si>
  <si>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</si>
  <si>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</si>
  <si>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</si>
  <si>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</si>
  <si>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</si>
  <si>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</si>
  <si>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</si>
  <si>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</si>
  <si>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</si>
  <si>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</si>
  <si>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</si>
  <si>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</si>
  <si>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</si>
  <si>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</si>
  <si>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</si>
  <si>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</si>
  <si>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</si>
  <si>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</si>
  <si>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</si>
  <si>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</si>
  <si>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</si>
  <si>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</si>
  <si>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</si>
  <si>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</si>
  <si>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</si>
  <si>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</si>
  <si>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</si>
  <si>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</si>
  <si>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</si>
  <si>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</si>
  <si>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</si>
  <si>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</si>
  <si>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</si>
  <si>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</si>
  <si>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</si>
  <si>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</si>
  <si>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</si>
  <si>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</si>
  <si>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</si>
  <si>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</si>
  <si>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</si>
  <si>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</si>
  <si>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</si>
  <si>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</si>
  <si>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</si>
  <si>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</si>
  <si>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</si>
  <si>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</si>
  <si>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</si>
  <si>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</si>
  <si>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</si>
  <si>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</si>
  <si>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</si>
  <si>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</si>
  <si>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</si>
  <si>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</si>
  <si>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</si>
  <si>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</si>
  <si>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</si>
  <si>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</si>
  <si>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</si>
  <si>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</si>
  <si>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</si>
  <si>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</si>
  <si>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</si>
  <si>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</si>
  <si>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</si>
  <si>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</si>
  <si>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</si>
  <si>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</si>
  <si>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</si>
  <si>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</si>
  <si>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</si>
  <si>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</si>
  <si>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</si>
  <si>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</si>
  <si>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</si>
  <si>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</si>
  <si>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</si>
  <si>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</si>
  <si>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</si>
  <si>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</si>
  <si>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</si>
  <si>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</si>
  <si>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</si>
  <si>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</si>
  <si>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</si>
  <si>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</si>
  <si>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</si>
  <si>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</si>
  <si>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</si>
  <si>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</si>
  <si>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</si>
  <si>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</si>
  <si>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</si>
  <si>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</si>
  <si>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</si>
  <si>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</si>
  <si>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</si>
  <si>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</si>
  <si>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</si>
  <si>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</si>
  <si>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</si>
  <si>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</si>
  <si>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</si>
  <si>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</si>
  <si>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</si>
  <si>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</si>
  <si>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</si>
  <si>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</si>
  <si>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</si>
  <si>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</si>
  <si>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</si>
  <si>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</si>
  <si>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</si>
  <si>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</si>
  <si>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</si>
  <si>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</si>
  <si>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</si>
  <si>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</si>
  <si>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</si>
  <si>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</si>
  <si>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</si>
  <si>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</si>
  <si>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</si>
  <si>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</si>
  <si>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</si>
  <si>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</si>
  <si>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</si>
  <si>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</si>
  <si>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</si>
  <si>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</si>
  <si>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</si>
  <si>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</si>
  <si>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</si>
  <si>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</si>
  <si>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</si>
  <si>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</si>
  <si>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</si>
  <si>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</si>
  <si>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</si>
  <si>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</si>
  <si>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</si>
  <si>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</si>
  <si>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</si>
  <si>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</si>
  <si>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</si>
  <si>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</si>
  <si>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</si>
  <si>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</si>
  <si>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</si>
  <si>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</si>
  <si>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</si>
  <si>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</si>
  <si>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</si>
  <si>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</si>
  <si>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</si>
  <si>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</si>
  <si>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</si>
  <si>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</si>
  <si>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</si>
  <si>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</si>
  <si>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</si>
  <si>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</si>
  <si>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</si>
  <si>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</si>
  <si>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</si>
  <si>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</si>
  <si>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</si>
  <si>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</si>
  <si>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</si>
  <si>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</si>
  <si>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</si>
  <si>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</si>
  <si>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</si>
  <si>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</si>
  <si>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</si>
  <si>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</si>
  <si>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</si>
  <si>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</si>
  <si>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</si>
  <si>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</si>
  <si>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</si>
  <si>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</si>
  <si>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</si>
  <si>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</si>
  <si>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</si>
  <si>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</si>
  <si>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</si>
  <si>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</si>
  <si>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</si>
  <si>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</si>
  <si>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</si>
  <si>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</si>
  <si>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</si>
  <si>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</si>
  <si>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</si>
  <si>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</si>
  <si>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</si>
  <si>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</si>
  <si>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</si>
  <si>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</si>
  <si>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</si>
  <si>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</si>
  <si>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</si>
  <si>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</si>
  <si>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</si>
  <si>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</si>
  <si>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</si>
  <si>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</si>
  <si>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</si>
  <si>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</si>
  <si>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</si>
  <si>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</si>
  <si>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</si>
  <si>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</si>
  <si>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</si>
  <si>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</si>
  <si>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</si>
  <si>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</si>
  <si>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</si>
  <si>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</si>
  <si>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</si>
  <si>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</si>
  <si>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</si>
  <si>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</si>
  <si>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</si>
  <si>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</si>
  <si>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</si>
  <si>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</si>
  <si>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</si>
  <si>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</si>
  <si>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</si>
  <si>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</si>
  <si>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</si>
  <si>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</si>
  <si>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</si>
  <si>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</si>
  <si>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</si>
  <si>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</si>
  <si>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</si>
  <si>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</si>
  <si>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</si>
  <si>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</si>
  <si>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</si>
  <si>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</si>
  <si>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</si>
  <si>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</si>
  <si>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</si>
  <si>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</si>
  <si>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</si>
  <si>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</si>
  <si>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</si>
  <si>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</si>
  <si>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</si>
  <si>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</si>
  <si>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</si>
  <si>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</si>
  <si>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</si>
  <si>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</si>
  <si>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</si>
  <si>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</si>
  <si>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</si>
  <si>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</si>
  <si>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</si>
  <si>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</si>
  <si>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</si>
  <si>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</si>
  <si>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</si>
  <si>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</si>
  <si>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</si>
  <si>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</si>
  <si>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</si>
  <si>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</si>
  <si>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</si>
  <si>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</si>
  <si>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</si>
  <si>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</si>
  <si>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</si>
  <si>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</si>
  <si>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</si>
  <si>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</si>
  <si>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</si>
  <si>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</si>
  <si>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</si>
  <si>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</si>
  <si>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</si>
  <si>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</si>
  <si>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</si>
  <si>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</si>
  <si>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</si>
  <si>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</si>
  <si>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</si>
  <si>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</si>
  <si>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</si>
  <si>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</si>
  <si>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</si>
  <si>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</si>
  <si>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</si>
  <si>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</si>
  <si>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</si>
  <si>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</si>
  <si>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</si>
  <si>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</si>
  <si>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</si>
  <si>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</si>
  <si>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</si>
  <si>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</si>
  <si>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</si>
  <si>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</si>
  <si>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</si>
  <si>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</si>
  <si>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</si>
  <si>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</si>
  <si>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</si>
  <si>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</si>
  <si>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</si>
  <si>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</si>
  <si>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</si>
  <si>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</si>
  <si>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</si>
  <si>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</si>
  <si>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</si>
  <si>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</si>
  <si>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</si>
  <si>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</si>
  <si>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</si>
  <si>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</si>
  <si>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</si>
  <si>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</si>
  <si>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</si>
  <si>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</si>
  <si>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</si>
  <si>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</si>
  <si>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</si>
  <si>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</si>
  <si>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</si>
  <si>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</si>
  <si>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</si>
  <si>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</si>
  <si>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</si>
  <si>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</si>
  <si>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</si>
  <si>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</si>
  <si>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</si>
  <si>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</si>
  <si>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</si>
  <si>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</si>
  <si>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</si>
  <si>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</si>
  <si>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</si>
  <si>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</si>
  <si>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</si>
  <si>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</si>
  <si>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</si>
  <si>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</si>
  <si>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</si>
  <si>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</si>
  <si>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</si>
  <si>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</si>
  <si>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</si>
  <si>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</si>
  <si>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</si>
  <si>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</si>
  <si>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</si>
  <si>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</si>
  <si>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</si>
  <si>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</si>
  <si>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</si>
  <si>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</si>
  <si>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</si>
  <si>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</si>
  <si>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</si>
  <si>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</si>
  <si>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</si>
  <si>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</si>
  <si>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</si>
  <si>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</si>
  <si>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</si>
  <si>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</si>
  <si>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</si>
  <si>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</si>
  <si>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</si>
  <si>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</si>
  <si>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</si>
  <si>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</si>
  <si>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</si>
  <si>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</si>
  <si>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</si>
  <si>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</si>
  <si>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</si>
  <si>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</si>
  <si>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</si>
  <si>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</si>
  <si>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</si>
  <si>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</si>
  <si>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</si>
  <si>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</si>
  <si>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</si>
  <si>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</si>
  <si>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</si>
  <si>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</si>
  <si>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</si>
  <si>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</si>
  <si>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</si>
  <si>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</si>
  <si>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</si>
  <si>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</si>
  <si>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</si>
  <si>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</si>
  <si>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</si>
  <si>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</si>
  <si>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</si>
  <si>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</si>
  <si>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</si>
  <si>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</si>
  <si>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</si>
  <si>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</si>
  <si>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</si>
  <si>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</si>
  <si>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</si>
  <si>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</si>
  <si>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</si>
  <si>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</si>
  <si>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</si>
  <si>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</si>
  <si>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</si>
  <si>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</si>
  <si>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</si>
  <si>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</si>
  <si>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</si>
  <si>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</si>
  <si>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</si>
  <si>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</si>
  <si>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</si>
  <si>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</si>
  <si>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</si>
  <si>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</si>
  <si>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</si>
  <si>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</si>
  <si>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</si>
  <si>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</si>
  <si>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</si>
  <si>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</si>
  <si>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</si>
  <si>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</si>
  <si>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</si>
  <si>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</si>
  <si>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</si>
  <si>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</si>
  <si>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</si>
  <si>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</si>
  <si>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</si>
  <si>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</si>
  <si>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</si>
  <si>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</si>
  <si>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</si>
  <si>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</si>
  <si>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</si>
  <si>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</si>
  <si>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</si>
  <si>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</si>
  <si>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</si>
  <si>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</si>
  <si>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</si>
  <si>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</si>
  <si>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</si>
  <si>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Due to heavy rains work hampered</t>
  </si>
  <si>
    <t>Comments by RKPTL , need to be rectified by M/s. KEC</t>
  </si>
  <si>
    <t>Due to heavy rains work hampered
Roads closed by local administration due to landslides</t>
  </si>
  <si>
    <t>Ramesh</t>
  </si>
  <si>
    <t>Supply Status</t>
  </si>
  <si>
    <t>Description</t>
  </si>
  <si>
    <t>Stubs</t>
  </si>
  <si>
    <t>Towers</t>
  </si>
  <si>
    <t>Samba-Kishenpur</t>
  </si>
  <si>
    <t>LILO at Kishtwar</t>
  </si>
  <si>
    <t>Sakrala Material</t>
  </si>
  <si>
    <t>Balwanth Singh</t>
  </si>
  <si>
    <t>106/0</t>
  </si>
  <si>
    <t>Naresh</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</si>
  <si>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</si>
  <si>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</si>
  <si>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</si>
  <si>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</si>
  <si>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</si>
  <si>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</si>
  <si>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</si>
  <si>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</si>
  <si>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</si>
  <si>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</si>
  <si>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</si>
  <si>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</si>
  <si>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</si>
  <si>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</si>
  <si>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</si>
  <si>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</si>
  <si>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</si>
  <si>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95/2</t>
  </si>
  <si>
    <t>93/2</t>
  </si>
  <si>
    <t>97/2</t>
  </si>
  <si>
    <t>Md. Latif</t>
  </si>
  <si>
    <t>Kewal Krishan</t>
  </si>
  <si>
    <t>BTB</t>
  </si>
  <si>
    <t>0M</t>
  </si>
  <si>
    <t>9M</t>
  </si>
  <si>
    <t>16-10-2025
30-10-2025</t>
  </si>
  <si>
    <t>AP90</t>
  </si>
  <si>
    <t>Ikrar/MS Hussain</t>
  </si>
  <si>
    <t>95/3</t>
  </si>
  <si>
    <t>97/1</t>
  </si>
  <si>
    <t>92/1</t>
  </si>
  <si>
    <t>J-S (Jammu)</t>
  </si>
  <si>
    <t>J-S (Punjab)</t>
  </si>
  <si>
    <t>K-S</t>
  </si>
  <si>
    <t>Ikrar</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</si>
  <si>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</si>
  <si>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</si>
  <si>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</si>
  <si>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</si>
  <si>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</si>
  <si>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</si>
  <si>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</si>
  <si>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</si>
  <si>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</si>
  <si>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</si>
  <si>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</si>
  <si>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</si>
  <si>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</si>
  <si>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</si>
  <si>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</si>
  <si>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</si>
  <si>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</si>
  <si>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</si>
  <si>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</si>
  <si>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</si>
  <si>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</si>
  <si>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</si>
  <si>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</si>
  <si>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</si>
  <si>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</si>
  <si>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</si>
  <si>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</si>
  <si>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</si>
  <si>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</si>
  <si>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</si>
  <si>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</si>
  <si>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</si>
  <si>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</si>
  <si>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</si>
  <si>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</si>
  <si>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</si>
  <si>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</si>
  <si>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</si>
  <si>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</si>
  <si>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</si>
  <si>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</si>
  <si>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</si>
  <si>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</si>
  <si>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</si>
  <si>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</si>
  <si>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</si>
  <si>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</si>
  <si>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</si>
  <si>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</si>
  <si>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</si>
  <si>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</si>
  <si>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</si>
  <si>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</si>
  <si>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</si>
  <si>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</si>
  <si>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</si>
  <si>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</si>
  <si>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</si>
  <si>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</si>
  <si>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</si>
  <si>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</si>
  <si>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</si>
  <si>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</si>
  <si>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</si>
  <si>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</si>
  <si>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</si>
  <si>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</si>
  <si>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</si>
  <si>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</si>
  <si>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</si>
  <si>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</si>
  <si>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</si>
  <si>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</si>
  <si>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</si>
  <si>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</si>
  <si>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</si>
  <si>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</si>
  <si>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</si>
  <si>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</si>
  <si>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</si>
  <si>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</si>
  <si>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</si>
  <si>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</si>
  <si>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</si>
  <si>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</si>
  <si>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</si>
  <si>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</si>
  <si>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</si>
  <si>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</si>
  <si>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</si>
  <si>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</si>
  <si>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</si>
  <si>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</si>
  <si>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</si>
  <si>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</si>
  <si>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</si>
  <si>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</si>
  <si>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</si>
  <si>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</si>
  <si>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</si>
  <si>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</si>
  <si>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</si>
  <si>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</si>
  <si>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</si>
  <si>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</si>
  <si>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</si>
  <si>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</si>
  <si>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</si>
  <si>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</si>
  <si>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</si>
  <si>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</si>
  <si>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</si>
  <si>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</si>
  <si>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</si>
  <si>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</si>
  <si>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</si>
  <si>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</si>
  <si>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</si>
  <si>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</si>
  <si>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</si>
  <si>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</si>
  <si>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</si>
  <si>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</si>
  <si>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</si>
  <si>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</si>
  <si>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</si>
  <si>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</si>
  <si>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</si>
  <si>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</si>
  <si>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</si>
  <si>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</si>
  <si>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</si>
  <si>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</si>
  <si>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</si>
  <si>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</si>
  <si>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</si>
  <si>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</si>
  <si>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</si>
  <si>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</si>
  <si>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</si>
  <si>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</si>
  <si>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</si>
  <si>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</si>
  <si>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</si>
  <si>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</si>
  <si>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</si>
  <si>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</si>
  <si>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</si>
  <si>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</si>
  <si>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</si>
  <si>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</si>
  <si>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</si>
  <si>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</si>
  <si>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</si>
  <si>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</si>
  <si>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</si>
  <si>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</si>
  <si>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</si>
  <si>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</si>
  <si>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</si>
  <si>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</si>
  <si>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</si>
  <si>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</si>
  <si>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</si>
  <si>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</si>
  <si>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</si>
  <si>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</si>
  <si>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</si>
  <si>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</si>
  <si>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</si>
  <si>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</si>
  <si>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</si>
  <si>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</si>
  <si>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</si>
  <si>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</si>
  <si>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</si>
  <si>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</si>
  <si>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</si>
  <si>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</si>
  <si>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</si>
  <si>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</si>
  <si>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</si>
  <si>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</si>
  <si>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</si>
  <si>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</si>
  <si>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</si>
  <si>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</si>
  <si>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</si>
  <si>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</si>
  <si>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</si>
  <si>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</si>
  <si>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</si>
  <si>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</si>
  <si>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</si>
  <si>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</si>
  <si>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</si>
  <si>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</si>
  <si>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</si>
  <si>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</si>
  <si>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</si>
  <si>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</si>
  <si>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</si>
  <si>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</si>
  <si>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</si>
  <si>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</si>
  <si>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</si>
  <si>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</si>
  <si>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</si>
  <si>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</si>
  <si>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</si>
  <si>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</si>
  <si>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</si>
  <si>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</si>
  <si>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</si>
  <si>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</si>
  <si>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</si>
  <si>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</si>
  <si>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</si>
  <si>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</si>
  <si>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</si>
  <si>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</si>
  <si>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</si>
  <si>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</si>
  <si>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</si>
  <si>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Md. Farooq</t>
  </si>
  <si>
    <t>Pawan Kumar Sharma</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</si>
  <si>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</si>
  <si>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</si>
  <si>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</si>
  <si>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</si>
  <si>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</si>
  <si>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</si>
  <si>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</si>
  <si>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</si>
  <si>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</si>
  <si>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</si>
  <si>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</si>
  <si>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</si>
  <si>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</si>
  <si>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</si>
  <si>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</si>
  <si>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</si>
  <si>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</si>
  <si>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</si>
  <si>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</si>
  <si>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</si>
  <si>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</si>
  <si>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</si>
  <si>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</si>
  <si>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</si>
  <si>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</si>
  <si>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</si>
  <si>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</si>
  <si>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</si>
  <si>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</si>
  <si>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</si>
  <si>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</si>
  <si>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</si>
  <si>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</si>
  <si>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</si>
  <si>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</si>
  <si>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</si>
  <si>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</si>
  <si>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</si>
  <si>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</si>
  <si>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</si>
  <si>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</si>
  <si>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</si>
  <si>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</si>
  <si>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</si>
  <si>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</si>
  <si>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</si>
  <si>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</si>
  <si>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</si>
  <si>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</si>
  <si>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</si>
  <si>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</si>
  <si>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</si>
  <si>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</si>
  <si>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</si>
  <si>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</si>
  <si>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</si>
  <si>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</si>
  <si>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</si>
  <si>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</si>
  <si>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</si>
  <si>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</si>
  <si>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</si>
  <si>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</si>
  <si>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</si>
  <si>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</si>
  <si>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</si>
  <si>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</si>
  <si>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</si>
  <si>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</si>
  <si>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</si>
  <si>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</si>
  <si>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</si>
  <si>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</si>
  <si>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</si>
  <si>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</si>
  <si>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</si>
  <si>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</si>
  <si>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</si>
  <si>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</si>
  <si>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</si>
  <si>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</si>
  <si>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</si>
  <si>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</si>
  <si>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</si>
  <si>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</si>
  <si>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</si>
  <si>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</si>
  <si>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</si>
  <si>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</si>
  <si>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</si>
  <si>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</si>
  <si>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</si>
  <si>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</si>
  <si>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</si>
  <si>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</si>
  <si>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</si>
  <si>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</si>
  <si>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</si>
  <si>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</si>
  <si>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</si>
  <si>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</si>
  <si>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</si>
  <si>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</si>
  <si>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</si>
  <si>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</si>
  <si>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</si>
  <si>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</si>
  <si>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</si>
  <si>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</si>
  <si>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</si>
  <si>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</si>
  <si>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</si>
  <si>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</si>
  <si>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</si>
  <si>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</si>
  <si>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</si>
  <si>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</si>
  <si>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</si>
  <si>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</si>
  <si>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</si>
  <si>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</si>
  <si>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</si>
  <si>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</si>
  <si>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</si>
  <si>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</si>
  <si>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</si>
  <si>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</si>
  <si>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</si>
  <si>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</si>
  <si>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</si>
  <si>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</si>
  <si>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</si>
  <si>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</si>
  <si>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</si>
  <si>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</si>
  <si>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</si>
  <si>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</si>
  <si>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</si>
  <si>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</si>
  <si>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</si>
  <si>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</si>
  <si>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</si>
  <si>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</si>
  <si>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</si>
  <si>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</si>
  <si>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</si>
  <si>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</si>
  <si>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</si>
  <si>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</si>
  <si>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</si>
  <si>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Sufiyan Ali</t>
  </si>
  <si>
    <t>Kulbhushan</t>
  </si>
  <si>
    <t>Pit B,C,D - Casting Completed</t>
  </si>
  <si>
    <t>Wani Const</t>
  </si>
  <si>
    <t>AP27A</t>
  </si>
  <si>
    <t>Due to ROW/ Route diversion</t>
  </si>
  <si>
    <t>Qty asper approved Survey</t>
  </si>
  <si>
    <t>8/2</t>
  </si>
  <si>
    <t>Due to heavy rains</t>
  </si>
  <si>
    <t>159/1</t>
  </si>
  <si>
    <t>159/2</t>
  </si>
  <si>
    <t>159/3</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</si>
  <si>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</si>
  <si>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</si>
  <si>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</si>
  <si>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</si>
  <si>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</si>
  <si>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</si>
  <si>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</si>
  <si>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</si>
  <si>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</si>
  <si>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</si>
  <si>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</si>
  <si>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</si>
  <si>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</si>
  <si>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</si>
  <si>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</si>
  <si>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</si>
  <si>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</si>
  <si>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</si>
  <si>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</si>
  <si>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</si>
  <si>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</si>
  <si>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</si>
  <si>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</si>
  <si>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</si>
  <si>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</si>
  <si>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</si>
  <si>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</si>
  <si>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</si>
  <si>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Kushboo Devi</t>
  </si>
  <si>
    <t>ZR Construction</t>
  </si>
  <si>
    <t>RC Casting done by Anil Sharma on 11.02.2026</t>
  </si>
  <si>
    <t>9/1</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</si>
  <si>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</si>
  <si>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</si>
  <si>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</si>
  <si>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</si>
  <si>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</si>
  <si>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</si>
  <si>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</si>
  <si>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</si>
  <si>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</si>
  <si>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</si>
  <si>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</si>
  <si>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Raju Kumar</t>
  </si>
  <si>
    <t>DD+25
2MRC</t>
  </si>
  <si>
    <t>67/3</t>
  </si>
  <si>
    <t>KEC International Ltd</t>
  </si>
  <si>
    <t>WET/PS</t>
  </si>
  <si>
    <t>ASC Infra Pvt Ltd</t>
  </si>
  <si>
    <t>DD+30
2MRC</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</si>
  <si>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</si>
  <si>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</si>
  <si>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</si>
  <si>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</si>
  <si>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</si>
  <si>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</si>
  <si>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</si>
  <si>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</si>
  <si>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</si>
  <si>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</si>
  <si>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</si>
  <si>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</si>
  <si>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Vijay Kumar Bhagat</t>
  </si>
  <si>
    <t>Vijay Bhagat</t>
  </si>
  <si>
    <t>400kV D/C Samba Kishenpur</t>
  </si>
  <si>
    <t>AP10 - Foundation Work ROW
Work Hampered , local villagers not allowing to do work</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</si>
  <si>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</si>
  <si>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</si>
  <si>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</si>
  <si>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</si>
  <si>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</si>
  <si>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</si>
  <si>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</si>
  <si>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8,9&amp;10</t>
  </si>
  <si>
    <t>19&amp;20</t>
  </si>
  <si>
    <t>DA+0
1M RC</t>
  </si>
  <si>
    <t>400 kV D/C Samba-Jalandhar
400 kV D/C Samba-Kishenpur
LILO</t>
  </si>
  <si>
    <t>Due to heavy rains all site works hampered</t>
  </si>
  <si>
    <t>Due to Rains</t>
  </si>
  <si>
    <t>OK</t>
  </si>
  <si>
    <t>400kV D/C Samba -Kishenpur TL</t>
  </si>
  <si>
    <t>Pawan Kumar Shama-2</t>
  </si>
  <si>
    <t>M10</t>
  </si>
  <si>
    <t>M20</t>
  </si>
  <si>
    <t>Vijay Bhagat-2</t>
  </si>
  <si>
    <t>Vijay Kumar Bhagat-2</t>
  </si>
  <si>
    <t>Gang went on eid festival</t>
  </si>
  <si>
    <t>DD+18
1MRC</t>
  </si>
  <si>
    <t>Client</t>
  </si>
  <si>
    <t>RATLE KIRU POWER TRANSMISSION EMPLOYER LIMITED</t>
  </si>
  <si>
    <t>LOA DATE (Start Date)</t>
  </si>
  <si>
    <t xml:space="preserve"> 16th MAY 2025</t>
  </si>
  <si>
    <t>Transmission Scheme for Evacuation of Power From Ratle HEP (850 MW) &amp; Kiru HEP (624MW): Part-A</t>
  </si>
  <si>
    <t>Name of the Line</t>
  </si>
  <si>
    <t>KM</t>
  </si>
  <si>
    <t>Months</t>
  </si>
  <si>
    <t>Comp Date</t>
  </si>
  <si>
    <t>400 kV Samba- Jalandhar D/C line (Quad)</t>
  </si>
  <si>
    <t>400 kV Kishenpur-Samba D/C line (Quad)</t>
  </si>
  <si>
    <t xml:space="preserve">LILO of 400 kV Kishenpur- Dulhasti line (Twin) at Kishtwar S/s </t>
  </si>
  <si>
    <t>Contract Value (Exc.GST)</t>
  </si>
  <si>
    <t>415 Cr</t>
  </si>
  <si>
    <t>Material</t>
  </si>
  <si>
    <t>BOQ Qty</t>
  </si>
  <si>
    <t>L2 till Mar'26</t>
  </si>
  <si>
    <t>EA</t>
  </si>
  <si>
    <t>L2 Mar'26</t>
  </si>
  <si>
    <t>Completed till Feb'26</t>
  </si>
  <si>
    <t>Progress in Mar'26</t>
  </si>
  <si>
    <t>Cumm L2 till Mar'26</t>
  </si>
  <si>
    <t>Cumm.
Progress till Mar'26</t>
  </si>
  <si>
    <t>Service Portion</t>
  </si>
  <si>
    <t>Supply Portion</t>
  </si>
  <si>
    <t>Supplied
 Qty</t>
  </si>
  <si>
    <t>Balance to Supply</t>
  </si>
  <si>
    <t>6 Gangs</t>
  </si>
  <si>
    <t>1 Gang</t>
  </si>
  <si>
    <t>Paticulars</t>
  </si>
  <si>
    <t>Line Length (KM)</t>
  </si>
  <si>
    <t>Jammu Portion</t>
  </si>
  <si>
    <t>Punjab Portion</t>
  </si>
  <si>
    <t>83 KM</t>
  </si>
  <si>
    <t>90 KM</t>
  </si>
  <si>
    <t>Plain Terrain</t>
  </si>
  <si>
    <t>Hilly Terrain</t>
  </si>
  <si>
    <t>137 KM</t>
  </si>
  <si>
    <t>36 KM</t>
  </si>
  <si>
    <t>LOA
Cr</t>
  </si>
  <si>
    <t>Billed till date
Cr</t>
  </si>
  <si>
    <t>Balance
Cr</t>
  </si>
  <si>
    <t>Unit Rate Schedule for Services</t>
  </si>
  <si>
    <t>ROW Schedule</t>
  </si>
  <si>
    <t>DA+0
1M</t>
  </si>
  <si>
    <t>Sufiyan Ai</t>
  </si>
  <si>
    <t>400 kV D/C Samba - Jalandhar TL</t>
  </si>
  <si>
    <t>LILO-Kisthwar</t>
  </si>
  <si>
    <t>3 Gangs</t>
  </si>
  <si>
    <t>19 Gangs</t>
  </si>
  <si>
    <t>10 Gangs</t>
  </si>
  <si>
    <t>TMT</t>
  </si>
  <si>
    <t>Concreting</t>
  </si>
  <si>
    <t>M3</t>
  </si>
  <si>
    <t>Concreting (M3)</t>
  </si>
  <si>
    <t>Tower Erection(MT)</t>
  </si>
  <si>
    <t>Pawan Sharma-2</t>
  </si>
  <si>
    <t>Bitu Kumar</t>
  </si>
  <si>
    <t>LILO -Kisthwar</t>
  </si>
  <si>
    <t>Due to ROW work hampered at Loc: AP7</t>
  </si>
  <si>
    <t>DB+6
1MRC</t>
  </si>
  <si>
    <t>Pawan Sharma-1</t>
  </si>
  <si>
    <t>Kushboo Devi-2</t>
  </si>
  <si>
    <t>Niva Sarkar Mandal</t>
  </si>
  <si>
    <t>Kushboo Devi-1</t>
  </si>
  <si>
    <t>Vijay Bhagat-1</t>
  </si>
  <si>
    <t>400 kV D/C Samba-Jalandhar TL</t>
  </si>
  <si>
    <t>Gang</t>
  </si>
  <si>
    <t>Gang idle since 4-4-26 at Loc: 40/3 due to ROW</t>
  </si>
  <si>
    <t>Md. Ikrar</t>
  </si>
  <si>
    <t>J-S(Punjab)</t>
  </si>
  <si>
    <t>Loc: 144/4 completed on 5-4-2026 and no work front available due to crop harvesting</t>
  </si>
  <si>
    <t>Loc: 144/3 will be completed on 6-4-2026 and no work front availabl due to crop harvesting</t>
  </si>
  <si>
    <t>Due to ROW work hampered at Loc: AP9</t>
  </si>
  <si>
    <t>AP1</t>
  </si>
  <si>
    <t>Due to ROW at Loc: 40/3 - Work not yet started
Since ROW not cleared as on 7-4-2026 . Loc AP1 allocated to the vendor as replacement</t>
  </si>
  <si>
    <t>400kV D/C Samba-Jalandhar</t>
  </si>
  <si>
    <t>Due to ROW/ Crop Harvesting - Saritha Devi Erection Gang Idle since 08-04-2026 after completion of loc: AP70</t>
  </si>
  <si>
    <t>Aditya.M</t>
  </si>
  <si>
    <t>Stubs - SJ Line</t>
  </si>
  <si>
    <t>Qty as per Approved C/S
Jammu</t>
  </si>
  <si>
    <t>Qty as per Approved C/S
Punjab</t>
  </si>
  <si>
    <t>Total Qty as per approved C/S</t>
  </si>
  <si>
    <t>Material Received
 in Jammu</t>
  </si>
  <si>
    <t>Material Received
 in Punjab</t>
  </si>
  <si>
    <t>Total 
Received</t>
  </si>
  <si>
    <t>STUB(UPTO+9M)</t>
  </si>
  <si>
    <t>1M RC</t>
  </si>
  <si>
    <t>Legs</t>
  </si>
  <si>
    <t>1.5M RC</t>
  </si>
  <si>
    <t>2M RC</t>
  </si>
  <si>
    <t>2.5M RC</t>
  </si>
  <si>
    <t>Qty recived as per approved survey , but due to revison of survey qty became excess</t>
  </si>
  <si>
    <t>3M RC</t>
  </si>
  <si>
    <t>STUB (+18/+25/+30M)</t>
  </si>
  <si>
    <t>4M RC</t>
  </si>
  <si>
    <t>5M RC</t>
  </si>
  <si>
    <t>TOWERS - SJ Line</t>
  </si>
  <si>
    <t>Inspection Completed on 18th Mar'26 and Material under transit</t>
  </si>
  <si>
    <t>DCT</t>
  </si>
  <si>
    <t xml:space="preserve">Stubs - SK Line </t>
  </si>
  <si>
    <t>Qty as per C/S. Approved</t>
  </si>
  <si>
    <t>Material 
Received</t>
  </si>
  <si>
    <t>Leg</t>
  </si>
  <si>
    <t>6M RC</t>
  </si>
  <si>
    <t>8M RC</t>
  </si>
  <si>
    <t>12M RC</t>
  </si>
  <si>
    <t>10M RC</t>
  </si>
  <si>
    <t>9M RC</t>
  </si>
  <si>
    <t>Tower SK Line</t>
  </si>
  <si>
    <t>Material Supplied till date (21st Feb'26)</t>
  </si>
  <si>
    <t>Will be used in JS line</t>
  </si>
  <si>
    <t>-3MLE</t>
  </si>
  <si>
    <t>-1.5MLE</t>
  </si>
  <si>
    <t>+0MLE</t>
  </si>
  <si>
    <t>+1.5MLE</t>
  </si>
  <si>
    <t>+3MLE</t>
  </si>
  <si>
    <t>+4.5MLE</t>
  </si>
  <si>
    <t>+6MLE</t>
  </si>
  <si>
    <t>+7.5MLE</t>
  </si>
  <si>
    <t>+9MLE</t>
  </si>
  <si>
    <t>BOM not available</t>
  </si>
  <si>
    <t>7M RC</t>
  </si>
  <si>
    <t>Line Qty</t>
  </si>
  <si>
    <t>Foundation Completed</t>
  </si>
  <si>
    <t>Tower Erection Completed</t>
  </si>
  <si>
    <t>Tower Erection
WIP</t>
  </si>
  <si>
    <t>Gap between
Foundation &amp; Erection</t>
  </si>
  <si>
    <t>4 locations - ROW Clear
9 Locations - Supply of DD 18/25/30 extensions required
1 locations - Transposition tower supply required
Due to standing crop (wheat) at maximum locations farmers are not allowing for tower erection work . Expected for crop harvesting in next 1 week time</t>
  </si>
  <si>
    <t>10 locations ROW clear - Work front for 5 gangs i.e; 2 loc per gang
2 Locations -supply of DD18/25/30 Extensions required
5 locations -Crop harvesting required
4 locations under ROW</t>
  </si>
  <si>
    <t>8 locations - ROW Clear
27 locations - supply of unequal leg extensions required / DD18/25/30 M extension required
5 locations under ROW</t>
  </si>
  <si>
    <t>Tower Erection Gangs Available at Site</t>
  </si>
  <si>
    <t>DB+6
2MRC</t>
  </si>
  <si>
    <t>Erection Material Shifting Completed at Loc: 114/0 , but due to ROW erection work not started. ROW resolved on 10-4-2026 . After completion of Loc AP85 gang will be engaged at loc</t>
  </si>
  <si>
    <t xml:space="preserve">DB </t>
  </si>
  <si>
    <t>NK Gupta</t>
  </si>
  <si>
    <t>DDM+E0+0</t>
  </si>
  <si>
    <t>DDM+E6+3</t>
  </si>
  <si>
    <t>Bittu</t>
  </si>
  <si>
    <t>Excavation WIP</t>
  </si>
  <si>
    <t>Bhat Const</t>
  </si>
  <si>
    <t>BS Const</t>
  </si>
  <si>
    <t>Tapseer</t>
  </si>
  <si>
    <t>FS(PD)</t>
  </si>
  <si>
    <t>Rumal Singh</t>
  </si>
  <si>
    <t>Bhat Const.</t>
  </si>
  <si>
    <t>KDR Engineering</t>
  </si>
  <si>
    <t>KDR Engg</t>
  </si>
  <si>
    <t>Aman Mansoori</t>
  </si>
  <si>
    <t>AP88A</t>
  </si>
  <si>
    <t>Sub Vendor</t>
  </si>
  <si>
    <t>Balwant Singh-1</t>
  </si>
  <si>
    <t>Balwant Singh-2</t>
  </si>
  <si>
    <t>TCC</t>
  </si>
  <si>
    <t>Pawan Sharma-3</t>
  </si>
  <si>
    <t>Available</t>
  </si>
  <si>
    <t>Samsad</t>
  </si>
  <si>
    <t>Mob Planned by 8th May</t>
  </si>
  <si>
    <t>VR Construction</t>
  </si>
  <si>
    <t>Mob Planned by 6th May</t>
  </si>
  <si>
    <t>Aman Enterprises</t>
  </si>
  <si>
    <t>MS Construction</t>
  </si>
  <si>
    <t>Ramji Structre-1</t>
  </si>
  <si>
    <t>Ramji Structre-2</t>
  </si>
  <si>
    <t>Mob Planned by 5th May</t>
  </si>
  <si>
    <t>Mob Planned by 10th May</t>
  </si>
  <si>
    <t>Kalbushan</t>
  </si>
  <si>
    <t>BS Construction</t>
  </si>
  <si>
    <t>Samba- Jalandhar TL-Jammu</t>
  </si>
  <si>
    <t>Samba- Jalandhar TL-Punjab</t>
  </si>
  <si>
    <t>ASIC Infra</t>
  </si>
  <si>
    <t>Samba- Jalandhar TL- Punjab</t>
  </si>
  <si>
    <t>Vijay B-1</t>
  </si>
  <si>
    <t>ZR Construction-2</t>
  </si>
  <si>
    <t>ZR Construction-1</t>
  </si>
  <si>
    <t>Rakesh -2</t>
  </si>
  <si>
    <t>Rakesh-1</t>
  </si>
  <si>
    <t>Karni Const-1</t>
  </si>
  <si>
    <t>Karni Const-2</t>
  </si>
  <si>
    <t>Samba- Jalandhar TL</t>
  </si>
  <si>
    <t>Jiyaul Hoque</t>
  </si>
  <si>
    <t>Total
Gangs</t>
  </si>
  <si>
    <t>Mob Planned by 3rd May</t>
  </si>
  <si>
    <t>Horil Mahato</t>
  </si>
  <si>
    <t>Jaya Prakash Mahato</t>
  </si>
  <si>
    <t>Mohan Mahato</t>
  </si>
  <si>
    <t>Mob Planned by 7th May</t>
  </si>
  <si>
    <t>Karni Const-3</t>
  </si>
  <si>
    <t>Karni Const-4</t>
  </si>
  <si>
    <t>Additional Gangs</t>
  </si>
  <si>
    <t>Gangs 
Available</t>
  </si>
  <si>
    <t>Planned by 3rd May</t>
  </si>
  <si>
    <t>Planned by 10th May</t>
  </si>
  <si>
    <t>Mobilization Planned</t>
  </si>
  <si>
    <t>DD+25
2M RC</t>
  </si>
  <si>
    <t>Sufiyan Ali-4</t>
  </si>
  <si>
    <t>Adishiv/Thakur Const-1</t>
  </si>
  <si>
    <t>FS(SD)</t>
  </si>
  <si>
    <t xml:space="preserve">DA+3PS SD 1MR </t>
  </si>
  <si>
    <t>DB+9 WET</t>
  </si>
  <si>
    <t>DD+18/25 PS</t>
  </si>
  <si>
    <t>DA+3 FS</t>
  </si>
  <si>
    <t>DA+0 WET</t>
  </si>
  <si>
    <t>DD+0 WET</t>
  </si>
  <si>
    <t>DD+3PS SD 1MRC</t>
  </si>
  <si>
    <t>DD 18/25 PS 2MRC</t>
  </si>
  <si>
    <t>159/1,2,3</t>
  </si>
  <si>
    <t>110/0</t>
  </si>
  <si>
    <t>78/0</t>
  </si>
  <si>
    <t>164/0</t>
  </si>
  <si>
    <t>84/0</t>
  </si>
  <si>
    <t>DA+0PS SD1MRC</t>
  </si>
  <si>
    <t>DA+3PS SD 1MRC</t>
  </si>
  <si>
    <t>Suf</t>
  </si>
  <si>
    <t>Tap</t>
  </si>
  <si>
    <t>KDR</t>
  </si>
  <si>
    <t>Aman Enter</t>
  </si>
  <si>
    <t>Anvi Const</t>
  </si>
  <si>
    <t>FS/FS(SD)</t>
  </si>
  <si>
    <t>Ramji Structure</t>
  </si>
  <si>
    <t>Due to ROW work hampered</t>
  </si>
  <si>
    <t>DD+18
2MRC</t>
  </si>
  <si>
    <t>Sufiyan Ali-5</t>
  </si>
  <si>
    <t>Sufiyan Ali-6</t>
  </si>
  <si>
    <t>Work restart from 16-05-2026</t>
  </si>
  <si>
    <t>RK Singh</t>
  </si>
  <si>
    <t>JRC Contractor</t>
  </si>
  <si>
    <t>Due to ROW work hampered at loc: AP66
Ramesh Kumar Vendor</t>
  </si>
  <si>
    <t>Tariq</t>
  </si>
  <si>
    <t>Balance
to be Supplied</t>
  </si>
  <si>
    <t>Inspection Completd on 18-May-26 &amp; QCN Received</t>
  </si>
  <si>
    <t>Inspection Call
18th May</t>
  </si>
  <si>
    <t>Due to revision in survey , qty became excess</t>
  </si>
  <si>
    <t>Strengthening members supply pending</t>
  </si>
  <si>
    <t>Material
 Received</t>
  </si>
  <si>
    <t>Inspection Call 18th May</t>
  </si>
  <si>
    <t>AP174</t>
  </si>
  <si>
    <t>DD+3
1MRC</t>
  </si>
  <si>
    <t>AP88B</t>
  </si>
  <si>
    <t>Forest</t>
  </si>
  <si>
    <t>Vijay Kumar Bhagat-1</t>
  </si>
  <si>
    <t>AP173</t>
  </si>
  <si>
    <t>AP175</t>
  </si>
  <si>
    <t>DA+9
1.5MRC</t>
  </si>
  <si>
    <t>Due to ROW erection work hampered at loc AP6.
ROW not resolved gang planned to shift to loc: AP21</t>
  </si>
  <si>
    <t>Md. Sharif/Sufiyan Ali</t>
  </si>
  <si>
    <t>PILE FOUNDATION</t>
  </si>
  <si>
    <t>AP141</t>
  </si>
  <si>
    <t>DD+30
5MRC</t>
  </si>
  <si>
    <t>Pile</t>
  </si>
  <si>
    <t>Vinay Constructions</t>
  </si>
  <si>
    <t>Vinay Constructions (Pile)</t>
  </si>
  <si>
    <t>Lalman Mahato</t>
  </si>
  <si>
    <t>Spilce Net</t>
  </si>
  <si>
    <t>Deepak T</t>
  </si>
  <si>
    <t>120 KN Ins</t>
  </si>
  <si>
    <t>160 KN Ins</t>
  </si>
  <si>
    <t>Conductor</t>
  </si>
  <si>
    <t>OPGW</t>
  </si>
  <si>
    <t>HWF</t>
  </si>
  <si>
    <t>GS E/W</t>
  </si>
  <si>
    <t>Ms.Hussain</t>
  </si>
  <si>
    <t>Vercycle</t>
  </si>
  <si>
    <t>Md.Ikrar</t>
  </si>
  <si>
    <t>TR Kotwal</t>
  </si>
  <si>
    <t>Rajput Earth Movers</t>
  </si>
  <si>
    <t>Pit A,C - Casting Completed
Pit D- Casting Completed</t>
  </si>
  <si>
    <t>171/1</t>
  </si>
  <si>
    <t>TR Kothwal</t>
  </si>
  <si>
    <t>AP172</t>
  </si>
  <si>
    <t>180/1</t>
  </si>
  <si>
    <t>TSE/Manual</t>
  </si>
  <si>
    <t>TSE</t>
  </si>
  <si>
    <t>End Date</t>
  </si>
  <si>
    <t xml:space="preserve">RC portion pending </t>
  </si>
  <si>
    <t>RC pending</t>
  </si>
  <si>
    <t>Pawan Sharma</t>
  </si>
  <si>
    <t>Manual</t>
  </si>
  <si>
    <t>Rough Sag</t>
  </si>
  <si>
    <t>Kalbhushan</t>
  </si>
  <si>
    <t>Forest/Non Forest</t>
  </si>
  <si>
    <t>Non Forest</t>
  </si>
  <si>
    <t>AP2</t>
  </si>
  <si>
    <t>Janaual Sekh</t>
  </si>
  <si>
    <t>Final Checking Status</t>
  </si>
  <si>
    <t>AP180</t>
  </si>
  <si>
    <t>Dueto non availabilty of shut down gang idle for 2 days 14/6&amp;15/6</t>
  </si>
  <si>
    <t>Gap with respect to revised L2 - Cummilative till Jun-26</t>
  </si>
  <si>
    <t>Gap with respect to monthly plan for the month June-26</t>
  </si>
  <si>
    <t>Vijay B-2</t>
  </si>
  <si>
    <t>Janual Sheik</t>
  </si>
  <si>
    <t>DD+30
3MRC</t>
  </si>
  <si>
    <t>Stringing- F/S</t>
  </si>
  <si>
    <t>Stringing-F/S</t>
  </si>
  <si>
    <t>Stringing-P/O-R/S</t>
  </si>
  <si>
    <t>Tower Erection 
Completed</t>
  </si>
  <si>
    <t>Final Checking Completed</t>
  </si>
  <si>
    <t>Samba-Jalandhar-Jammu</t>
  </si>
  <si>
    <t>Samba-Jalandhar-Punjab</t>
  </si>
  <si>
    <t>F/S Completed</t>
  </si>
  <si>
    <t>RC Pending</t>
  </si>
  <si>
    <t>Muslehudddin</t>
  </si>
  <si>
    <t>Erection gang idle at Loc: AP36 due to ROW
ROW not resolved</t>
  </si>
  <si>
    <t>AP176</t>
  </si>
  <si>
    <t>DD+30
4M,5M RC</t>
  </si>
  <si>
    <t>Final Checking- 44 Towers done</t>
  </si>
  <si>
    <t>AP178</t>
  </si>
  <si>
    <t>DDM+E40+0</t>
  </si>
  <si>
    <t>Darshan</t>
  </si>
  <si>
    <t>AP4</t>
  </si>
  <si>
    <t>Kajal Const</t>
  </si>
  <si>
    <t>2nd section</t>
  </si>
  <si>
    <t>Pit C- Casting upto 1st part chimney
Pit B- Casting upto frustrum</t>
  </si>
  <si>
    <t>Pit B,C - Excavation</t>
  </si>
  <si>
    <t>Pit D- Excavation</t>
  </si>
  <si>
    <t>Balwant Singh</t>
  </si>
  <si>
    <t>L2 till 
Jul-26</t>
  </si>
  <si>
    <t>Qty Supplied till Jul-26</t>
  </si>
  <si>
    <t>L2 for present Month
(Revised)</t>
  </si>
  <si>
    <t>Gap with respect to revised L2 - Cummilative till Jul-26</t>
  </si>
  <si>
    <t>Gap with respect to monthly plan for the month Jul-26</t>
  </si>
  <si>
    <t>Material Shifting</t>
  </si>
  <si>
    <t>Neelkant</t>
  </si>
  <si>
    <t>Splice Net</t>
  </si>
  <si>
    <t>AP3</t>
  </si>
  <si>
    <t>Prem Latha-1</t>
  </si>
  <si>
    <t>Prem Latha-2</t>
  </si>
  <si>
    <t>Excavation Completed</t>
  </si>
  <si>
    <t>Premlatha-1</t>
  </si>
  <si>
    <t>Premlatha-2</t>
  </si>
  <si>
    <t>Ananyya Traders</t>
  </si>
  <si>
    <t>Anannya Traders</t>
  </si>
  <si>
    <t>R/S Completed</t>
  </si>
  <si>
    <t>Stringing Gang Work hampered due to ROW at section AP18-AP19</t>
  </si>
  <si>
    <t>Erection gang work hampered at Loc: AP52 due to ROW</t>
  </si>
  <si>
    <t>Pit A- Excavation</t>
  </si>
  <si>
    <t>Muslindin gang will be bifurcated into 2 gangs and gang is working on final checking of towers in 46-47 section JS _J</t>
  </si>
  <si>
    <t>1st section</t>
  </si>
  <si>
    <r>
      <t xml:space="preserve">Pit A,B,C- Casting Completed
</t>
    </r>
    <r>
      <rPr>
        <i/>
        <sz val="10"/>
        <color rgb="FFFF0000"/>
        <rFont val="Cambria"/>
        <family val="1"/>
        <scheme val="major"/>
      </rPr>
      <t>Lat pit casting not possible since landowner sowing crop since 10-07-2026</t>
    </r>
  </si>
  <si>
    <t>C11</t>
  </si>
  <si>
    <t>C12</t>
  </si>
  <si>
    <t>C13</t>
  </si>
  <si>
    <t>C14</t>
  </si>
  <si>
    <t>C15</t>
  </si>
  <si>
    <t>D16</t>
  </si>
  <si>
    <t>D17</t>
  </si>
  <si>
    <t>D18</t>
  </si>
  <si>
    <t>D19</t>
  </si>
  <si>
    <t>D20</t>
  </si>
  <si>
    <t>Liner Depth
Mtr</t>
  </si>
  <si>
    <t>Boring Depth
Mtr</t>
  </si>
  <si>
    <t>Pit</t>
  </si>
  <si>
    <t>Pit C</t>
  </si>
  <si>
    <t>Pit D</t>
  </si>
  <si>
    <t>Final Checking-33 Towers done</t>
  </si>
  <si>
    <t>RR wall work WIP since 14/7/26</t>
  </si>
  <si>
    <t>RC works WIP</t>
  </si>
  <si>
    <t>Pit B- Steel Binding</t>
  </si>
  <si>
    <t>Bottom Section</t>
  </si>
  <si>
    <t>Top Phase P/O -R/SCompleted</t>
  </si>
  <si>
    <t>PitA,B,D- Block Level</t>
  </si>
  <si>
    <t>Pit C- Casting upto step box</t>
  </si>
  <si>
    <t>Pit Marking done</t>
  </si>
  <si>
    <t>Concreting Date</t>
  </si>
  <si>
    <t>KDR Engineering-2</t>
  </si>
  <si>
    <t>Pit A,B,D- Casting Completed
Pit C- Excavation</t>
  </si>
  <si>
    <t>1FDN+1PILE</t>
  </si>
  <si>
    <t>Pit A,B,D - Casting upto 1st part chimney
Pit C - Casting upto pyramid</t>
  </si>
  <si>
    <t>Pit Marking</t>
  </si>
  <si>
    <t>Top Phase F/S Completed</t>
  </si>
  <si>
    <t>P/O WIP</t>
  </si>
  <si>
    <t>Body Completed</t>
  </si>
  <si>
    <t>Middle Section</t>
  </si>
  <si>
    <t>Pit A- Casting upto step box
PitD- Casting upto step box
Pit B- Block Level
Pit C - Excavation WIP</t>
  </si>
  <si>
    <t>Pit B,C,D- Excavation</t>
  </si>
  <si>
    <t>Pit B,D - Excavation WIP</t>
  </si>
  <si>
    <t>Pit D- Steel Binding WIP
Pit C- Excavation WIP</t>
  </si>
  <si>
    <t>Pit A-Casting Completed
Pit D- Casting upto frustrum
Pit C- Prop Setting</t>
  </si>
  <si>
    <t>Pit A- Casting upto pyramid
Pit B- Prop Setting</t>
  </si>
  <si>
    <t>Pit A,C,B- Casting Completd
Pit D- Casting upto frustrum</t>
  </si>
  <si>
    <t>Pit B,C,A - Casting Completed
Pit D- Prop Setting</t>
  </si>
  <si>
    <t>Kauleshwar Mahato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</si>
</sst>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3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
      <b/>
      <sz val="10"/>
      <name val="Arial"/>
      <family val="2"/>
    </font>
    <font>
      <b/>
      <sz val="12"/>
      <color rgb="FF000000"/>
      <name val="Cambria"/>
      <family val="1"/>
      <scheme val="major"/>
    </font>
    <font>
      <b/>
      <sz val="12"/>
      <color theme="1"/>
      <name val="Cambria"/>
      <family val="1"/>
      <scheme val="major"/>
    </font>
    <font>
      <i/>
      <sz val="10"/>
      <color theme="1"/>
      <name val="Cambria"/>
      <family val="1"/>
      <scheme val="major"/>
    </font>
    <font>
      <i/>
      <sz val="10"/>
      <color rgb="FFFF0000"/>
      <name val="Cambria"/>
      <family val="1"/>
      <scheme val="major"/>
    </font>
  </fonts>
  <fills count="48">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
      <patternFill patternType="solid">
        <fgColor theme="7"/>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83">
    <xf numFmtId="0" fontId="0" fillId="0" borderId="0"/>
    <xf numFmtId="9" fontId="182" fillId="0" borderId="0" applyFont="0" applyFill="0" applyBorder="0" applyAlignment="0" applyProtection="0"/>
    <xf numFmtId="0" fontId="182" fillId="0" borderId="0"/>
    <xf numFmtId="164" fontId="182" fillId="0" borderId="0"/>
    <xf numFmtId="164" fontId="182" fillId="0" borderId="0"/>
    <xf numFmtId="164" fontId="182" fillId="0" borderId="0"/>
    <xf numFmtId="164" fontId="182" fillId="0" borderId="0"/>
    <xf numFmtId="0" fontId="151" fillId="0" borderId="0"/>
    <xf numFmtId="0" fontId="182" fillId="0" borderId="0"/>
    <xf numFmtId="0" fontId="181" fillId="0" borderId="0" applyProtection="0"/>
    <xf numFmtId="0" fontId="151" fillId="0" borderId="0"/>
    <xf numFmtId="0" fontId="151" fillId="0" borderId="0"/>
    <xf numFmtId="0" fontId="182" fillId="0" borderId="0"/>
    <xf numFmtId="0" fontId="128"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9" fontId="182" fillId="0" borderId="0" applyFont="0" applyFill="0" applyBorder="0" applyAlignment="0" applyProtection="0"/>
    <xf numFmtId="9" fontId="182" fillId="0" borderId="0" applyFont="0" applyFill="0" applyBorder="0" applyAlignment="0" applyProtection="0"/>
    <xf numFmtId="9" fontId="182" fillId="0" borderId="0" applyFont="0" applyFill="0" applyBorder="0" applyAlignment="0" applyProtection="0"/>
    <xf numFmtId="0" fontId="92" fillId="0" borderId="0"/>
    <xf numFmtId="0" fontId="91" fillId="0" borderId="0"/>
    <xf numFmtId="176" fontId="91" fillId="0" borderId="0" applyFont="0" applyFill="0" applyBorder="0" applyAlignment="0" applyProtection="0"/>
    <xf numFmtId="0" fontId="151" fillId="0" borderId="0"/>
    <xf numFmtId="0" fontId="90" fillId="0" borderId="0"/>
    <xf numFmtId="43" fontId="151" fillId="0" borderId="0" applyFont="0" applyFill="0" applyBorder="0" applyAlignment="0" applyProtection="0"/>
    <xf numFmtId="43" fontId="211" fillId="0" borderId="0" applyFont="0" applyFill="0" applyBorder="0" applyAlignment="0" applyProtection="0"/>
    <xf numFmtId="0" fontId="89" fillId="0" borderId="0"/>
    <xf numFmtId="0" fontId="88" fillId="0" borderId="0"/>
    <xf numFmtId="0" fontId="87" fillId="0" borderId="0"/>
    <xf numFmtId="0" fontId="83" fillId="0" borderId="0"/>
    <xf numFmtId="0" fontId="214" fillId="41" borderId="0" applyNumberFormat="0" applyBorder="0" applyAlignment="0" applyProtection="0"/>
    <xf numFmtId="43" fontId="73" fillId="0" borderId="0" applyFont="0" applyFill="0" applyBorder="0" applyAlignment="0" applyProtection="0"/>
    <xf numFmtId="0" fontId="72" fillId="0" borderId="0"/>
    <xf numFmtId="0" fontId="67" fillId="0" borderId="0"/>
    <xf numFmtId="176" fontId="67" fillId="0" borderId="0" applyFont="0" applyFill="0" applyBorder="0" applyAlignment="0" applyProtection="0"/>
    <xf numFmtId="9" fontId="67" fillId="0" borderId="0" applyFont="0" applyFill="0" applyBorder="0" applyAlignment="0" applyProtection="0"/>
    <xf numFmtId="0" fontId="151" fillId="0" borderId="0">
      <alignment vertical="center"/>
    </xf>
    <xf numFmtId="176" fontId="151" fillId="0" borderId="0" applyFont="0" applyFill="0" applyBorder="0" applyAlignment="0" applyProtection="0">
      <alignment vertical="center"/>
    </xf>
    <xf numFmtId="0" fontId="25" fillId="0" borderId="0"/>
    <xf numFmtId="43" fontId="25" fillId="0" borderId="0" applyFont="0" applyFill="0" applyBorder="0" applyAlignment="0" applyProtection="0"/>
    <xf numFmtId="0" fontId="25" fillId="0" borderId="0"/>
    <xf numFmtId="0" fontId="25" fillId="0" borderId="0"/>
    <xf numFmtId="0" fontId="25" fillId="0" borderId="0"/>
    <xf numFmtId="164" fontId="25" fillId="0" borderId="0"/>
    <xf numFmtId="164" fontId="25" fillId="0" borderId="0"/>
    <xf numFmtId="164" fontId="25" fillId="0" borderId="0"/>
    <xf numFmtId="164"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25" fillId="0" borderId="0"/>
    <xf numFmtId="0" fontId="25" fillId="0" borderId="0"/>
    <xf numFmtId="176" fontId="25"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43" fontId="25" fillId="0" borderId="0" applyFont="0" applyFill="0" applyBorder="0" applyAlignment="0" applyProtection="0"/>
    <xf numFmtId="0" fontId="25" fillId="0" borderId="0"/>
    <xf numFmtId="0" fontId="25" fillId="0" borderId="0"/>
    <xf numFmtId="176" fontId="25" fillId="0" borderId="0" applyFont="0" applyFill="0" applyBorder="0" applyAlignment="0" applyProtection="0"/>
    <xf numFmtId="9" fontId="25" fillId="0" borderId="0" applyFont="0" applyFill="0" applyBorder="0" applyAlignment="0" applyProtection="0"/>
    <xf numFmtId="0" fontId="151" fillId="0" borderId="0">
      <alignment vertical="center"/>
    </xf>
    <xf numFmtId="0" fontId="14" fillId="0" borderId="0"/>
  </cellStyleXfs>
  <cellXfs count="1731">
    <xf numFmtId="0" fontId="0" fillId="0" borderId="0" xfId="0"/>
    <xf numFmtId="0" fontId="116" fillId="0" borderId="0" xfId="0" applyFont="1"/>
    <xf numFmtId="0" fontId="0" fillId="0" borderId="0" xfId="0" applyAlignment="1">
      <alignment horizontal="center"/>
    </xf>
    <xf numFmtId="0" fontId="123" fillId="2" borderId="0" xfId="18" applyFont="1" applyFill="1" applyAlignment="1">
      <alignment horizontal="center" vertical="center" wrapText="1"/>
    </xf>
    <xf numFmtId="0" fontId="123" fillId="2" borderId="0" xfId="18" applyFont="1" applyFill="1" applyAlignment="1">
      <alignment horizontal="center" vertical="center"/>
    </xf>
    <xf numFmtId="0" fontId="116" fillId="2" borderId="8" xfId="0" applyFont="1" applyFill="1" applyBorder="1" applyAlignment="1">
      <alignment horizontal="center" vertical="center"/>
    </xf>
    <xf numFmtId="0" fontId="123" fillId="2" borderId="0" xfId="18" applyFont="1" applyFill="1"/>
    <xf numFmtId="0" fontId="124" fillId="2" borderId="0" xfId="18" applyFont="1" applyFill="1" applyAlignment="1">
      <alignment horizontal="center"/>
    </xf>
    <xf numFmtId="0" fontId="123" fillId="2" borderId="0" xfId="18" applyFont="1" applyFill="1" applyAlignment="1">
      <alignment horizontal="center"/>
    </xf>
    <xf numFmtId="0" fontId="125" fillId="0" borderId="8" xfId="0" applyFont="1" applyBorder="1" applyAlignment="1">
      <alignment horizontal="center"/>
    </xf>
    <xf numFmtId="0" fontId="125" fillId="0" borderId="8" xfId="0" applyFont="1" applyBorder="1" applyAlignment="1">
      <alignment horizontal="center" vertical="center"/>
    </xf>
    <xf numFmtId="2" fontId="125"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116" fillId="0" borderId="8" xfId="0" applyFont="1" applyBorder="1" applyAlignment="1">
      <alignment horizontal="center"/>
    </xf>
    <xf numFmtId="0" fontId="123" fillId="2" borderId="0" xfId="0" applyFont="1" applyFill="1" applyAlignment="1">
      <alignment horizontal="center" vertical="center"/>
    </xf>
    <xf numFmtId="0" fontId="123" fillId="2" borderId="8" xfId="0" applyFont="1" applyFill="1" applyBorder="1" applyAlignment="1">
      <alignment horizontal="center" vertical="center"/>
    </xf>
    <xf numFmtId="0" fontId="127" fillId="8" borderId="8" xfId="13" applyFont="1" applyFill="1" applyBorder="1" applyAlignment="1">
      <alignment horizontal="center" vertical="top" wrapText="1"/>
    </xf>
    <xf numFmtId="1" fontId="129" fillId="0" borderId="8" xfId="13" applyNumberFormat="1" applyFont="1" applyBorder="1" applyAlignment="1">
      <alignment horizontal="center" vertical="top" shrinkToFit="1"/>
    </xf>
    <xf numFmtId="0" fontId="127" fillId="0" borderId="8" xfId="13" applyFont="1" applyBorder="1" applyAlignment="1">
      <alignment horizontal="center" vertical="top" wrapText="1"/>
    </xf>
    <xf numFmtId="0" fontId="127" fillId="6" borderId="8" xfId="13" applyFont="1" applyFill="1" applyBorder="1" applyAlignment="1">
      <alignment horizontal="center" vertical="top" wrapText="1"/>
    </xf>
    <xf numFmtId="0" fontId="128" fillId="0" borderId="8" xfId="13" applyBorder="1" applyAlignment="1">
      <alignment horizontal="left" wrapText="1"/>
    </xf>
    <xf numFmtId="0" fontId="0" fillId="6" borderId="8" xfId="0" applyFill="1" applyBorder="1"/>
    <xf numFmtId="0" fontId="123" fillId="0" borderId="0" xfId="18" applyFont="1" applyAlignment="1">
      <alignment horizontal="center" vertical="center" wrapText="1"/>
    </xf>
    <xf numFmtId="0" fontId="0" fillId="0" borderId="7" xfId="0" applyBorder="1" applyAlignment="1">
      <alignment horizontal="center"/>
    </xf>
    <xf numFmtId="0" fontId="125" fillId="0" borderId="38" xfId="0" applyFont="1" applyBorder="1" applyAlignment="1">
      <alignment horizontal="center" vertical="center"/>
    </xf>
    <xf numFmtId="0" fontId="125" fillId="0" borderId="16" xfId="0" applyFont="1" applyBorder="1" applyAlignment="1">
      <alignment horizontal="center" vertical="center"/>
    </xf>
    <xf numFmtId="0" fontId="125" fillId="6" borderId="39" xfId="0" applyFont="1" applyFill="1" applyBorder="1" applyAlignment="1">
      <alignment horizontal="center" vertical="center"/>
    </xf>
    <xf numFmtId="0" fontId="125" fillId="6" borderId="28" xfId="0" applyFont="1" applyFill="1" applyBorder="1" applyAlignment="1">
      <alignment horizontal="left" vertical="center"/>
    </xf>
    <xf numFmtId="0" fontId="0" fillId="6" borderId="40" xfId="0" applyFill="1" applyBorder="1" applyAlignment="1">
      <alignment horizontal="center" vertical="center"/>
    </xf>
    <xf numFmtId="0" fontId="126"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30" fillId="0" borderId="41" xfId="0" applyFont="1" applyBorder="1" applyAlignment="1">
      <alignment vertical="center" wrapText="1"/>
    </xf>
    <xf numFmtId="14" fontId="131"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31" fillId="0" borderId="7" xfId="0" applyNumberFormat="1" applyFont="1" applyBorder="1" applyAlignment="1">
      <alignment horizontal="center" vertical="center" wrapText="1"/>
    </xf>
    <xf numFmtId="0" fontId="130" fillId="12" borderId="41" xfId="0" applyFont="1" applyFill="1" applyBorder="1" applyAlignment="1">
      <alignment vertical="center" wrapText="1"/>
    </xf>
    <xf numFmtId="0" fontId="125" fillId="6" borderId="35" xfId="0" applyFont="1" applyFill="1" applyBorder="1" applyAlignment="1">
      <alignment horizontal="center" vertical="center"/>
    </xf>
    <xf numFmtId="0" fontId="125"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26"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26"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32" fillId="12" borderId="19" xfId="0" applyFont="1" applyFill="1" applyBorder="1" applyAlignment="1">
      <alignment vertical="center" wrapText="1"/>
    </xf>
    <xf numFmtId="14" fontId="0" fillId="0" borderId="7" xfId="0" applyNumberFormat="1" applyBorder="1" applyAlignment="1">
      <alignment horizontal="center" vertical="center"/>
    </xf>
    <xf numFmtId="0" fontId="126" fillId="6" borderId="36" xfId="0" applyFont="1" applyFill="1" applyBorder="1" applyAlignment="1">
      <alignment horizontal="center" vertical="center"/>
    </xf>
    <xf numFmtId="0" fontId="126"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26" fillId="0" borderId="16" xfId="0" applyFont="1" applyBorder="1" applyAlignment="1">
      <alignment horizontal="center" vertical="center"/>
    </xf>
    <xf numFmtId="0" fontId="117" fillId="13" borderId="10" xfId="0" applyFont="1" applyFill="1" applyBorder="1" applyAlignment="1">
      <alignment horizontal="center" vertical="center"/>
    </xf>
    <xf numFmtId="0" fontId="125" fillId="13" borderId="32" xfId="0" applyFont="1" applyFill="1" applyBorder="1" applyAlignment="1">
      <alignment horizontal="center" vertical="center"/>
    </xf>
    <xf numFmtId="0" fontId="125"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31" fillId="0" borderId="19" xfId="0" applyFont="1" applyBorder="1" applyAlignment="1">
      <alignment vertical="center" wrapText="1"/>
    </xf>
    <xf numFmtId="0" fontId="131"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33" fillId="0" borderId="37" xfId="0" applyFont="1" applyBorder="1" applyAlignment="1">
      <alignment horizontal="center" vertical="center"/>
    </xf>
    <xf numFmtId="0" fontId="133"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33" fillId="0" borderId="38" xfId="0" applyFont="1" applyBorder="1" applyAlignment="1">
      <alignment horizontal="center" vertical="center"/>
    </xf>
    <xf numFmtId="0" fontId="133"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33" fillId="0" borderId="30" xfId="0" applyFont="1" applyBorder="1" applyAlignment="1">
      <alignment horizontal="center" vertical="center"/>
    </xf>
    <xf numFmtId="0" fontId="133" fillId="0" borderId="8" xfId="0" applyFont="1" applyBorder="1" applyAlignment="1">
      <alignment horizontal="center" vertical="center"/>
    </xf>
    <xf numFmtId="14" fontId="133"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33" fillId="0" borderId="42" xfId="0" applyFont="1" applyBorder="1" applyAlignment="1">
      <alignment horizontal="center" vertical="center"/>
    </xf>
    <xf numFmtId="0" fontId="133" fillId="0" borderId="7" xfId="0" applyFont="1" applyBorder="1" applyAlignment="1">
      <alignment horizontal="center" vertical="center"/>
    </xf>
    <xf numFmtId="0" fontId="0" fillId="0" borderId="30" xfId="0" applyBorder="1"/>
    <xf numFmtId="14" fontId="133"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34" fillId="0" borderId="0" xfId="0" applyFont="1" applyAlignment="1">
      <alignment horizontal="center" vertical="center"/>
    </xf>
    <xf numFmtId="0" fontId="134" fillId="0" borderId="3" xfId="0" applyFont="1" applyBorder="1"/>
    <xf numFmtId="0" fontId="134" fillId="0" borderId="0" xfId="0" applyFont="1"/>
    <xf numFmtId="0" fontId="118" fillId="0" borderId="0" xfId="0" applyFont="1" applyAlignment="1">
      <alignment horizontal="left"/>
    </xf>
    <xf numFmtId="0" fontId="118" fillId="15" borderId="8" xfId="0" applyFont="1" applyFill="1" applyBorder="1" applyAlignment="1">
      <alignment horizontal="center" vertical="center" wrapText="1"/>
    </xf>
    <xf numFmtId="0" fontId="118" fillId="15" borderId="8" xfId="0" applyFont="1" applyFill="1" applyBorder="1" applyAlignment="1">
      <alignment vertical="center" wrapText="1"/>
    </xf>
    <xf numFmtId="0" fontId="134" fillId="0" borderId="8" xfId="0" applyFont="1" applyBorder="1" applyAlignment="1">
      <alignment horizontal="center"/>
    </xf>
    <xf numFmtId="16" fontId="0" fillId="16" borderId="8" xfId="0" applyNumberFormat="1" applyFill="1" applyBorder="1" applyAlignment="1">
      <alignment horizontal="center"/>
    </xf>
    <xf numFmtId="16" fontId="134" fillId="16" borderId="8" xfId="0" applyNumberFormat="1" applyFont="1" applyFill="1" applyBorder="1" applyAlignment="1">
      <alignment horizontal="center"/>
    </xf>
    <xf numFmtId="166" fontId="0" fillId="0" borderId="8" xfId="0" applyNumberFormat="1" applyBorder="1" applyAlignment="1">
      <alignment horizontal="center"/>
    </xf>
    <xf numFmtId="166" fontId="134" fillId="0" borderId="8" xfId="0" applyNumberFormat="1" applyFont="1" applyBorder="1" applyAlignment="1">
      <alignment horizontal="center"/>
    </xf>
    <xf numFmtId="0" fontId="0" fillId="5" borderId="8" xfId="0" applyFill="1" applyBorder="1" applyAlignment="1">
      <alignment horizontal="center"/>
    </xf>
    <xf numFmtId="0" fontId="134" fillId="5" borderId="8" xfId="0" applyFont="1" applyFill="1" applyBorder="1" applyAlignment="1">
      <alignment horizontal="center"/>
    </xf>
    <xf numFmtId="16" fontId="134" fillId="17" borderId="8" xfId="0" applyNumberFormat="1" applyFont="1" applyFill="1" applyBorder="1" applyAlignment="1">
      <alignment horizontal="center"/>
    </xf>
    <xf numFmtId="0" fontId="134" fillId="0" borderId="8" xfId="0" applyFont="1" applyBorder="1"/>
    <xf numFmtId="0" fontId="135" fillId="0" borderId="0" xfId="0" applyFont="1"/>
    <xf numFmtId="1" fontId="122" fillId="0" borderId="8" xfId="10" applyNumberFormat="1" applyFont="1" applyBorder="1" applyAlignment="1">
      <alignment horizontal="center" vertical="center" wrapText="1"/>
    </xf>
    <xf numFmtId="167" fontId="122" fillId="0" borderId="8" xfId="10" applyNumberFormat="1" applyFont="1" applyBorder="1" applyAlignment="1">
      <alignment horizontal="center" vertical="center" wrapText="1"/>
    </xf>
    <xf numFmtId="168" fontId="122" fillId="0" borderId="8" xfId="10" applyNumberFormat="1" applyFont="1" applyBorder="1" applyAlignment="1">
      <alignment horizontal="center" vertical="center" wrapText="1"/>
    </xf>
    <xf numFmtId="0" fontId="136" fillId="0" borderId="8" xfId="10" applyFont="1" applyBorder="1" applyAlignment="1">
      <alignment horizontal="center" vertical="center" wrapText="1"/>
    </xf>
    <xf numFmtId="0" fontId="122" fillId="5" borderId="8" xfId="10" applyFont="1" applyFill="1" applyBorder="1" applyAlignment="1">
      <alignment horizontal="center" vertical="center"/>
    </xf>
    <xf numFmtId="168" fontId="122" fillId="0" borderId="8" xfId="10" applyNumberFormat="1" applyFont="1" applyBorder="1" applyAlignment="1">
      <alignment horizontal="center" vertical="center"/>
    </xf>
    <xf numFmtId="0" fontId="122" fillId="0" borderId="8" xfId="10" applyFont="1" applyBorder="1" applyAlignment="1">
      <alignment horizontal="center" vertical="center"/>
    </xf>
    <xf numFmtId="0" fontId="122" fillId="2" borderId="8" xfId="10" applyFont="1" applyFill="1" applyBorder="1" applyAlignment="1">
      <alignment horizontal="center" vertical="center"/>
    </xf>
    <xf numFmtId="0" fontId="122" fillId="5" borderId="44" xfId="10" applyFont="1" applyFill="1" applyBorder="1" applyAlignment="1">
      <alignment horizontal="center" vertical="center"/>
    </xf>
    <xf numFmtId="0" fontId="122"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23" fillId="2" borderId="8" xfId="18" applyFont="1" applyFill="1" applyBorder="1" applyAlignment="1">
      <alignment horizontal="center"/>
    </xf>
    <xf numFmtId="0" fontId="0" fillId="6" borderId="7" xfId="0" applyFill="1" applyBorder="1" applyAlignment="1">
      <alignment horizontal="center"/>
    </xf>
    <xf numFmtId="0" fontId="123" fillId="2" borderId="8" xfId="18" applyFont="1" applyFill="1" applyBorder="1" applyAlignment="1">
      <alignment horizontal="center" vertical="center"/>
    </xf>
    <xf numFmtId="0" fontId="0" fillId="5" borderId="8" xfId="0" applyFill="1" applyBorder="1" applyAlignment="1">
      <alignment horizontal="center" vertical="center"/>
    </xf>
    <xf numFmtId="167" fontId="122" fillId="6" borderId="15" xfId="10" applyNumberFormat="1" applyFont="1" applyFill="1" applyBorder="1" applyAlignment="1">
      <alignment horizontal="center" vertical="center" wrapText="1"/>
    </xf>
    <xf numFmtId="167" fontId="122" fillId="6" borderId="8" xfId="10" applyNumberFormat="1" applyFont="1" applyFill="1" applyBorder="1" applyAlignment="1">
      <alignment horizontal="center" vertical="center" wrapText="1"/>
    </xf>
    <xf numFmtId="168" fontId="122" fillId="6" borderId="8" xfId="10" applyNumberFormat="1" applyFont="1" applyFill="1" applyBorder="1" applyAlignment="1">
      <alignment horizontal="center" vertical="center"/>
    </xf>
    <xf numFmtId="168" fontId="122" fillId="6" borderId="15" xfId="10" applyNumberFormat="1" applyFont="1" applyFill="1" applyBorder="1" applyAlignment="1">
      <alignment horizontal="center" vertical="center"/>
    </xf>
    <xf numFmtId="0" fontId="122" fillId="6" borderId="15" xfId="10" applyFont="1" applyFill="1" applyBorder="1" applyAlignment="1">
      <alignment horizontal="center" vertical="center"/>
    </xf>
    <xf numFmtId="1" fontId="137" fillId="0" borderId="8" xfId="10" applyNumberFormat="1" applyFont="1" applyBorder="1" applyAlignment="1">
      <alignment horizontal="center" vertical="center" wrapText="1"/>
    </xf>
    <xf numFmtId="0" fontId="137" fillId="0" borderId="8" xfId="10" applyFont="1" applyBorder="1" applyAlignment="1">
      <alignment horizontal="center" vertical="center"/>
    </xf>
    <xf numFmtId="167" fontId="137" fillId="0" borderId="8" xfId="10" applyNumberFormat="1" applyFont="1" applyBorder="1" applyAlignment="1">
      <alignment horizontal="center" vertical="center" wrapText="1"/>
    </xf>
    <xf numFmtId="168" fontId="137" fillId="0" borderId="8" xfId="10" applyNumberFormat="1" applyFont="1" applyBorder="1" applyAlignment="1">
      <alignment horizontal="center" vertical="center"/>
    </xf>
    <xf numFmtId="0" fontId="136" fillId="6" borderId="8" xfId="10" applyFont="1" applyFill="1" applyBorder="1" applyAlignment="1">
      <alignment horizontal="center" vertical="center" wrapText="1"/>
    </xf>
    <xf numFmtId="0" fontId="122" fillId="6" borderId="8" xfId="10" applyFont="1" applyFill="1" applyBorder="1" applyAlignment="1">
      <alignment horizontal="center" vertical="center"/>
    </xf>
    <xf numFmtId="0" fontId="122" fillId="0" borderId="44" xfId="10" applyFont="1" applyBorder="1" applyAlignment="1">
      <alignment horizontal="center" vertical="center"/>
    </xf>
    <xf numFmtId="0" fontId="137" fillId="0" borderId="8" xfId="10" applyFont="1" applyBorder="1" applyAlignment="1">
      <alignment horizontal="center" vertical="center" wrapText="1"/>
    </xf>
    <xf numFmtId="49" fontId="122" fillId="0" borderId="8" xfId="10" applyNumberFormat="1" applyFont="1" applyBorder="1" applyAlignment="1">
      <alignment horizontal="center" vertical="center" wrapText="1"/>
    </xf>
    <xf numFmtId="49" fontId="122" fillId="0" borderId="8" xfId="10" applyNumberFormat="1" applyFont="1" applyBorder="1" applyAlignment="1">
      <alignment horizontal="center" vertical="center"/>
    </xf>
    <xf numFmtId="0" fontId="136" fillId="0" borderId="0" xfId="10" applyFont="1" applyAlignment="1">
      <alignment vertical="center" wrapText="1"/>
    </xf>
    <xf numFmtId="0" fontId="122" fillId="0" borderId="0" xfId="10" applyFont="1" applyAlignment="1">
      <alignment vertical="center"/>
    </xf>
    <xf numFmtId="168" fontId="122" fillId="0" borderId="0" xfId="10" applyNumberFormat="1" applyFont="1" applyAlignment="1">
      <alignment horizontal="center" vertical="center"/>
    </xf>
    <xf numFmtId="0" fontId="122" fillId="0" borderId="0" xfId="10" applyFont="1" applyAlignment="1">
      <alignment horizontal="center" vertical="center"/>
    </xf>
    <xf numFmtId="0" fontId="121" fillId="0" borderId="0" xfId="10" applyFont="1" applyAlignment="1">
      <alignment horizontal="left" vertical="center"/>
    </xf>
    <xf numFmtId="0" fontId="121" fillId="0" borderId="0" xfId="10" applyFont="1" applyAlignment="1">
      <alignment vertical="center"/>
    </xf>
    <xf numFmtId="0" fontId="138" fillId="0" borderId="0" xfId="10" applyFont="1" applyAlignment="1">
      <alignment vertical="center"/>
    </xf>
    <xf numFmtId="168" fontId="138" fillId="0" borderId="0" xfId="10" applyNumberFormat="1" applyFont="1" applyAlignment="1">
      <alignment horizontal="center" vertical="center"/>
    </xf>
    <xf numFmtId="0" fontId="138" fillId="0" borderId="0" xfId="10" applyFont="1" applyAlignment="1">
      <alignment horizontal="center" vertical="center"/>
    </xf>
    <xf numFmtId="0" fontId="119" fillId="0" borderId="0" xfId="10" applyFont="1" applyAlignment="1">
      <alignment vertical="center"/>
    </xf>
    <xf numFmtId="0" fontId="119" fillId="0" borderId="0" xfId="10" applyFont="1" applyAlignment="1">
      <alignment horizontal="left" vertical="center"/>
    </xf>
    <xf numFmtId="0" fontId="119" fillId="0" borderId="0" xfId="10" applyFont="1" applyAlignment="1">
      <alignment horizontal="left" vertical="center" wrapText="1"/>
    </xf>
    <xf numFmtId="168" fontId="119" fillId="0" borderId="0" xfId="10" applyNumberFormat="1" applyFont="1" applyAlignment="1">
      <alignment horizontal="center" vertical="center" wrapText="1"/>
    </xf>
    <xf numFmtId="0" fontId="119" fillId="0" borderId="0" xfId="10" applyFont="1" applyAlignment="1">
      <alignment horizontal="center" vertical="center" wrapText="1"/>
    </xf>
    <xf numFmtId="0" fontId="139" fillId="0" borderId="0" xfId="10" applyFont="1" applyAlignment="1">
      <alignment vertical="center"/>
    </xf>
    <xf numFmtId="168" fontId="139" fillId="0" borderId="0" xfId="10" applyNumberFormat="1" applyFont="1" applyAlignment="1">
      <alignment horizontal="center" vertical="center"/>
    </xf>
    <xf numFmtId="0" fontId="139" fillId="0" borderId="0" xfId="10" applyFont="1" applyAlignment="1">
      <alignment horizontal="center" vertical="center"/>
    </xf>
    <xf numFmtId="0" fontId="122" fillId="0" borderId="8" xfId="10" applyFont="1" applyBorder="1" applyAlignment="1">
      <alignment vertical="center"/>
    </xf>
    <xf numFmtId="0" fontId="123" fillId="0" borderId="8" xfId="18" applyFont="1" applyBorder="1" applyAlignment="1">
      <alignment horizontal="center"/>
    </xf>
    <xf numFmtId="0" fontId="122" fillId="5" borderId="7" xfId="10" applyFont="1" applyFill="1" applyBorder="1" applyAlignment="1">
      <alignment horizontal="center" vertical="center"/>
    </xf>
    <xf numFmtId="0" fontId="123" fillId="2" borderId="7" xfId="18" applyFont="1" applyFill="1" applyBorder="1" applyAlignment="1">
      <alignment horizontal="center"/>
    </xf>
    <xf numFmtId="166" fontId="122" fillId="0" borderId="0" xfId="10" applyNumberFormat="1" applyFont="1" applyAlignment="1">
      <alignment vertical="center"/>
    </xf>
    <xf numFmtId="0" fontId="123" fillId="6" borderId="8" xfId="18" applyFont="1" applyFill="1" applyBorder="1" applyAlignment="1">
      <alignment horizontal="center" vertical="center"/>
    </xf>
    <xf numFmtId="0" fontId="122" fillId="0" borderId="7" xfId="10" applyFont="1" applyBorder="1" applyAlignment="1">
      <alignment vertical="center"/>
    </xf>
    <xf numFmtId="0" fontId="122" fillId="0" borderId="12" xfId="10" applyFont="1" applyBorder="1" applyAlignment="1">
      <alignment horizontal="center" vertical="center"/>
    </xf>
    <xf numFmtId="17" fontId="122" fillId="6" borderId="8" xfId="10" applyNumberFormat="1" applyFont="1" applyFill="1" applyBorder="1" applyAlignment="1">
      <alignment horizontal="center" vertical="center"/>
    </xf>
    <xf numFmtId="1" fontId="122" fillId="0" borderId="7" xfId="10" applyNumberFormat="1" applyFont="1" applyBorder="1" applyAlignment="1">
      <alignment horizontal="center" vertical="center" wrapText="1"/>
    </xf>
    <xf numFmtId="168" fontId="122" fillId="0" borderId="7" xfId="10" applyNumberFormat="1" applyFont="1" applyBorder="1" applyAlignment="1">
      <alignment horizontal="center" vertical="center"/>
    </xf>
    <xf numFmtId="166" fontId="136" fillId="0" borderId="8" xfId="10" applyNumberFormat="1" applyFont="1" applyBorder="1" applyAlignment="1">
      <alignment horizontal="center" vertical="center"/>
    </xf>
    <xf numFmtId="0" fontId="136" fillId="5" borderId="8" xfId="10" applyFont="1" applyFill="1" applyBorder="1" applyAlignment="1">
      <alignment horizontal="center" vertical="center" wrapText="1"/>
    </xf>
    <xf numFmtId="17" fontId="122" fillId="6" borderId="7" xfId="10" applyNumberFormat="1" applyFont="1" applyFill="1" applyBorder="1" applyAlignment="1">
      <alignment horizontal="center" vertical="center" wrapText="1"/>
    </xf>
    <xf numFmtId="168" fontId="122" fillId="2" borderId="8" xfId="10" applyNumberFormat="1" applyFont="1" applyFill="1" applyBorder="1" applyAlignment="1">
      <alignment horizontal="center" vertical="center"/>
    </xf>
    <xf numFmtId="0" fontId="123" fillId="6" borderId="8" xfId="0" applyFont="1" applyFill="1" applyBorder="1" applyAlignment="1">
      <alignment horizontal="center" vertical="center"/>
    </xf>
    <xf numFmtId="0" fontId="123" fillId="6" borderId="0" xfId="0" applyFont="1" applyFill="1" applyAlignment="1">
      <alignment horizontal="center" vertical="center"/>
    </xf>
    <xf numFmtId="0" fontId="122" fillId="18" borderId="8" xfId="10" applyFont="1" applyFill="1" applyBorder="1" applyAlignment="1">
      <alignment horizontal="center" vertical="center"/>
    </xf>
    <xf numFmtId="0" fontId="122" fillId="6" borderId="7" xfId="10" applyFont="1" applyFill="1" applyBorder="1" applyAlignment="1">
      <alignment horizontal="center" vertical="center"/>
    </xf>
    <xf numFmtId="0" fontId="122" fillId="4" borderId="8" xfId="10" applyFont="1" applyFill="1" applyBorder="1" applyAlignment="1">
      <alignment horizontal="center" vertical="center"/>
    </xf>
    <xf numFmtId="0" fontId="122" fillId="4" borderId="8" xfId="10" applyFont="1" applyFill="1" applyBorder="1" applyAlignment="1">
      <alignment vertical="center" wrapText="1"/>
    </xf>
    <xf numFmtId="168" fontId="122" fillId="19" borderId="8" xfId="10" applyNumberFormat="1" applyFont="1" applyFill="1" applyBorder="1" applyAlignment="1">
      <alignment horizontal="center" vertical="center"/>
    </xf>
    <xf numFmtId="0" fontId="122" fillId="0" borderId="11" xfId="10" applyFont="1" applyBorder="1" applyAlignment="1">
      <alignment horizontal="center" vertical="center"/>
    </xf>
    <xf numFmtId="0" fontId="122" fillId="6" borderId="0" xfId="10" applyFont="1" applyFill="1" applyAlignment="1">
      <alignment horizontal="center" vertical="center"/>
    </xf>
    <xf numFmtId="0" fontId="136" fillId="0" borderId="7" xfId="10" applyFont="1" applyBorder="1" applyAlignment="1">
      <alignment horizontal="center" vertical="center" wrapText="1"/>
    </xf>
    <xf numFmtId="0" fontId="122" fillId="0" borderId="32" xfId="10" applyFont="1" applyBorder="1" applyAlignment="1">
      <alignment vertical="center"/>
    </xf>
    <xf numFmtId="0" fontId="122" fillId="20" borderId="8" xfId="10" applyFont="1" applyFill="1" applyBorder="1" applyAlignment="1">
      <alignment horizontal="center" vertical="center"/>
    </xf>
    <xf numFmtId="16" fontId="122" fillId="6" borderId="8" xfId="10" applyNumberFormat="1" applyFont="1" applyFill="1" applyBorder="1" applyAlignment="1">
      <alignment horizontal="center" vertical="center"/>
    </xf>
    <xf numFmtId="0" fontId="122" fillId="5" borderId="0" xfId="10" applyFont="1" applyFill="1" applyAlignment="1">
      <alignment horizontal="center" vertical="center"/>
    </xf>
    <xf numFmtId="0" fontId="122" fillId="0" borderId="11" xfId="10" applyFont="1" applyBorder="1" applyAlignment="1">
      <alignment vertical="center"/>
    </xf>
    <xf numFmtId="0" fontId="122" fillId="0" borderId="12" xfId="10" applyFont="1" applyBorder="1" applyAlignment="1">
      <alignment vertical="center"/>
    </xf>
    <xf numFmtId="0" fontId="122" fillId="0" borderId="15" xfId="10" applyFont="1" applyBorder="1" applyAlignment="1">
      <alignment vertical="center"/>
    </xf>
    <xf numFmtId="16" fontId="122" fillId="6" borderId="0" xfId="10" applyNumberFormat="1" applyFont="1" applyFill="1" applyAlignment="1">
      <alignment vertical="center"/>
    </xf>
    <xf numFmtId="0" fontId="122" fillId="2" borderId="0" xfId="10" applyFont="1" applyFill="1" applyAlignment="1">
      <alignment vertical="center"/>
    </xf>
    <xf numFmtId="0" fontId="122" fillId="0" borderId="15" xfId="10" applyFont="1" applyBorder="1" applyAlignment="1">
      <alignment horizontal="center" vertical="center"/>
    </xf>
    <xf numFmtId="0" fontId="137" fillId="0" borderId="0" xfId="10" applyFont="1" applyAlignment="1">
      <alignment vertical="center"/>
    </xf>
    <xf numFmtId="168" fontId="122" fillId="0" borderId="15" xfId="10" applyNumberFormat="1" applyFont="1" applyBorder="1" applyAlignment="1">
      <alignment horizontal="center" vertical="center"/>
    </xf>
    <xf numFmtId="0" fontId="122" fillId="2" borderId="7" xfId="10" applyFont="1" applyFill="1" applyBorder="1" applyAlignment="1">
      <alignment horizontal="center" vertical="center"/>
    </xf>
    <xf numFmtId="0" fontId="140" fillId="2" borderId="0" xfId="10" applyFont="1" applyFill="1" applyAlignment="1">
      <alignment vertical="center"/>
    </xf>
    <xf numFmtId="0" fontId="140" fillId="0" borderId="0" xfId="10" applyFont="1" applyAlignment="1">
      <alignment vertical="center"/>
    </xf>
    <xf numFmtId="17" fontId="122" fillId="6" borderId="7" xfId="10" applyNumberFormat="1" applyFont="1" applyFill="1" applyBorder="1" applyAlignment="1">
      <alignment horizontal="center" vertical="center"/>
    </xf>
    <xf numFmtId="0" fontId="122" fillId="21" borderId="8" xfId="0" applyFont="1" applyFill="1" applyBorder="1" applyAlignment="1">
      <alignment horizontal="center" vertical="center"/>
    </xf>
    <xf numFmtId="0" fontId="122" fillId="0" borderId="8" xfId="0" applyFont="1" applyBorder="1" applyAlignment="1">
      <alignment horizontal="center" vertical="center"/>
    </xf>
    <xf numFmtId="0" fontId="119" fillId="0" borderId="8" xfId="10" applyFont="1" applyBorder="1" applyAlignment="1">
      <alignment horizontal="center" vertical="center"/>
    </xf>
    <xf numFmtId="0" fontId="141" fillId="22" borderId="8" xfId="0" applyFont="1" applyFill="1" applyBorder="1" applyAlignment="1">
      <alignment horizontal="center" vertical="center"/>
    </xf>
    <xf numFmtId="0" fontId="126" fillId="0" borderId="8" xfId="10" applyFont="1" applyBorder="1" applyAlignment="1">
      <alignment horizontal="center" vertical="center"/>
    </xf>
    <xf numFmtId="168" fontId="126" fillId="0" borderId="8" xfId="10" applyNumberFormat="1" applyFont="1" applyBorder="1" applyAlignment="1">
      <alignment horizontal="center" vertical="center"/>
    </xf>
    <xf numFmtId="168" fontId="126" fillId="0" borderId="0" xfId="10" applyNumberFormat="1" applyFont="1" applyAlignment="1">
      <alignment horizontal="center" vertical="center"/>
    </xf>
    <xf numFmtId="0" fontId="140" fillId="0" borderId="0" xfId="10" applyFont="1" applyAlignment="1">
      <alignment horizontal="center" vertical="center"/>
    </xf>
    <xf numFmtId="0" fontId="137" fillId="0" borderId="0" xfId="10" applyFont="1" applyAlignment="1">
      <alignment vertical="center" wrapText="1"/>
    </xf>
    <xf numFmtId="0" fontId="136" fillId="0" borderId="0" xfId="10" applyFont="1" applyAlignment="1">
      <alignment horizontal="center" vertical="center" wrapText="1"/>
    </xf>
    <xf numFmtId="0" fontId="123" fillId="5" borderId="8" xfId="0" applyFont="1" applyFill="1" applyBorder="1" applyAlignment="1">
      <alignment horizontal="center" vertical="center"/>
    </xf>
    <xf numFmtId="0" fontId="119" fillId="5" borderId="8" xfId="10" applyFont="1" applyFill="1" applyBorder="1" applyAlignment="1">
      <alignment horizontal="center" vertical="center"/>
    </xf>
    <xf numFmtId="0" fontId="120" fillId="2" borderId="8" xfId="0" applyFont="1" applyFill="1" applyBorder="1" applyAlignment="1">
      <alignment horizontal="center" vertical="center"/>
    </xf>
    <xf numFmtId="0" fontId="120" fillId="5" borderId="8" xfId="0" applyFont="1" applyFill="1" applyBorder="1" applyAlignment="1">
      <alignment horizontal="center" vertical="center"/>
    </xf>
    <xf numFmtId="0" fontId="116" fillId="2" borderId="8" xfId="0" applyFont="1" applyFill="1" applyBorder="1" applyAlignment="1">
      <alignment horizontal="center"/>
    </xf>
    <xf numFmtId="49" fontId="142" fillId="19" borderId="16" xfId="0" applyNumberFormat="1" applyFont="1" applyFill="1" applyBorder="1" applyAlignment="1">
      <alignment horizontal="center" vertical="center" wrapText="1"/>
    </xf>
    <xf numFmtId="1" fontId="142" fillId="19" borderId="16" xfId="0" applyNumberFormat="1" applyFont="1" applyFill="1" applyBorder="1" applyAlignment="1">
      <alignment horizontal="center" vertical="center" wrapText="1"/>
    </xf>
    <xf numFmtId="49" fontId="142" fillId="10" borderId="3" xfId="0" applyNumberFormat="1" applyFont="1" applyFill="1" applyBorder="1" applyAlignment="1">
      <alignment vertical="center" wrapText="1"/>
    </xf>
    <xf numFmtId="49" fontId="142" fillId="10" borderId="0" xfId="0" applyNumberFormat="1" applyFont="1" applyFill="1" applyAlignment="1">
      <alignment vertical="center" wrapText="1"/>
    </xf>
    <xf numFmtId="0" fontId="142" fillId="10" borderId="0" xfId="0" applyFont="1" applyFill="1" applyAlignment="1">
      <alignment horizontal="center" vertical="center" wrapText="1"/>
    </xf>
    <xf numFmtId="49" fontId="143"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44"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44" fillId="6" borderId="8" xfId="0" applyNumberFormat="1" applyFont="1" applyFill="1" applyBorder="1" applyAlignment="1">
      <alignment horizontal="center" vertical="center" wrapText="1"/>
    </xf>
    <xf numFmtId="0" fontId="145" fillId="6" borderId="8" xfId="0" applyFont="1" applyFill="1" applyBorder="1" applyAlignment="1">
      <alignment horizontal="center" vertical="center" wrapText="1"/>
    </xf>
    <xf numFmtId="49" fontId="145" fillId="9" borderId="8" xfId="0" applyNumberFormat="1" applyFont="1" applyFill="1" applyBorder="1" applyAlignment="1">
      <alignment horizontal="center" vertical="center" wrapText="1"/>
    </xf>
    <xf numFmtId="49" fontId="144" fillId="0" borderId="8" xfId="0" applyNumberFormat="1" applyFont="1" applyBorder="1" applyAlignment="1">
      <alignment horizontal="center" vertical="center" wrapText="1"/>
    </xf>
    <xf numFmtId="2" fontId="145" fillId="0" borderId="8" xfId="0" applyNumberFormat="1" applyFont="1" applyBorder="1" applyAlignment="1">
      <alignment horizontal="center" vertical="center" wrapText="1"/>
    </xf>
    <xf numFmtId="0" fontId="145" fillId="0" borderId="8" xfId="0" applyFont="1" applyBorder="1" applyAlignment="1">
      <alignment horizontal="center" vertical="center" wrapText="1"/>
    </xf>
    <xf numFmtId="2" fontId="144" fillId="6" borderId="8" xfId="0" applyNumberFormat="1" applyFont="1" applyFill="1" applyBorder="1" applyAlignment="1">
      <alignment horizontal="center" vertical="center" wrapText="1"/>
    </xf>
    <xf numFmtId="2" fontId="144" fillId="9" borderId="8" xfId="0" applyNumberFormat="1" applyFont="1" applyFill="1" applyBorder="1" applyAlignment="1">
      <alignment horizontal="center" vertical="center" wrapText="1"/>
    </xf>
    <xf numFmtId="2" fontId="144" fillId="0" borderId="8" xfId="0" applyNumberFormat="1" applyFont="1" applyBorder="1" applyAlignment="1">
      <alignment horizontal="center" vertical="center" wrapText="1"/>
    </xf>
    <xf numFmtId="49" fontId="145" fillId="0" borderId="8" xfId="0" applyNumberFormat="1" applyFont="1" applyBorder="1" applyAlignment="1">
      <alignment horizontal="center" vertical="center" wrapText="1"/>
    </xf>
    <xf numFmtId="0" fontId="146" fillId="6" borderId="8" xfId="0" applyFont="1" applyFill="1" applyBorder="1" applyAlignment="1">
      <alignment horizontal="center" vertical="center"/>
    </xf>
    <xf numFmtId="0" fontId="146" fillId="9" borderId="8" xfId="0" applyFont="1" applyFill="1" applyBorder="1" applyAlignment="1">
      <alignment horizontal="center" vertical="center"/>
    </xf>
    <xf numFmtId="2" fontId="145" fillId="6" borderId="8" xfId="0" applyNumberFormat="1" applyFont="1" applyFill="1" applyBorder="1" applyAlignment="1">
      <alignment horizontal="center" vertical="center" wrapText="1"/>
    </xf>
    <xf numFmtId="0" fontId="144" fillId="9" borderId="8" xfId="0" applyFont="1" applyFill="1" applyBorder="1" applyAlignment="1">
      <alignment horizontal="center" vertical="center"/>
    </xf>
    <xf numFmtId="0" fontId="144" fillId="0" borderId="8" xfId="0" applyFont="1" applyBorder="1" applyAlignment="1">
      <alignment horizontal="center" vertical="center"/>
    </xf>
    <xf numFmtId="49" fontId="142" fillId="19" borderId="26" xfId="0" applyNumberFormat="1" applyFont="1" applyFill="1" applyBorder="1" applyAlignment="1">
      <alignment horizontal="center" vertical="center" wrapText="1"/>
    </xf>
    <xf numFmtId="49" fontId="142" fillId="10" borderId="17" xfId="0" applyNumberFormat="1" applyFont="1" applyFill="1" applyBorder="1" applyAlignment="1">
      <alignment vertical="center" wrapText="1"/>
    </xf>
    <xf numFmtId="166" fontId="125" fillId="10" borderId="0" xfId="0" applyNumberFormat="1" applyFont="1" applyFill="1" applyAlignment="1">
      <alignment horizontal="center" vertical="center"/>
    </xf>
    <xf numFmtId="49" fontId="142" fillId="10" borderId="44" xfId="0" applyNumberFormat="1" applyFont="1" applyFill="1" applyBorder="1" applyAlignment="1">
      <alignment horizontal="center" vertical="center" wrapText="1"/>
    </xf>
    <xf numFmtId="49" fontId="142" fillId="10" borderId="33" xfId="0" applyNumberFormat="1" applyFont="1" applyFill="1" applyBorder="1" applyAlignment="1">
      <alignment vertical="center" wrapText="1"/>
    </xf>
    <xf numFmtId="0" fontId="142" fillId="10" borderId="33" xfId="0" applyFont="1" applyFill="1" applyBorder="1" applyAlignment="1">
      <alignment horizontal="center" vertical="center" wrapText="1"/>
    </xf>
    <xf numFmtId="166" fontId="143" fillId="9" borderId="8" xfId="0" applyNumberFormat="1" applyFont="1" applyFill="1" applyBorder="1" applyAlignment="1">
      <alignment horizontal="center" vertical="center"/>
    </xf>
    <xf numFmtId="49" fontId="144" fillId="9" borderId="33" xfId="0" applyNumberFormat="1" applyFont="1" applyFill="1" applyBorder="1" applyAlignment="1">
      <alignment horizontal="center" vertical="center" wrapText="1"/>
    </xf>
    <xf numFmtId="166" fontId="147" fillId="6" borderId="8" xfId="0" applyNumberFormat="1" applyFont="1" applyFill="1" applyBorder="1" applyAlignment="1">
      <alignment horizontal="center" vertical="center"/>
    </xf>
    <xf numFmtId="166" fontId="143" fillId="0" borderId="8" xfId="0" applyNumberFormat="1" applyFont="1" applyBorder="1" applyAlignment="1">
      <alignment horizontal="center" vertical="center"/>
    </xf>
    <xf numFmtId="49" fontId="144" fillId="0" borderId="33" xfId="0" applyNumberFormat="1" applyFont="1" applyBorder="1" applyAlignment="1">
      <alignment horizontal="center" vertical="center" wrapText="1"/>
    </xf>
    <xf numFmtId="166" fontId="147" fillId="9" borderId="8" xfId="0" applyNumberFormat="1" applyFont="1" applyFill="1" applyBorder="1" applyAlignment="1">
      <alignment horizontal="center" vertical="center"/>
    </xf>
    <xf numFmtId="166" fontId="147" fillId="0" borderId="8" xfId="0" applyNumberFormat="1" applyFont="1" applyBorder="1" applyAlignment="1">
      <alignment horizontal="center" vertical="center"/>
    </xf>
    <xf numFmtId="0" fontId="125" fillId="6" borderId="8" xfId="0" applyFont="1" applyFill="1" applyBorder="1" applyAlignment="1">
      <alignment horizontal="center" vertical="center"/>
    </xf>
    <xf numFmtId="166" fontId="125" fillId="6" borderId="8" xfId="0" applyNumberFormat="1" applyFont="1" applyFill="1" applyBorder="1" applyAlignment="1">
      <alignment horizontal="center" vertical="center"/>
    </xf>
    <xf numFmtId="166" fontId="143" fillId="6" borderId="8" xfId="0" applyNumberFormat="1" applyFont="1" applyFill="1" applyBorder="1" applyAlignment="1">
      <alignment horizontal="center" vertical="center"/>
    </xf>
    <xf numFmtId="0" fontId="143" fillId="6" borderId="8" xfId="0" applyFont="1" applyFill="1" applyBorder="1" applyAlignment="1">
      <alignment horizontal="center" vertical="center"/>
    </xf>
    <xf numFmtId="2" fontId="143" fillId="6" borderId="8" xfId="0" applyNumberFormat="1" applyFont="1" applyFill="1" applyBorder="1" applyAlignment="1">
      <alignment horizontal="center" vertical="center"/>
    </xf>
    <xf numFmtId="0" fontId="147" fillId="6" borderId="8" xfId="0" applyFont="1" applyFill="1" applyBorder="1" applyAlignment="1">
      <alignment horizontal="center" vertical="center"/>
    </xf>
    <xf numFmtId="0" fontId="143" fillId="0" borderId="8" xfId="0" applyFont="1" applyBorder="1" applyAlignment="1">
      <alignment horizontal="center" vertical="center"/>
    </xf>
    <xf numFmtId="0" fontId="143" fillId="9" borderId="8" xfId="0" applyFont="1" applyFill="1" applyBorder="1" applyAlignment="1">
      <alignment horizontal="center" vertical="center"/>
    </xf>
    <xf numFmtId="2" fontId="143" fillId="9" borderId="8" xfId="0" applyNumberFormat="1" applyFont="1" applyFill="1" applyBorder="1" applyAlignment="1">
      <alignment horizontal="center" vertical="center"/>
    </xf>
    <xf numFmtId="0" fontId="147" fillId="9" borderId="8" xfId="0" applyFont="1" applyFill="1" applyBorder="1" applyAlignment="1">
      <alignment horizontal="center" vertical="center"/>
    </xf>
    <xf numFmtId="2" fontId="147" fillId="6" borderId="8" xfId="0" applyNumberFormat="1" applyFont="1" applyFill="1" applyBorder="1" applyAlignment="1">
      <alignment horizontal="center" vertical="center"/>
    </xf>
    <xf numFmtId="0" fontId="143" fillId="4" borderId="8" xfId="0" applyFont="1" applyFill="1" applyBorder="1" applyAlignment="1">
      <alignment horizontal="center" vertical="center"/>
    </xf>
    <xf numFmtId="2" fontId="143" fillId="4" borderId="8" xfId="0" applyNumberFormat="1" applyFont="1" applyFill="1" applyBorder="1" applyAlignment="1">
      <alignment horizontal="center" vertical="center"/>
    </xf>
    <xf numFmtId="0" fontId="147" fillId="4" borderId="8" xfId="0" applyFont="1" applyFill="1" applyBorder="1" applyAlignment="1">
      <alignment horizontal="center" vertical="center"/>
    </xf>
    <xf numFmtId="0" fontId="143" fillId="0" borderId="33" xfId="0" applyFont="1" applyBorder="1" applyAlignment="1">
      <alignment horizontal="center" vertical="center"/>
    </xf>
    <xf numFmtId="2" fontId="144" fillId="9" borderId="33" xfId="0" applyNumberFormat="1" applyFont="1" applyFill="1" applyBorder="1" applyAlignment="1">
      <alignment horizontal="center" vertical="center" wrapText="1"/>
    </xf>
    <xf numFmtId="0" fontId="145" fillId="9" borderId="33" xfId="0" applyFont="1" applyFill="1" applyBorder="1" applyAlignment="1">
      <alignment horizontal="center" vertical="center" wrapText="1"/>
    </xf>
    <xf numFmtId="49" fontId="144" fillId="5" borderId="8" xfId="0" applyNumberFormat="1" applyFont="1" applyFill="1" applyBorder="1" applyAlignment="1">
      <alignment horizontal="center" vertical="center" wrapText="1"/>
    </xf>
    <xf numFmtId="2" fontId="144" fillId="5" borderId="8" xfId="0" applyNumberFormat="1" applyFont="1" applyFill="1" applyBorder="1" applyAlignment="1">
      <alignment horizontal="center" vertical="center" wrapText="1"/>
    </xf>
    <xf numFmtId="0" fontId="145" fillId="5" borderId="8" xfId="0" applyFont="1" applyFill="1" applyBorder="1" applyAlignment="1">
      <alignment horizontal="center" vertical="center" wrapText="1"/>
    </xf>
    <xf numFmtId="166" fontId="145" fillId="0" borderId="8" xfId="0" applyNumberFormat="1" applyFont="1" applyBorder="1" applyAlignment="1">
      <alignment horizontal="center" vertical="center" wrapText="1"/>
    </xf>
    <xf numFmtId="0" fontId="147" fillId="0" borderId="8" xfId="0" applyFont="1" applyBorder="1" applyAlignment="1">
      <alignment horizontal="center" vertical="center"/>
    </xf>
    <xf numFmtId="166" fontId="144" fillId="0" borderId="8" xfId="0" applyNumberFormat="1" applyFont="1" applyBorder="1" applyAlignment="1">
      <alignment horizontal="center" vertical="center" wrapText="1"/>
    </xf>
    <xf numFmtId="166" fontId="144" fillId="9" borderId="8" xfId="0" applyNumberFormat="1" applyFont="1" applyFill="1" applyBorder="1" applyAlignment="1">
      <alignment horizontal="center" vertical="center" wrapText="1"/>
    </xf>
    <xf numFmtId="0" fontId="145" fillId="9" borderId="8" xfId="0" applyFont="1" applyFill="1" applyBorder="1" applyAlignment="1">
      <alignment horizontal="center" vertical="center" wrapText="1"/>
    </xf>
    <xf numFmtId="2" fontId="145" fillId="9" borderId="8" xfId="0" applyNumberFormat="1" applyFont="1" applyFill="1" applyBorder="1" applyAlignment="1">
      <alignment horizontal="center" vertical="center" wrapText="1"/>
    </xf>
    <xf numFmtId="166" fontId="144" fillId="0" borderId="33" xfId="0" applyNumberFormat="1" applyFont="1" applyBorder="1" applyAlignment="1">
      <alignment horizontal="center" vertical="center" wrapText="1"/>
    </xf>
    <xf numFmtId="2" fontId="145" fillId="0" borderId="33" xfId="0" applyNumberFormat="1" applyFont="1" applyBorder="1" applyAlignment="1">
      <alignment horizontal="center" vertical="center" wrapText="1"/>
    </xf>
    <xf numFmtId="0" fontId="145" fillId="0" borderId="33" xfId="0" applyFont="1" applyBorder="1" applyAlignment="1">
      <alignment horizontal="center" vertical="center" wrapText="1"/>
    </xf>
    <xf numFmtId="0" fontId="144" fillId="5" borderId="8" xfId="0" applyFont="1" applyFill="1" applyBorder="1" applyAlignment="1">
      <alignment horizontal="center" vertical="center"/>
    </xf>
    <xf numFmtId="166" fontId="144" fillId="5" borderId="33" xfId="0" applyNumberFormat="1" applyFont="1" applyFill="1" applyBorder="1" applyAlignment="1">
      <alignment horizontal="center" vertical="center" wrapText="1"/>
    </xf>
    <xf numFmtId="2" fontId="144" fillId="5" borderId="33" xfId="0" applyNumberFormat="1" applyFont="1" applyFill="1" applyBorder="1" applyAlignment="1">
      <alignment horizontal="center" vertical="center" wrapText="1"/>
    </xf>
    <xf numFmtId="0" fontId="145" fillId="5" borderId="33" xfId="0" applyFont="1" applyFill="1" applyBorder="1" applyAlignment="1">
      <alignment horizontal="center" vertical="center" wrapText="1"/>
    </xf>
    <xf numFmtId="2" fontId="144" fillId="0" borderId="33" xfId="0" applyNumberFormat="1" applyFont="1" applyBorder="1" applyAlignment="1">
      <alignment horizontal="center" vertical="center" wrapText="1"/>
    </xf>
    <xf numFmtId="49" fontId="145" fillId="6" borderId="8" xfId="0" applyNumberFormat="1" applyFont="1" applyFill="1" applyBorder="1" applyAlignment="1">
      <alignment horizontal="center" vertical="center" wrapText="1"/>
    </xf>
    <xf numFmtId="166" fontId="147" fillId="4" borderId="8" xfId="0" applyNumberFormat="1" applyFont="1" applyFill="1" applyBorder="1" applyAlignment="1">
      <alignment horizontal="center" vertical="center"/>
    </xf>
    <xf numFmtId="49" fontId="144" fillId="4" borderId="8" xfId="0" applyNumberFormat="1" applyFont="1" applyFill="1" applyBorder="1" applyAlignment="1">
      <alignment horizontal="center" vertical="center" wrapText="1"/>
    </xf>
    <xf numFmtId="166" fontId="143" fillId="4" borderId="8" xfId="0" applyNumberFormat="1" applyFont="1" applyFill="1" applyBorder="1" applyAlignment="1">
      <alignment horizontal="center" vertical="center"/>
    </xf>
    <xf numFmtId="166" fontId="147" fillId="9" borderId="33" xfId="0" applyNumberFormat="1" applyFont="1" applyFill="1" applyBorder="1" applyAlignment="1">
      <alignment horizontal="center" vertical="center"/>
    </xf>
    <xf numFmtId="169" fontId="144" fillId="9" borderId="33" xfId="0" applyNumberFormat="1" applyFont="1" applyFill="1" applyBorder="1" applyAlignment="1">
      <alignment horizontal="center" vertical="center" wrapText="1"/>
    </xf>
    <xf numFmtId="14" fontId="144" fillId="9" borderId="33" xfId="0" applyNumberFormat="1" applyFont="1" applyFill="1" applyBorder="1" applyAlignment="1">
      <alignment horizontal="center" vertical="center" wrapText="1"/>
    </xf>
    <xf numFmtId="166" fontId="147" fillId="5" borderId="8" xfId="0" applyNumberFormat="1" applyFont="1" applyFill="1" applyBorder="1" applyAlignment="1">
      <alignment horizontal="center" vertical="center"/>
    </xf>
    <xf numFmtId="169" fontId="144" fillId="5" borderId="8" xfId="0" applyNumberFormat="1" applyFont="1" applyFill="1" applyBorder="1" applyAlignment="1">
      <alignment horizontal="center" vertical="center" wrapText="1"/>
    </xf>
    <xf numFmtId="169" fontId="144" fillId="0" borderId="8" xfId="0" applyNumberFormat="1" applyFont="1" applyBorder="1" applyAlignment="1">
      <alignment horizontal="center" vertical="center" wrapText="1"/>
    </xf>
    <xf numFmtId="169" fontId="144" fillId="9" borderId="8" xfId="0" applyNumberFormat="1" applyFont="1" applyFill="1" applyBorder="1" applyAlignment="1">
      <alignment horizontal="center" vertical="center" wrapText="1"/>
    </xf>
    <xf numFmtId="166" fontId="147" fillId="0" borderId="33" xfId="0" applyNumberFormat="1" applyFont="1" applyBorder="1" applyAlignment="1">
      <alignment horizontal="center" vertical="center"/>
    </xf>
    <xf numFmtId="169" fontId="144" fillId="0" borderId="33" xfId="0" applyNumberFormat="1" applyFont="1" applyBorder="1" applyAlignment="1">
      <alignment horizontal="center" vertical="center" wrapText="1"/>
    </xf>
    <xf numFmtId="166" fontId="147" fillId="5" borderId="33" xfId="0" applyNumberFormat="1" applyFont="1" applyFill="1" applyBorder="1" applyAlignment="1">
      <alignment horizontal="center" vertical="center"/>
    </xf>
    <xf numFmtId="49" fontId="144" fillId="5" borderId="33" xfId="0" applyNumberFormat="1" applyFont="1" applyFill="1" applyBorder="1" applyAlignment="1">
      <alignment horizontal="center" vertical="center" wrapText="1"/>
    </xf>
    <xf numFmtId="169" fontId="144" fillId="5" borderId="33" xfId="0" applyNumberFormat="1" applyFont="1" applyFill="1" applyBorder="1" applyAlignment="1">
      <alignment horizontal="center" vertical="center" wrapText="1"/>
    </xf>
    <xf numFmtId="166" fontId="144" fillId="9" borderId="33" xfId="0" applyNumberFormat="1" applyFont="1" applyFill="1" applyBorder="1" applyAlignment="1">
      <alignment horizontal="center" vertical="center" wrapText="1"/>
    </xf>
    <xf numFmtId="49" fontId="144" fillId="6" borderId="33" xfId="0" applyNumberFormat="1" applyFont="1" applyFill="1" applyBorder="1" applyAlignment="1">
      <alignment horizontal="center" vertical="center" wrapText="1"/>
    </xf>
    <xf numFmtId="166" fontId="145" fillId="0" borderId="33" xfId="0" applyNumberFormat="1" applyFont="1" applyBorder="1" applyAlignment="1">
      <alignment horizontal="center" vertical="center" wrapText="1"/>
    </xf>
    <xf numFmtId="0" fontId="143" fillId="9" borderId="33" xfId="0" applyFont="1" applyFill="1" applyBorder="1" applyAlignment="1">
      <alignment horizontal="center" vertical="center"/>
    </xf>
    <xf numFmtId="0" fontId="144" fillId="9" borderId="33" xfId="0" applyFont="1" applyFill="1" applyBorder="1" applyAlignment="1">
      <alignment horizontal="center" vertical="center"/>
    </xf>
    <xf numFmtId="166" fontId="143" fillId="9" borderId="33" xfId="0" applyNumberFormat="1" applyFont="1" applyFill="1" applyBorder="1" applyAlignment="1">
      <alignment horizontal="center" vertical="center"/>
    </xf>
    <xf numFmtId="2" fontId="143" fillId="9" borderId="33" xfId="0" applyNumberFormat="1" applyFont="1" applyFill="1" applyBorder="1" applyAlignment="1">
      <alignment horizontal="center" vertical="center"/>
    </xf>
    <xf numFmtId="0" fontId="147" fillId="9" borderId="33" xfId="0" applyFont="1" applyFill="1" applyBorder="1" applyAlignment="1">
      <alignment horizontal="center" vertical="center"/>
    </xf>
    <xf numFmtId="2" fontId="143" fillId="0" borderId="8" xfId="0" applyNumberFormat="1" applyFont="1" applyBorder="1" applyAlignment="1">
      <alignment horizontal="center" vertical="center"/>
    </xf>
    <xf numFmtId="0" fontId="143" fillId="5" borderId="8" xfId="0" applyFont="1" applyFill="1" applyBorder="1" applyAlignment="1">
      <alignment horizontal="center" vertical="center"/>
    </xf>
    <xf numFmtId="166" fontId="143" fillId="5" borderId="8" xfId="0" applyNumberFormat="1" applyFont="1" applyFill="1" applyBorder="1" applyAlignment="1">
      <alignment horizontal="center" vertical="center"/>
    </xf>
    <xf numFmtId="2" fontId="143" fillId="5" borderId="8" xfId="0" applyNumberFormat="1" applyFont="1" applyFill="1" applyBorder="1" applyAlignment="1">
      <alignment horizontal="center" vertical="center"/>
    </xf>
    <xf numFmtId="0" fontId="147" fillId="5" borderId="8" xfId="0" applyFont="1" applyFill="1" applyBorder="1" applyAlignment="1">
      <alignment horizontal="center" vertical="center"/>
    </xf>
    <xf numFmtId="2" fontId="147" fillId="5" borderId="8" xfId="0" applyNumberFormat="1" applyFont="1" applyFill="1" applyBorder="1" applyAlignment="1">
      <alignment horizontal="center" vertical="center"/>
    </xf>
    <xf numFmtId="0" fontId="125" fillId="9" borderId="19" xfId="0" applyFont="1" applyFill="1" applyBorder="1" applyAlignment="1">
      <alignment horizontal="center" vertical="center"/>
    </xf>
    <xf numFmtId="49" fontId="144" fillId="11" borderId="33" xfId="0" applyNumberFormat="1" applyFont="1" applyFill="1" applyBorder="1" applyAlignment="1">
      <alignment horizontal="center" vertical="center" wrapText="1"/>
    </xf>
    <xf numFmtId="169" fontId="143" fillId="0" borderId="8" xfId="0" applyNumberFormat="1" applyFont="1" applyBorder="1" applyAlignment="1">
      <alignment horizontal="center" vertical="center"/>
    </xf>
    <xf numFmtId="14" fontId="143" fillId="0" borderId="33" xfId="0" applyNumberFormat="1" applyFont="1" applyBorder="1" applyAlignment="1">
      <alignment horizontal="center" vertical="center"/>
    </xf>
    <xf numFmtId="166" fontId="145" fillId="0" borderId="8" xfId="0" applyNumberFormat="1" applyFont="1" applyBorder="1" applyAlignment="1">
      <alignment horizontal="center" vertical="center"/>
    </xf>
    <xf numFmtId="166" fontId="145" fillId="5" borderId="8" xfId="0" applyNumberFormat="1" applyFont="1" applyFill="1" applyBorder="1" applyAlignment="1">
      <alignment horizontal="center" vertical="center"/>
    </xf>
    <xf numFmtId="169" fontId="143" fillId="5" borderId="8" xfId="0" applyNumberFormat="1" applyFont="1" applyFill="1" applyBorder="1" applyAlignment="1">
      <alignment horizontal="center" vertical="center"/>
    </xf>
    <xf numFmtId="14" fontId="143" fillId="5" borderId="33" xfId="0" applyNumberFormat="1" applyFont="1" applyFill="1" applyBorder="1" applyAlignment="1">
      <alignment horizontal="center" vertical="center"/>
    </xf>
    <xf numFmtId="166" fontId="125" fillId="9" borderId="19" xfId="0" applyNumberFormat="1" applyFont="1" applyFill="1" applyBorder="1" applyAlignment="1">
      <alignment horizontal="center" vertical="center"/>
    </xf>
    <xf numFmtId="166" fontId="125" fillId="9" borderId="8" xfId="0" applyNumberFormat="1" applyFont="1" applyFill="1" applyBorder="1" applyAlignment="1">
      <alignment horizontal="center" vertical="center"/>
    </xf>
    <xf numFmtId="0" fontId="143" fillId="9" borderId="15" xfId="0" applyFont="1" applyFill="1" applyBorder="1" applyAlignment="1">
      <alignment horizontal="center" vertical="center"/>
    </xf>
    <xf numFmtId="169" fontId="143" fillId="9" borderId="8" xfId="0" applyNumberFormat="1" applyFont="1" applyFill="1" applyBorder="1" applyAlignment="1">
      <alignment horizontal="center" vertical="center"/>
    </xf>
    <xf numFmtId="14" fontId="143" fillId="5" borderId="8" xfId="0" applyNumberFormat="1" applyFont="1" applyFill="1" applyBorder="1" applyAlignment="1">
      <alignment horizontal="center" vertical="center"/>
    </xf>
    <xf numFmtId="0" fontId="143" fillId="5" borderId="33" xfId="0" applyFont="1" applyFill="1" applyBorder="1" applyAlignment="1">
      <alignment horizontal="center" vertical="center"/>
    </xf>
    <xf numFmtId="49" fontId="142" fillId="19" borderId="7" xfId="0" applyNumberFormat="1" applyFont="1" applyFill="1" applyBorder="1" applyAlignment="1">
      <alignment horizontal="center" vertical="center" wrapText="1"/>
    </xf>
    <xf numFmtId="1" fontId="142" fillId="19" borderId="7" xfId="0" applyNumberFormat="1" applyFont="1" applyFill="1" applyBorder="1" applyAlignment="1">
      <alignment horizontal="center" vertical="center" wrapText="1"/>
    </xf>
    <xf numFmtId="49" fontId="142" fillId="10" borderId="8" xfId="0" applyNumberFormat="1" applyFont="1" applyFill="1" applyBorder="1" applyAlignment="1">
      <alignment vertical="center" wrapText="1"/>
    </xf>
    <xf numFmtId="0" fontId="142" fillId="10" borderId="8" xfId="0" applyFont="1" applyFill="1" applyBorder="1" applyAlignment="1">
      <alignment horizontal="center" vertical="center" wrapText="1"/>
    </xf>
    <xf numFmtId="0" fontId="144" fillId="0" borderId="33" xfId="0" applyFont="1" applyBorder="1" applyAlignment="1">
      <alignment horizontal="center" vertical="center" wrapText="1"/>
    </xf>
    <xf numFmtId="1" fontId="144" fillId="9" borderId="33" xfId="0" applyNumberFormat="1" applyFont="1" applyFill="1" applyBorder="1" applyAlignment="1">
      <alignment horizontal="center" vertical="center" wrapText="1"/>
    </xf>
    <xf numFmtId="1" fontId="144" fillId="0" borderId="8" xfId="0" applyNumberFormat="1" applyFont="1" applyBorder="1" applyAlignment="1">
      <alignment horizontal="center" vertical="center" wrapText="1"/>
    </xf>
    <xf numFmtId="0" fontId="144" fillId="0" borderId="8" xfId="0" applyFont="1" applyBorder="1" applyAlignment="1">
      <alignment horizontal="center" vertical="center" wrapText="1"/>
    </xf>
    <xf numFmtId="1" fontId="145" fillId="9" borderId="8" xfId="0" applyNumberFormat="1" applyFont="1" applyFill="1" applyBorder="1" applyAlignment="1">
      <alignment horizontal="center" vertical="center" wrapText="1"/>
    </xf>
    <xf numFmtId="1" fontId="145" fillId="6" borderId="8" xfId="0" applyNumberFormat="1" applyFont="1" applyFill="1" applyBorder="1" applyAlignment="1">
      <alignment horizontal="center" vertical="center" wrapText="1"/>
    </xf>
    <xf numFmtId="1" fontId="145" fillId="0" borderId="8" xfId="0" applyNumberFormat="1" applyFont="1" applyBorder="1" applyAlignment="1">
      <alignment horizontal="center" vertical="center" wrapText="1"/>
    </xf>
    <xf numFmtId="49" fontId="143" fillId="0" borderId="33" xfId="0" applyNumberFormat="1" applyFont="1" applyBorder="1" applyAlignment="1">
      <alignment horizontal="center" vertical="center"/>
    </xf>
    <xf numFmtId="2" fontId="145" fillId="9" borderId="33" xfId="0" applyNumberFormat="1" applyFont="1" applyFill="1" applyBorder="1" applyAlignment="1">
      <alignment horizontal="center" vertical="center" wrapText="1"/>
    </xf>
    <xf numFmtId="1" fontId="145" fillId="9" borderId="33" xfId="0" applyNumberFormat="1" applyFont="1" applyFill="1" applyBorder="1" applyAlignment="1">
      <alignment horizontal="center" vertical="center" wrapText="1"/>
    </xf>
    <xf numFmtId="166" fontId="145" fillId="5" borderId="8" xfId="0" applyNumberFormat="1" applyFont="1" applyFill="1" applyBorder="1" applyAlignment="1">
      <alignment horizontal="center" vertical="center" wrapText="1"/>
    </xf>
    <xf numFmtId="49" fontId="142" fillId="19" borderId="13" xfId="0" applyNumberFormat="1" applyFont="1" applyFill="1" applyBorder="1" applyAlignment="1">
      <alignment horizontal="center" vertical="center" wrapText="1"/>
    </xf>
    <xf numFmtId="166" fontId="125" fillId="10" borderId="8" xfId="0" applyNumberFormat="1" applyFont="1" applyFill="1" applyBorder="1" applyAlignment="1">
      <alignment horizontal="center" vertical="center"/>
    </xf>
    <xf numFmtId="49" fontId="142" fillId="10" borderId="8" xfId="0" applyNumberFormat="1" applyFont="1" applyFill="1" applyBorder="1" applyAlignment="1">
      <alignment horizontal="center" vertical="center" wrapText="1"/>
    </xf>
    <xf numFmtId="49" fontId="145" fillId="5" borderId="8" xfId="0" applyNumberFormat="1" applyFont="1" applyFill="1" applyBorder="1" applyAlignment="1">
      <alignment horizontal="center" vertical="center" wrapText="1"/>
    </xf>
    <xf numFmtId="166" fontId="144"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45" fillId="13" borderId="8" xfId="0" applyNumberFormat="1" applyFont="1" applyFill="1" applyBorder="1" applyAlignment="1">
      <alignment horizontal="center" vertical="center" wrapText="1"/>
    </xf>
    <xf numFmtId="2" fontId="145" fillId="5" borderId="8" xfId="0" applyNumberFormat="1" applyFont="1" applyFill="1" applyBorder="1" applyAlignment="1">
      <alignment horizontal="center" vertical="center" wrapText="1"/>
    </xf>
    <xf numFmtId="0" fontId="143" fillId="23" borderId="33" xfId="0" applyFont="1" applyFill="1" applyBorder="1" applyAlignment="1">
      <alignment horizontal="center" vertical="center"/>
    </xf>
    <xf numFmtId="49" fontId="144" fillId="11" borderId="8" xfId="0" applyNumberFormat="1" applyFont="1" applyFill="1" applyBorder="1" applyAlignment="1">
      <alignment horizontal="center" vertical="center" wrapText="1"/>
    </xf>
    <xf numFmtId="166" fontId="145" fillId="9" borderId="8" xfId="0" applyNumberFormat="1" applyFont="1" applyFill="1" applyBorder="1" applyAlignment="1">
      <alignment horizontal="center" vertical="center" wrapText="1"/>
    </xf>
    <xf numFmtId="14" fontId="144" fillId="5" borderId="33" xfId="0" applyNumberFormat="1" applyFont="1" applyFill="1" applyBorder="1" applyAlignment="1">
      <alignment horizontal="center" vertical="center" wrapText="1"/>
    </xf>
    <xf numFmtId="0" fontId="143" fillId="23" borderId="8" xfId="0" applyFont="1" applyFill="1" applyBorder="1" applyAlignment="1">
      <alignment horizontal="center" vertical="center"/>
    </xf>
    <xf numFmtId="0" fontId="150" fillId="0" borderId="8" xfId="0" applyFont="1" applyBorder="1" applyAlignment="1">
      <alignment horizontal="center" vertical="center" wrapText="1"/>
    </xf>
    <xf numFmtId="0" fontId="148" fillId="0" borderId="8" xfId="0" applyFont="1" applyBorder="1" applyAlignment="1">
      <alignment vertical="center" wrapText="1"/>
    </xf>
    <xf numFmtId="0" fontId="148" fillId="0" borderId="8" xfId="0" applyFont="1" applyBorder="1" applyAlignment="1">
      <alignment horizontal="center" vertical="center"/>
    </xf>
    <xf numFmtId="0" fontId="151" fillId="0" borderId="8" xfId="0" applyFont="1" applyBorder="1" applyAlignment="1">
      <alignment horizontal="left" vertical="center"/>
    </xf>
    <xf numFmtId="0" fontId="148" fillId="0" borderId="8" xfId="0" applyFont="1" applyBorder="1"/>
    <xf numFmtId="14" fontId="151" fillId="0" borderId="8" xfId="0" applyNumberFormat="1" applyFont="1" applyBorder="1" applyAlignment="1">
      <alignment horizontal="left" vertical="center"/>
    </xf>
    <xf numFmtId="166" fontId="148" fillId="0" borderId="8" xfId="0" applyNumberFormat="1" applyFont="1" applyBorder="1" applyAlignment="1">
      <alignment horizontal="center" vertical="center"/>
    </xf>
    <xf numFmtId="16" fontId="128" fillId="0" borderId="8" xfId="0" applyNumberFormat="1" applyFont="1" applyBorder="1" applyAlignment="1">
      <alignment horizontal="left" vertical="center"/>
    </xf>
    <xf numFmtId="0" fontId="123" fillId="0" borderId="8" xfId="2" applyFont="1" applyBorder="1" applyAlignment="1">
      <alignment horizontal="left" vertical="center"/>
    </xf>
    <xf numFmtId="14" fontId="128" fillId="0" borderId="8" xfId="0" applyNumberFormat="1" applyFont="1" applyBorder="1" applyAlignment="1">
      <alignment horizontal="left" vertical="center"/>
    </xf>
    <xf numFmtId="166" fontId="128" fillId="0" borderId="8" xfId="0" applyNumberFormat="1" applyFont="1" applyBorder="1" applyAlignment="1">
      <alignment horizontal="center" vertical="center"/>
    </xf>
    <xf numFmtId="0" fontId="149" fillId="0" borderId="15" xfId="0" applyFont="1" applyBorder="1" applyAlignment="1">
      <alignment horizontal="right" vertical="center"/>
    </xf>
    <xf numFmtId="166" fontId="152" fillId="0" borderId="8" xfId="0" applyNumberFormat="1" applyFont="1" applyBorder="1" applyAlignment="1">
      <alignment horizontal="center" vertical="center"/>
    </xf>
    <xf numFmtId="166" fontId="149" fillId="0" borderId="8" xfId="0" applyNumberFormat="1" applyFont="1" applyBorder="1" applyAlignment="1">
      <alignment horizontal="center" vertical="center"/>
    </xf>
    <xf numFmtId="0" fontId="148" fillId="0" borderId="8" xfId="0" applyFont="1" applyBorder="1" applyAlignment="1">
      <alignment horizontal="center" vertical="center" wrapText="1"/>
    </xf>
    <xf numFmtId="166" fontId="153" fillId="0" borderId="8" xfId="0" applyNumberFormat="1" applyFont="1" applyBorder="1" applyAlignment="1">
      <alignment horizontal="center" vertical="center"/>
    </xf>
    <xf numFmtId="166" fontId="154" fillId="0" borderId="8" xfId="0" applyNumberFormat="1" applyFont="1" applyBorder="1" applyAlignment="1">
      <alignment horizontal="center" vertical="center"/>
    </xf>
    <xf numFmtId="166" fontId="152" fillId="6" borderId="8" xfId="0" applyNumberFormat="1" applyFont="1" applyFill="1" applyBorder="1" applyAlignment="1">
      <alignment horizontal="center" vertical="center"/>
    </xf>
    <xf numFmtId="0" fontId="122" fillId="0" borderId="0" xfId="10" applyFont="1" applyAlignment="1">
      <alignment horizontal="center" vertical="center" wrapText="1"/>
    </xf>
    <xf numFmtId="14" fontId="122" fillId="0" borderId="0" xfId="10" applyNumberFormat="1" applyFont="1" applyAlignment="1">
      <alignment horizontal="center" vertical="center"/>
    </xf>
    <xf numFmtId="0" fontId="155" fillId="25" borderId="8" xfId="0" applyFont="1" applyFill="1" applyBorder="1" applyAlignment="1">
      <alignment horizontal="center" vertical="center" wrapText="1" readingOrder="1"/>
    </xf>
    <xf numFmtId="0" fontId="141" fillId="25" borderId="8" xfId="0" applyFont="1" applyFill="1" applyBorder="1" applyAlignment="1">
      <alignment horizontal="center" vertical="center" wrapText="1" readingOrder="1"/>
    </xf>
    <xf numFmtId="0" fontId="141" fillId="0" borderId="8" xfId="0" applyFont="1" applyBorder="1" applyAlignment="1">
      <alignment horizontal="center" vertical="center" wrapText="1" readingOrder="1"/>
    </xf>
    <xf numFmtId="16" fontId="141" fillId="0" borderId="8" xfId="0" applyNumberFormat="1" applyFont="1" applyBorder="1" applyAlignment="1">
      <alignment horizontal="center" vertical="center" wrapText="1" readingOrder="1"/>
    </xf>
    <xf numFmtId="0" fontId="141" fillId="5" borderId="8" xfId="0" applyFont="1" applyFill="1" applyBorder="1" applyAlignment="1">
      <alignment horizontal="center" vertical="center" wrapText="1" readingOrder="1"/>
    </xf>
    <xf numFmtId="0" fontId="141" fillId="5" borderId="7" xfId="0" applyFont="1" applyFill="1" applyBorder="1" applyAlignment="1">
      <alignment horizontal="center" vertical="center" wrapText="1" readingOrder="1"/>
    </xf>
    <xf numFmtId="0" fontId="156" fillId="26" borderId="0" xfId="0" applyFont="1" applyFill="1"/>
    <xf numFmtId="0" fontId="156" fillId="26" borderId="0" xfId="0" applyFont="1" applyFill="1" applyAlignment="1">
      <alignment vertical="center"/>
    </xf>
    <xf numFmtId="0" fontId="156" fillId="0" borderId="0" xfId="0" applyFont="1"/>
    <xf numFmtId="171" fontId="156" fillId="0" borderId="0" xfId="0" applyNumberFormat="1" applyFont="1"/>
    <xf numFmtId="0" fontId="156" fillId="2" borderId="0" xfId="0" applyFont="1" applyFill="1"/>
    <xf numFmtId="0" fontId="158" fillId="26" borderId="0" xfId="0" applyFont="1" applyFill="1"/>
    <xf numFmtId="0" fontId="159" fillId="26" borderId="0" xfId="0" applyFont="1" applyFill="1"/>
    <xf numFmtId="0" fontId="157" fillId="0" borderId="0" xfId="0" applyFont="1" applyAlignment="1">
      <alignment vertical="center"/>
    </xf>
    <xf numFmtId="15" fontId="162" fillId="0" borderId="8" xfId="0" applyNumberFormat="1" applyFont="1" applyBorder="1" applyAlignment="1">
      <alignment horizontal="center" vertical="center" wrapText="1"/>
    </xf>
    <xf numFmtId="0" fontId="160" fillId="28" borderId="34" xfId="0" applyFont="1" applyFill="1" applyBorder="1" applyAlignment="1">
      <alignment horizontal="center" vertical="center" wrapText="1"/>
    </xf>
    <xf numFmtId="0" fontId="160" fillId="28" borderId="46" xfId="0" applyFont="1" applyFill="1" applyBorder="1" applyAlignment="1">
      <alignment horizontal="center" vertical="center" wrapText="1"/>
    </xf>
    <xf numFmtId="0" fontId="160" fillId="28" borderId="66" xfId="0" applyFont="1" applyFill="1" applyBorder="1" applyAlignment="1">
      <alignment vertical="center" wrapText="1"/>
    </xf>
    <xf numFmtId="171" fontId="160" fillId="28" borderId="46" xfId="0" applyNumberFormat="1" applyFont="1" applyFill="1" applyBorder="1" applyAlignment="1">
      <alignment horizontal="center" vertical="center" wrapText="1"/>
    </xf>
    <xf numFmtId="0" fontId="163" fillId="2" borderId="30" xfId="0" applyFont="1" applyFill="1" applyBorder="1" applyAlignment="1">
      <alignment vertical="center" wrapText="1"/>
    </xf>
    <xf numFmtId="0" fontId="163" fillId="2" borderId="8" xfId="0" applyFont="1" applyFill="1" applyBorder="1" applyAlignment="1">
      <alignment horizontal="center" vertical="center" wrapText="1"/>
    </xf>
    <xf numFmtId="172" fontId="163" fillId="2" borderId="8" xfId="0" applyNumberFormat="1" applyFont="1" applyFill="1" applyBorder="1" applyAlignment="1">
      <alignment horizontal="center" vertical="center" wrapText="1"/>
    </xf>
    <xf numFmtId="172" fontId="164" fillId="2" borderId="8" xfId="0" applyNumberFormat="1" applyFont="1" applyFill="1" applyBorder="1" applyAlignment="1">
      <alignment horizontal="center" vertical="center" wrapText="1"/>
    </xf>
    <xf numFmtId="172" fontId="164" fillId="2" borderId="11" xfId="0" applyNumberFormat="1" applyFont="1" applyFill="1" applyBorder="1" applyAlignment="1">
      <alignment horizontal="center" vertical="center" wrapText="1"/>
    </xf>
    <xf numFmtId="1" fontId="164" fillId="2" borderId="8" xfId="0" applyNumberFormat="1" applyFont="1" applyFill="1" applyBorder="1" applyAlignment="1">
      <alignment horizontal="center" vertical="center" wrapText="1"/>
    </xf>
    <xf numFmtId="0" fontId="165" fillId="2" borderId="30" xfId="0" applyFont="1" applyFill="1" applyBorder="1" applyAlignment="1">
      <alignment vertical="center" wrapText="1"/>
    </xf>
    <xf numFmtId="0" fontId="165" fillId="2" borderId="8" xfId="0" applyFont="1" applyFill="1" applyBorder="1" applyAlignment="1">
      <alignment horizontal="center" vertical="center" wrapText="1"/>
    </xf>
    <xf numFmtId="172" fontId="163" fillId="2" borderId="11" xfId="0" applyNumberFormat="1" applyFont="1" applyFill="1" applyBorder="1" applyAlignment="1">
      <alignment horizontal="center" vertical="center" wrapText="1"/>
    </xf>
    <xf numFmtId="0" fontId="165" fillId="2" borderId="30" xfId="0" applyFont="1" applyFill="1" applyBorder="1" applyAlignment="1">
      <alignment horizontal="left" vertical="center" wrapText="1"/>
    </xf>
    <xf numFmtId="1" fontId="164" fillId="2" borderId="8" xfId="0" applyNumberFormat="1" applyFont="1" applyFill="1" applyBorder="1" applyAlignment="1">
      <alignment horizontal="center" vertical="center"/>
    </xf>
    <xf numFmtId="171" fontId="163" fillId="2" borderId="11" xfId="0" applyNumberFormat="1" applyFont="1" applyFill="1" applyBorder="1" applyAlignment="1">
      <alignment horizontal="center" vertical="center" wrapText="1"/>
    </xf>
    <xf numFmtId="0" fontId="166" fillId="2" borderId="0" xfId="0" applyFont="1" applyFill="1" applyAlignment="1">
      <alignment vertical="center" wrapText="1"/>
    </xf>
    <xf numFmtId="0" fontId="166" fillId="2" borderId="0" xfId="0" applyFont="1" applyFill="1" applyAlignment="1">
      <alignment horizontal="center" vertical="center" wrapText="1"/>
    </xf>
    <xf numFmtId="1" fontId="166" fillId="2" borderId="0" xfId="0" applyNumberFormat="1" applyFont="1" applyFill="1" applyAlignment="1">
      <alignment horizontal="center" vertical="center" wrapText="1"/>
    </xf>
    <xf numFmtId="171" fontId="166" fillId="2" borderId="0" xfId="0" applyNumberFormat="1" applyFont="1" applyFill="1" applyAlignment="1">
      <alignment horizontal="center" vertical="center" wrapText="1"/>
    </xf>
    <xf numFmtId="15" fontId="162" fillId="0" borderId="11" xfId="0" applyNumberFormat="1" applyFont="1" applyBorder="1" applyAlignment="1">
      <alignment horizontal="center" vertical="center" wrapText="1"/>
    </xf>
    <xf numFmtId="0" fontId="162" fillId="0" borderId="8" xfId="0" applyFont="1" applyBorder="1" applyAlignment="1">
      <alignment horizontal="center" vertical="center" wrapText="1"/>
    </xf>
    <xf numFmtId="172" fontId="164" fillId="24" borderId="8" xfId="0" applyNumberFormat="1" applyFont="1" applyFill="1" applyBorder="1" applyAlignment="1">
      <alignment horizontal="center" vertical="center" wrapText="1"/>
    </xf>
    <xf numFmtId="171" fontId="164" fillId="2" borderId="8" xfId="0" applyNumberFormat="1" applyFont="1" applyFill="1" applyBorder="1" applyAlignment="1">
      <alignment horizontal="center" vertical="center" wrapText="1"/>
    </xf>
    <xf numFmtId="173" fontId="164" fillId="2" borderId="8" xfId="0" applyNumberFormat="1" applyFont="1" applyFill="1" applyBorder="1" applyAlignment="1">
      <alignment horizontal="center" vertical="center" wrapText="1"/>
    </xf>
    <xf numFmtId="173" fontId="164" fillId="24" borderId="8" xfId="0" applyNumberFormat="1" applyFont="1" applyFill="1" applyBorder="1" applyAlignment="1">
      <alignment horizontal="center" vertical="center" wrapText="1"/>
    </xf>
    <xf numFmtId="172" fontId="168" fillId="2" borderId="8" xfId="0" applyNumberFormat="1" applyFont="1" applyFill="1" applyBorder="1" applyAlignment="1">
      <alignment horizontal="center" vertical="center" wrapText="1"/>
    </xf>
    <xf numFmtId="172" fontId="163" fillId="24" borderId="8" xfId="0" applyNumberFormat="1" applyFont="1" applyFill="1" applyBorder="1" applyAlignment="1">
      <alignment horizontal="center" vertical="center" wrapText="1"/>
    </xf>
    <xf numFmtId="171" fontId="163" fillId="2" borderId="8" xfId="0" applyNumberFormat="1" applyFont="1" applyFill="1" applyBorder="1" applyAlignment="1">
      <alignment horizontal="center" vertical="center" wrapText="1"/>
    </xf>
    <xf numFmtId="171" fontId="163" fillId="24" borderId="8" xfId="0" applyNumberFormat="1" applyFont="1" applyFill="1" applyBorder="1" applyAlignment="1">
      <alignment horizontal="center" vertical="center" wrapText="1"/>
    </xf>
    <xf numFmtId="166" fontId="166" fillId="2" borderId="0" xfId="0" applyNumberFormat="1" applyFont="1" applyFill="1" applyAlignment="1">
      <alignment horizontal="center" vertical="center" wrapText="1"/>
    </xf>
    <xf numFmtId="174" fontId="158" fillId="26" borderId="0" xfId="0" applyNumberFormat="1" applyFont="1" applyFill="1"/>
    <xf numFmtId="166" fontId="156" fillId="2" borderId="0" xfId="0" applyNumberFormat="1" applyFont="1" applyFill="1"/>
    <xf numFmtId="0" fontId="158" fillId="2" borderId="0" xfId="0" applyFont="1" applyFill="1"/>
    <xf numFmtId="9" fontId="159" fillId="2" borderId="0" xfId="1" applyFont="1" applyFill="1" applyAlignment="1"/>
    <xf numFmtId="172" fontId="158" fillId="2" borderId="0" xfId="0" applyNumberFormat="1" applyFont="1" applyFill="1"/>
    <xf numFmtId="171" fontId="171" fillId="2" borderId="0" xfId="0" applyNumberFormat="1" applyFont="1" applyFill="1" applyAlignment="1">
      <alignment horizontal="left" vertical="center" wrapText="1"/>
    </xf>
    <xf numFmtId="0" fontId="158" fillId="2" borderId="0" xfId="0" applyFont="1" applyFill="1" applyAlignment="1">
      <alignment vertical="center"/>
    </xf>
    <xf numFmtId="0" fontId="158" fillId="26" borderId="0" xfId="0" applyFont="1" applyFill="1" applyAlignment="1">
      <alignment vertical="center"/>
    </xf>
    <xf numFmtId="9" fontId="159" fillId="2" borderId="0" xfId="1" applyFont="1" applyFill="1" applyAlignment="1">
      <alignment vertical="center"/>
    </xf>
    <xf numFmtId="166" fontId="166" fillId="2" borderId="0" xfId="0" applyNumberFormat="1" applyFont="1" applyFill="1" applyAlignment="1">
      <alignment horizontal="left" vertical="center" wrapText="1"/>
    </xf>
    <xf numFmtId="166" fontId="172" fillId="2" borderId="0" xfId="0" applyNumberFormat="1" applyFont="1" applyFill="1" applyAlignment="1">
      <alignment horizontal="left" wrapText="1"/>
    </xf>
    <xf numFmtId="166" fontId="158" fillId="2" borderId="0" xfId="0" applyNumberFormat="1" applyFont="1" applyFill="1"/>
    <xf numFmtId="166" fontId="158" fillId="26" borderId="0" xfId="0" applyNumberFormat="1" applyFont="1" applyFill="1"/>
    <xf numFmtId="0" fontId="172" fillId="2" borderId="0" xfId="0" applyFont="1" applyFill="1" applyAlignment="1">
      <alignment vertical="top" wrapText="1"/>
    </xf>
    <xf numFmtId="9" fontId="159" fillId="26" borderId="0" xfId="1" applyFont="1" applyFill="1" applyAlignment="1"/>
    <xf numFmtId="9" fontId="159" fillId="26" borderId="0" xfId="0" applyNumberFormat="1" applyFont="1" applyFill="1"/>
    <xf numFmtId="9" fontId="159" fillId="26" borderId="0" xfId="1" applyFont="1" applyFill="1" applyAlignment="1">
      <alignment vertical="center"/>
    </xf>
    <xf numFmtId="9" fontId="159" fillId="26" borderId="0" xfId="0" applyNumberFormat="1" applyFont="1" applyFill="1" applyAlignment="1">
      <alignment vertical="center"/>
    </xf>
    <xf numFmtId="0" fontId="159" fillId="26" borderId="0" xfId="0" applyFont="1" applyFill="1" applyAlignment="1">
      <alignment vertical="center"/>
    </xf>
    <xf numFmtId="0" fontId="173" fillId="0" borderId="8" xfId="10" applyFont="1" applyBorder="1" applyAlignment="1">
      <alignment horizontal="center" vertical="center"/>
    </xf>
    <xf numFmtId="0" fontId="116" fillId="0" borderId="0" xfId="0" applyFont="1" applyAlignment="1">
      <alignment horizontal="center" vertical="center" wrapText="1"/>
    </xf>
    <xf numFmtId="0" fontId="0" fillId="0" borderId="0" xfId="0" applyAlignment="1">
      <alignment horizontal="center" vertical="center" wrapText="1"/>
    </xf>
    <xf numFmtId="0" fontId="175" fillId="2" borderId="8" xfId="0" applyFont="1" applyFill="1" applyBorder="1" applyAlignment="1">
      <alignment horizontal="center" vertical="center" wrapText="1"/>
    </xf>
    <xf numFmtId="0" fontId="175"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75" fillId="2" borderId="11" xfId="0" applyFont="1" applyFill="1" applyBorder="1" applyAlignment="1">
      <alignment horizontal="center" vertical="center" wrapText="1"/>
    </xf>
    <xf numFmtId="0" fontId="175" fillId="2" borderId="12" xfId="0" applyFont="1" applyFill="1" applyBorder="1" applyAlignment="1">
      <alignment horizontal="center" vertical="center" wrapText="1"/>
    </xf>
    <xf numFmtId="0" fontId="175" fillId="0" borderId="8" xfId="0" applyFont="1" applyBorder="1" applyAlignment="1">
      <alignment horizontal="center" vertical="center" wrapText="1"/>
    </xf>
    <xf numFmtId="17" fontId="175" fillId="0" borderId="8" xfId="0" applyNumberFormat="1" applyFont="1" applyBorder="1" applyAlignment="1">
      <alignment horizontal="center" vertical="center" wrapText="1"/>
    </xf>
    <xf numFmtId="0" fontId="175" fillId="11" borderId="8" xfId="0" applyFont="1" applyFill="1" applyBorder="1" applyAlignment="1">
      <alignment horizontal="center" vertical="center" wrapText="1"/>
    </xf>
    <xf numFmtId="1" fontId="175" fillId="11" borderId="8" xfId="0" applyNumberFormat="1" applyFont="1" applyFill="1" applyBorder="1" applyAlignment="1">
      <alignment horizontal="center" vertical="center" wrapText="1"/>
    </xf>
    <xf numFmtId="2" fontId="175" fillId="11" borderId="8" xfId="0" applyNumberFormat="1" applyFont="1" applyFill="1" applyBorder="1" applyAlignment="1">
      <alignment horizontal="center" vertical="center" wrapText="1"/>
    </xf>
    <xf numFmtId="0" fontId="176" fillId="0" borderId="56" xfId="0" applyFont="1" applyBorder="1" applyAlignment="1">
      <alignment horizontal="center" vertical="center" wrapText="1"/>
    </xf>
    <xf numFmtId="0" fontId="176" fillId="0" borderId="33" xfId="0" applyFont="1" applyBorder="1" applyAlignment="1">
      <alignment horizontal="center" vertical="center" wrapText="1"/>
    </xf>
    <xf numFmtId="1" fontId="176" fillId="0" borderId="33" xfId="0" applyNumberFormat="1" applyFont="1" applyBorder="1" applyAlignment="1">
      <alignment horizontal="center" vertical="center" wrapText="1"/>
    </xf>
    <xf numFmtId="165" fontId="176" fillId="29" borderId="33" xfId="0" applyNumberFormat="1" applyFont="1" applyFill="1" applyBorder="1" applyAlignment="1">
      <alignment horizontal="center" vertical="center" wrapText="1"/>
    </xf>
    <xf numFmtId="0" fontId="176" fillId="0" borderId="67" xfId="0" applyFont="1" applyBorder="1" applyAlignment="1">
      <alignment horizontal="center" vertical="center" wrapText="1"/>
    </xf>
    <xf numFmtId="0" fontId="176" fillId="0" borderId="16" xfId="0" applyFont="1" applyBorder="1" applyAlignment="1">
      <alignment horizontal="center" vertical="center" wrapText="1"/>
    </xf>
    <xf numFmtId="2" fontId="176" fillId="29" borderId="16" xfId="0" applyNumberFormat="1" applyFont="1" applyFill="1" applyBorder="1" applyAlignment="1">
      <alignment horizontal="center" vertical="center" wrapText="1"/>
    </xf>
    <xf numFmtId="2" fontId="176" fillId="0" borderId="16" xfId="0" applyNumberFormat="1" applyFont="1" applyBorder="1" applyAlignment="1">
      <alignment horizontal="center" vertical="center" wrapText="1"/>
    </xf>
    <xf numFmtId="0" fontId="175" fillId="11" borderId="34" xfId="0" applyFont="1" applyFill="1" applyBorder="1" applyAlignment="1">
      <alignment horizontal="center" vertical="center" wrapText="1"/>
    </xf>
    <xf numFmtId="0" fontId="175" fillId="11" borderId="46" xfId="0" applyFont="1" applyFill="1" applyBorder="1" applyAlignment="1">
      <alignment horizontal="center" vertical="center" wrapText="1"/>
    </xf>
    <xf numFmtId="1" fontId="175" fillId="11" borderId="46" xfId="0" applyNumberFormat="1" applyFont="1" applyFill="1" applyBorder="1" applyAlignment="1">
      <alignment horizontal="center" vertical="center" wrapText="1"/>
    </xf>
    <xf numFmtId="2" fontId="175" fillId="11" borderId="46" xfId="0" applyNumberFormat="1" applyFont="1" applyFill="1" applyBorder="1" applyAlignment="1">
      <alignment horizontal="center" vertical="center" wrapText="1"/>
    </xf>
    <xf numFmtId="2" fontId="176" fillId="29" borderId="33" xfId="0" applyNumberFormat="1" applyFont="1" applyFill="1" applyBorder="1" applyAlignment="1">
      <alignment horizontal="center" vertical="center" wrapText="1"/>
    </xf>
    <xf numFmtId="2" fontId="176" fillId="0" borderId="33" xfId="0" applyNumberFormat="1" applyFont="1" applyBorder="1" applyAlignment="1">
      <alignment horizontal="center" vertical="center" wrapText="1"/>
    </xf>
    <xf numFmtId="0" fontId="176" fillId="0" borderId="60" xfId="0" applyFont="1" applyBorder="1" applyAlignment="1">
      <alignment horizontal="center" vertical="center" wrapText="1"/>
    </xf>
    <xf numFmtId="0" fontId="176" fillId="0" borderId="7" xfId="0" applyFont="1" applyBorder="1" applyAlignment="1">
      <alignment horizontal="center" vertical="center" wrapText="1"/>
    </xf>
    <xf numFmtId="1" fontId="176" fillId="29" borderId="7" xfId="0" applyNumberFormat="1" applyFont="1" applyFill="1" applyBorder="1" applyAlignment="1">
      <alignment horizontal="center" vertical="center" wrapText="1"/>
    </xf>
    <xf numFmtId="0" fontId="176" fillId="0" borderId="30" xfId="0" applyFont="1" applyBorder="1" applyAlignment="1">
      <alignment horizontal="center" vertical="center" wrapText="1"/>
    </xf>
    <xf numFmtId="0" fontId="176" fillId="0" borderId="8" xfId="0" applyFont="1" applyBorder="1" applyAlignment="1">
      <alignment horizontal="center" vertical="center" wrapText="1"/>
    </xf>
    <xf numFmtId="1" fontId="176" fillId="0" borderId="8" xfId="0" applyNumberFormat="1" applyFont="1" applyBorder="1" applyAlignment="1">
      <alignment horizontal="center" vertical="center" wrapText="1"/>
    </xf>
    <xf numFmtId="0" fontId="176" fillId="29" borderId="8" xfId="0" applyFont="1" applyFill="1" applyBorder="1" applyAlignment="1">
      <alignment horizontal="center" vertical="center" wrapText="1"/>
    </xf>
    <xf numFmtId="0" fontId="177" fillId="0" borderId="42" xfId="0" applyFont="1" applyBorder="1" applyAlignment="1">
      <alignment horizontal="center" vertical="center" wrapText="1"/>
    </xf>
    <xf numFmtId="0" fontId="178" fillId="0" borderId="7" xfId="0" applyFont="1" applyBorder="1" applyAlignment="1">
      <alignment horizontal="center" vertical="center" wrapText="1"/>
    </xf>
    <xf numFmtId="166" fontId="175" fillId="11" borderId="46" xfId="0" applyNumberFormat="1" applyFont="1" applyFill="1" applyBorder="1" applyAlignment="1">
      <alignment horizontal="center" vertical="center" wrapText="1"/>
    </xf>
    <xf numFmtId="0" fontId="177" fillId="0" borderId="38" xfId="0" applyFont="1" applyBorder="1" applyAlignment="1">
      <alignment horizontal="center" vertical="center" wrapText="1"/>
    </xf>
    <xf numFmtId="0" fontId="176" fillId="0" borderId="40" xfId="0" applyFont="1" applyBorder="1" applyAlignment="1">
      <alignment horizontal="center" vertical="center" wrapText="1"/>
    </xf>
    <xf numFmtId="166" fontId="176" fillId="29" borderId="8" xfId="0" applyNumberFormat="1" applyFont="1" applyFill="1" applyBorder="1" applyAlignment="1">
      <alignment horizontal="center" vertical="center" wrapText="1"/>
    </xf>
    <xf numFmtId="0" fontId="175" fillId="2" borderId="11" xfId="0" applyFont="1" applyFill="1" applyBorder="1" applyAlignment="1">
      <alignment horizontal="left" vertical="center"/>
    </xf>
    <xf numFmtId="0" fontId="175" fillId="2" borderId="15" xfId="0" applyFont="1" applyFill="1" applyBorder="1" applyAlignment="1">
      <alignment horizontal="center" vertical="center" wrapText="1"/>
    </xf>
    <xf numFmtId="0" fontId="175" fillId="2" borderId="13" xfId="0" applyFont="1" applyFill="1" applyBorder="1" applyAlignment="1">
      <alignment horizontal="left" vertical="center"/>
    </xf>
    <xf numFmtId="0" fontId="175"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75" fillId="2" borderId="12" xfId="0" applyFont="1" applyFill="1" applyBorder="1" applyAlignment="1">
      <alignment vertical="center" wrapText="1"/>
    </xf>
    <xf numFmtId="0" fontId="176" fillId="6" borderId="33" xfId="0" applyFont="1" applyFill="1" applyBorder="1" applyAlignment="1">
      <alignment horizontal="center" vertical="center" wrapText="1"/>
    </xf>
    <xf numFmtId="0" fontId="176" fillId="5" borderId="33" xfId="0" applyFont="1" applyFill="1" applyBorder="1" applyAlignment="1">
      <alignment horizontal="center" vertical="center" wrapText="1"/>
    </xf>
    <xf numFmtId="0" fontId="176" fillId="0" borderId="14" xfId="0" applyFont="1" applyBorder="1" applyAlignment="1">
      <alignment horizontal="center" vertical="center" wrapText="1"/>
    </xf>
    <xf numFmtId="0" fontId="176" fillId="6" borderId="16" xfId="0" applyFont="1" applyFill="1" applyBorder="1" applyAlignment="1">
      <alignment horizontal="center" vertical="center" wrapText="1"/>
    </xf>
    <xf numFmtId="0" fontId="176" fillId="5" borderId="16" xfId="0" applyFont="1" applyFill="1" applyBorder="1" applyAlignment="1">
      <alignment horizontal="center" vertical="center" wrapText="1"/>
    </xf>
    <xf numFmtId="0" fontId="176" fillId="0" borderId="26" xfId="0" applyFont="1" applyBorder="1" applyAlignment="1">
      <alignment horizontal="center" vertical="center" wrapText="1"/>
    </xf>
    <xf numFmtId="2" fontId="176" fillId="6" borderId="33" xfId="0" applyNumberFormat="1" applyFont="1" applyFill="1" applyBorder="1" applyAlignment="1">
      <alignment horizontal="center" vertical="center" wrapText="1"/>
    </xf>
    <xf numFmtId="0" fontId="176" fillId="5" borderId="7" xfId="0" applyFont="1" applyFill="1" applyBorder="1" applyAlignment="1">
      <alignment horizontal="center" vertical="center" wrapText="1"/>
    </xf>
    <xf numFmtId="1" fontId="176" fillId="0" borderId="14" xfId="0" applyNumberFormat="1" applyFont="1" applyBorder="1" applyAlignment="1">
      <alignment horizontal="center" vertical="center" wrapText="1"/>
    </xf>
    <xf numFmtId="166" fontId="176" fillId="6" borderId="33" xfId="0" applyNumberFormat="1" applyFont="1" applyFill="1" applyBorder="1" applyAlignment="1">
      <alignment horizontal="center" vertical="center" wrapText="1"/>
    </xf>
    <xf numFmtId="1" fontId="176" fillId="0" borderId="13" xfId="0" applyNumberFormat="1" applyFont="1" applyBorder="1" applyAlignment="1">
      <alignment horizontal="center" vertical="center" wrapText="1"/>
    </xf>
    <xf numFmtId="0" fontId="176" fillId="0" borderId="8" xfId="8" applyFont="1" applyBorder="1" applyAlignment="1">
      <alignment horizontal="center" vertical="center" wrapText="1"/>
    </xf>
    <xf numFmtId="1" fontId="176" fillId="6" borderId="33" xfId="0" applyNumberFormat="1" applyFont="1" applyFill="1" applyBorder="1" applyAlignment="1">
      <alignment horizontal="center" vertical="center" wrapText="1"/>
    </xf>
    <xf numFmtId="0" fontId="176" fillId="5" borderId="8" xfId="0" applyFont="1" applyFill="1" applyBorder="1" applyAlignment="1">
      <alignment horizontal="center" vertical="center" wrapText="1"/>
    </xf>
    <xf numFmtId="0" fontId="179" fillId="0" borderId="7" xfId="0" applyFont="1" applyBorder="1" applyAlignment="1">
      <alignment horizontal="center" vertical="center" wrapText="1"/>
    </xf>
    <xf numFmtId="0" fontId="175" fillId="2" borderId="23" xfId="0" applyFont="1" applyFill="1" applyBorder="1" applyAlignment="1">
      <alignment horizontal="center" vertical="center" wrapText="1"/>
    </xf>
    <xf numFmtId="0" fontId="116" fillId="0" borderId="0" xfId="0" applyFont="1" applyAlignment="1">
      <alignment horizontal="left" vertical="center" wrapText="1"/>
    </xf>
    <xf numFmtId="17" fontId="175" fillId="0" borderId="8" xfId="0" quotePrefix="1" applyNumberFormat="1" applyFont="1" applyBorder="1" applyAlignment="1">
      <alignment horizontal="center" vertical="center" wrapText="1"/>
    </xf>
    <xf numFmtId="0" fontId="179" fillId="0" borderId="7" xfId="0" quotePrefix="1" applyFont="1" applyBorder="1" applyAlignment="1">
      <alignment horizontal="center" vertical="center" wrapText="1"/>
    </xf>
    <xf numFmtId="0" fontId="179" fillId="0" borderId="16" xfId="0" quotePrefix="1" applyFont="1" applyBorder="1" applyAlignment="1">
      <alignment horizontal="center" vertical="center" wrapText="1"/>
    </xf>
    <xf numFmtId="0" fontId="122" fillId="6" borderId="8" xfId="10" quotePrefix="1" applyFont="1" applyFill="1" applyBorder="1" applyAlignment="1">
      <alignment horizontal="center" vertical="center"/>
    </xf>
    <xf numFmtId="170" fontId="122" fillId="6" borderId="8" xfId="10" quotePrefix="1" applyNumberFormat="1" applyFont="1" applyFill="1" applyBorder="1" applyAlignment="1">
      <alignment horizontal="center" vertical="center" wrapText="1"/>
    </xf>
    <xf numFmtId="0" fontId="122" fillId="0" borderId="8" xfId="10" quotePrefix="1" applyFont="1" applyBorder="1" applyAlignment="1">
      <alignment horizontal="center" vertical="center" wrapText="1"/>
    </xf>
    <xf numFmtId="167" fontId="122" fillId="0" borderId="8" xfId="10" quotePrefix="1" applyNumberFormat="1" applyFont="1" applyBorder="1" applyAlignment="1">
      <alignment horizontal="center" vertical="center" wrapText="1"/>
    </xf>
    <xf numFmtId="16" fontId="144" fillId="9" borderId="8" xfId="0" quotePrefix="1" applyNumberFormat="1" applyFont="1" applyFill="1" applyBorder="1" applyAlignment="1">
      <alignment horizontal="center" vertical="center"/>
    </xf>
    <xf numFmtId="0" fontId="144" fillId="9" borderId="8" xfId="0" quotePrefix="1" applyFont="1" applyFill="1" applyBorder="1" applyAlignment="1">
      <alignment horizontal="center" vertical="center"/>
    </xf>
    <xf numFmtId="1" fontId="122" fillId="6" borderId="7" xfId="10" quotePrefix="1" applyNumberFormat="1" applyFont="1" applyFill="1" applyBorder="1" applyAlignment="1">
      <alignment horizontal="center" vertical="center" wrapText="1"/>
    </xf>
    <xf numFmtId="0" fontId="184" fillId="0" borderId="8" xfId="10" applyFont="1" applyBorder="1" applyAlignment="1">
      <alignment horizontal="center" vertical="center"/>
    </xf>
    <xf numFmtId="168" fontId="184" fillId="0" borderId="8" xfId="10" applyNumberFormat="1" applyFont="1" applyBorder="1" applyAlignment="1">
      <alignment horizontal="center" vertical="center"/>
    </xf>
    <xf numFmtId="0" fontId="122" fillId="0" borderId="8" xfId="10" applyFont="1" applyBorder="1" applyAlignment="1">
      <alignment horizontal="center"/>
    </xf>
    <xf numFmtId="0" fontId="122" fillId="5" borderId="8" xfId="10" applyFont="1" applyFill="1" applyBorder="1" applyAlignment="1">
      <alignment horizontal="center"/>
    </xf>
    <xf numFmtId="168" fontId="122" fillId="0" borderId="8" xfId="10" applyNumberFormat="1" applyFont="1" applyBorder="1" applyAlignment="1">
      <alignment horizontal="center"/>
    </xf>
    <xf numFmtId="0" fontId="122" fillId="0" borderId="8" xfId="10" applyFont="1" applyBorder="1"/>
    <xf numFmtId="168" fontId="184" fillId="0" borderId="8" xfId="10" applyNumberFormat="1" applyFont="1" applyBorder="1" applyAlignment="1">
      <alignment horizontal="center"/>
    </xf>
    <xf numFmtId="0" fontId="184" fillId="0" borderId="8" xfId="10" applyFont="1" applyBorder="1" applyAlignment="1">
      <alignment horizontal="center"/>
    </xf>
    <xf numFmtId="0" fontId="184" fillId="5" borderId="8" xfId="10" applyFont="1" applyFill="1" applyBorder="1" applyAlignment="1">
      <alignment horizontal="center" vertical="center"/>
    </xf>
    <xf numFmtId="0" fontId="183" fillId="0" borderId="8" xfId="0" applyFont="1" applyBorder="1" applyAlignment="1">
      <alignment horizontal="center"/>
    </xf>
    <xf numFmtId="0" fontId="115" fillId="0" borderId="0" xfId="22" applyFont="1"/>
    <xf numFmtId="0" fontId="183" fillId="0" borderId="36" xfId="22" applyFont="1" applyBorder="1" applyAlignment="1">
      <alignment horizontal="center" vertical="center" wrapText="1"/>
    </xf>
    <xf numFmtId="0" fontId="183" fillId="0" borderId="54" xfId="22" applyFont="1" applyBorder="1" applyAlignment="1">
      <alignment horizontal="center" vertical="center" wrapText="1"/>
    </xf>
    <xf numFmtId="0" fontId="183" fillId="0" borderId="54" xfId="22" applyFont="1" applyBorder="1" applyAlignment="1">
      <alignment horizontal="center" vertical="center"/>
    </xf>
    <xf numFmtId="0" fontId="183" fillId="0" borderId="45" xfId="22" applyFont="1" applyBorder="1" applyAlignment="1">
      <alignment horizontal="center" vertical="center"/>
    </xf>
    <xf numFmtId="0" fontId="183" fillId="0" borderId="45" xfId="22" applyFont="1" applyBorder="1" applyAlignment="1">
      <alignment horizontal="center" vertical="center" wrapText="1"/>
    </xf>
    <xf numFmtId="0" fontId="183" fillId="0" borderId="1" xfId="22" applyFont="1" applyBorder="1" applyAlignment="1">
      <alignment horizontal="center" vertical="center" wrapText="1"/>
    </xf>
    <xf numFmtId="0" fontId="115" fillId="0" borderId="55" xfId="22" applyFont="1" applyBorder="1" applyAlignment="1">
      <alignment vertical="center"/>
    </xf>
    <xf numFmtId="0" fontId="115" fillId="0" borderId="0" xfId="22" applyFont="1" applyAlignment="1">
      <alignment vertical="center"/>
    </xf>
    <xf numFmtId="0" fontId="115" fillId="0" borderId="8" xfId="0" applyFont="1" applyBorder="1" applyAlignment="1">
      <alignment horizontal="center"/>
    </xf>
    <xf numFmtId="0" fontId="115" fillId="0" borderId="59" xfId="22" applyFont="1" applyBorder="1" applyAlignment="1">
      <alignment vertical="center"/>
    </xf>
    <xf numFmtId="0" fontId="115" fillId="0" borderId="57" xfId="22" applyFont="1" applyBorder="1" applyAlignment="1">
      <alignment vertical="center"/>
    </xf>
    <xf numFmtId="0" fontId="115" fillId="0" borderId="61" xfId="22" applyFont="1" applyBorder="1" applyAlignment="1">
      <alignment vertical="center"/>
    </xf>
    <xf numFmtId="0" fontId="115" fillId="0" borderId="41" xfId="22" applyFont="1" applyBorder="1" applyAlignment="1">
      <alignment vertical="center"/>
    </xf>
    <xf numFmtId="0" fontId="115" fillId="0" borderId="47" xfId="22" applyFont="1" applyBorder="1" applyAlignment="1">
      <alignment vertical="center"/>
    </xf>
    <xf numFmtId="0" fontId="115" fillId="0" borderId="0" xfId="22" applyFont="1" applyAlignment="1">
      <alignment horizontal="center"/>
    </xf>
    <xf numFmtId="0" fontId="115" fillId="0" borderId="0" xfId="22" applyFont="1" applyAlignment="1">
      <alignment horizontal="center" vertical="center"/>
    </xf>
    <xf numFmtId="0" fontId="115" fillId="0" borderId="0" xfId="22" applyFont="1" applyAlignment="1">
      <alignment horizontal="center" vertical="center" wrapText="1"/>
    </xf>
    <xf numFmtId="0" fontId="187" fillId="0" borderId="35" xfId="10" applyFont="1" applyBorder="1" applyAlignment="1">
      <alignment horizontal="center" vertical="center" wrapText="1"/>
    </xf>
    <xf numFmtId="0" fontId="187" fillId="0" borderId="36" xfId="10" applyFont="1" applyBorder="1" applyAlignment="1">
      <alignment horizontal="center" vertical="center" wrapText="1"/>
    </xf>
    <xf numFmtId="0" fontId="188" fillId="0" borderId="30" xfId="22" applyFont="1" applyBorder="1" applyAlignment="1">
      <alignment horizontal="center" vertical="center"/>
    </xf>
    <xf numFmtId="0" fontId="183" fillId="14" borderId="8" xfId="0" applyFont="1" applyFill="1" applyBorder="1" applyAlignment="1">
      <alignment horizontal="center" vertical="center"/>
    </xf>
    <xf numFmtId="14" fontId="115" fillId="0" borderId="8" xfId="22" applyNumberFormat="1" applyFont="1" applyBorder="1" applyAlignment="1">
      <alignment horizontal="center" vertical="center"/>
    </xf>
    <xf numFmtId="0" fontId="115" fillId="0" borderId="11" xfId="22" applyFont="1" applyBorder="1" applyAlignment="1">
      <alignment horizontal="center" vertical="center"/>
    </xf>
    <xf numFmtId="0" fontId="115" fillId="0" borderId="41" xfId="22" applyFont="1" applyBorder="1" applyAlignment="1">
      <alignment horizontal="center" vertical="center"/>
    </xf>
    <xf numFmtId="0" fontId="115" fillId="0" borderId="19" xfId="22" applyFont="1" applyBorder="1" applyAlignment="1">
      <alignment horizontal="center" vertical="center"/>
    </xf>
    <xf numFmtId="0" fontId="115" fillId="0" borderId="58" xfId="22" applyFont="1" applyBorder="1" applyAlignment="1">
      <alignment horizontal="center" vertical="center" wrapText="1"/>
    </xf>
    <xf numFmtId="14" fontId="115" fillId="0" borderId="33" xfId="22" applyNumberFormat="1" applyFont="1" applyBorder="1" applyAlignment="1">
      <alignment horizontal="center" vertical="center"/>
    </xf>
    <xf numFmtId="0" fontId="115" fillId="0" borderId="56" xfId="22" applyFont="1" applyBorder="1" applyAlignment="1">
      <alignment horizontal="center" vertical="center" wrapText="1"/>
    </xf>
    <xf numFmtId="166" fontId="115" fillId="0" borderId="8" xfId="0" applyNumberFormat="1" applyFont="1" applyBorder="1" applyAlignment="1">
      <alignment horizontal="center" vertical="center"/>
    </xf>
    <xf numFmtId="166" fontId="183" fillId="14" borderId="8" xfId="0" applyNumberFormat="1" applyFont="1" applyFill="1" applyBorder="1" applyAlignment="1">
      <alignment horizontal="center" vertical="center"/>
    </xf>
    <xf numFmtId="0" fontId="183" fillId="0" borderId="8" xfId="0" applyFont="1" applyBorder="1" applyAlignment="1">
      <alignment horizontal="center" vertical="center"/>
    </xf>
    <xf numFmtId="2" fontId="188" fillId="0" borderId="8" xfId="22" applyNumberFormat="1" applyFont="1" applyBorder="1" applyAlignment="1">
      <alignment horizontal="center" vertical="center"/>
    </xf>
    <xf numFmtId="0" fontId="188" fillId="0" borderId="42" xfId="22" applyFont="1" applyBorder="1" applyAlignment="1">
      <alignment horizontal="center" vertical="center"/>
    </xf>
    <xf numFmtId="0" fontId="188" fillId="0" borderId="7" xfId="22" applyFont="1" applyBorder="1" applyAlignment="1">
      <alignment horizontal="center" vertical="center"/>
    </xf>
    <xf numFmtId="1" fontId="188" fillId="0" borderId="7" xfId="22" applyNumberFormat="1" applyFont="1" applyBorder="1" applyAlignment="1">
      <alignment vertical="center"/>
    </xf>
    <xf numFmtId="1" fontId="188" fillId="0" borderId="7" xfId="22" applyNumberFormat="1" applyFont="1" applyBorder="1" applyAlignment="1">
      <alignment horizontal="center" vertical="center"/>
    </xf>
    <xf numFmtId="0" fontId="115" fillId="0" borderId="7" xfId="22" applyFont="1" applyBorder="1" applyAlignment="1">
      <alignment horizontal="center" vertical="center"/>
    </xf>
    <xf numFmtId="0" fontId="115" fillId="0" borderId="13" xfId="22" applyFont="1" applyBorder="1" applyAlignment="1">
      <alignment horizontal="center" vertical="center"/>
    </xf>
    <xf numFmtId="0" fontId="115" fillId="0" borderId="50" xfId="22" applyFont="1" applyBorder="1" applyAlignment="1">
      <alignment horizontal="center" vertical="center"/>
    </xf>
    <xf numFmtId="0" fontId="115" fillId="0" borderId="60" xfId="22" applyFont="1" applyBorder="1" applyAlignment="1">
      <alignment horizontal="center" vertical="center" wrapText="1"/>
    </xf>
    <xf numFmtId="166" fontId="187" fillId="0" borderId="46" xfId="22" applyNumberFormat="1" applyFont="1" applyBorder="1" applyAlignment="1">
      <alignment horizontal="center" vertical="center"/>
    </xf>
    <xf numFmtId="1" fontId="187" fillId="0" borderId="46" xfId="22" applyNumberFormat="1" applyFont="1" applyBorder="1" applyAlignment="1">
      <alignment horizontal="center" vertical="center"/>
    </xf>
    <xf numFmtId="0" fontId="115" fillId="0" borderId="46" xfId="22" applyFont="1" applyBorder="1" applyAlignment="1">
      <alignment vertical="center"/>
    </xf>
    <xf numFmtId="1" fontId="183" fillId="0" borderId="53" xfId="22" applyNumberFormat="1" applyFont="1" applyBorder="1" applyAlignment="1">
      <alignment horizontal="center" vertical="center"/>
    </xf>
    <xf numFmtId="1" fontId="183" fillId="0" borderId="62" xfId="22" applyNumberFormat="1" applyFont="1" applyBorder="1" applyAlignment="1">
      <alignment horizontal="center" vertical="center" wrapText="1"/>
    </xf>
    <xf numFmtId="166" fontId="187" fillId="0" borderId="16" xfId="22" applyNumberFormat="1" applyFont="1" applyBorder="1" applyAlignment="1">
      <alignment horizontal="center" vertical="center"/>
    </xf>
    <xf numFmtId="0" fontId="115" fillId="0" borderId="16" xfId="22" applyFont="1" applyBorder="1" applyAlignment="1">
      <alignment vertical="center"/>
    </xf>
    <xf numFmtId="1" fontId="183" fillId="0" borderId="49" xfId="22" applyNumberFormat="1" applyFont="1" applyBorder="1" applyAlignment="1">
      <alignment horizontal="center" vertical="center"/>
    </xf>
    <xf numFmtId="1" fontId="183" fillId="0" borderId="4" xfId="22" applyNumberFormat="1" applyFont="1" applyBorder="1" applyAlignment="1">
      <alignment horizontal="center" vertical="center" wrapText="1"/>
    </xf>
    <xf numFmtId="0" fontId="188" fillId="0" borderId="37" xfId="22" applyFont="1" applyBorder="1" applyAlignment="1">
      <alignment horizontal="center" vertical="center"/>
    </xf>
    <xf numFmtId="2" fontId="188" fillId="0" borderId="33" xfId="22" applyNumberFormat="1" applyFont="1" applyBorder="1" applyAlignment="1">
      <alignment horizontal="center" vertical="center"/>
    </xf>
    <xf numFmtId="0" fontId="183" fillId="0" borderId="0" xfId="0" applyFont="1" applyAlignment="1">
      <alignment horizontal="left"/>
    </xf>
    <xf numFmtId="0" fontId="115" fillId="0" borderId="0" xfId="0" applyFont="1"/>
    <xf numFmtId="0" fontId="115" fillId="0" borderId="32" xfId="0" applyFont="1" applyBorder="1" applyAlignment="1">
      <alignment horizontal="center"/>
    </xf>
    <xf numFmtId="0" fontId="115" fillId="0" borderId="17" xfId="0" applyFont="1" applyBorder="1"/>
    <xf numFmtId="0" fontId="115" fillId="0" borderId="0" xfId="0" applyFont="1" applyAlignment="1">
      <alignment horizontal="center" vertical="center"/>
    </xf>
    <xf numFmtId="0" fontId="183" fillId="15" borderId="8" xfId="0" applyFont="1" applyFill="1" applyBorder="1" applyAlignment="1">
      <alignment horizontal="center" vertical="center" wrapText="1"/>
    </xf>
    <xf numFmtId="16" fontId="115" fillId="16" borderId="8" xfId="0" applyNumberFormat="1" applyFont="1" applyFill="1" applyBorder="1" applyAlignment="1">
      <alignment horizontal="center"/>
    </xf>
    <xf numFmtId="0" fontId="115" fillId="0" borderId="8" xfId="0" applyFont="1" applyBorder="1"/>
    <xf numFmtId="0" fontId="115" fillId="5" borderId="8" xfId="0" applyFont="1" applyFill="1" applyBorder="1"/>
    <xf numFmtId="166" fontId="189" fillId="0" borderId="8" xfId="0" applyNumberFormat="1" applyFont="1" applyBorder="1" applyAlignment="1">
      <alignment horizontal="center" vertical="center"/>
    </xf>
    <xf numFmtId="166" fontId="115" fillId="0" borderId="8" xfId="0" applyNumberFormat="1" applyFont="1" applyBorder="1" applyAlignment="1">
      <alignment horizontal="center"/>
    </xf>
    <xf numFmtId="0" fontId="115" fillId="0" borderId="0" xfId="0" applyFont="1" applyAlignment="1">
      <alignment horizontal="left" vertical="center"/>
    </xf>
    <xf numFmtId="16" fontId="115" fillId="0" borderId="8" xfId="0" applyNumberFormat="1" applyFont="1" applyBorder="1" applyAlignment="1">
      <alignment horizontal="center"/>
    </xf>
    <xf numFmtId="0" fontId="115" fillId="0" borderId="3" xfId="0" applyFont="1" applyBorder="1"/>
    <xf numFmtId="14" fontId="114" fillId="0" borderId="8" xfId="22" applyNumberFormat="1" applyFont="1" applyBorder="1" applyAlignment="1">
      <alignment horizontal="center" vertical="center"/>
    </xf>
    <xf numFmtId="14" fontId="113" fillId="0" borderId="33" xfId="22" applyNumberFormat="1" applyFont="1" applyBorder="1" applyAlignment="1">
      <alignment horizontal="center" vertical="center"/>
    </xf>
    <xf numFmtId="14" fontId="112" fillId="0" borderId="33" xfId="22" applyNumberFormat="1" applyFont="1" applyBorder="1" applyAlignment="1">
      <alignment horizontal="center" vertical="center"/>
    </xf>
    <xf numFmtId="16" fontId="111" fillId="0" borderId="8" xfId="0" applyNumberFormat="1" applyFont="1" applyBorder="1" applyAlignment="1">
      <alignment horizontal="center"/>
    </xf>
    <xf numFmtId="0" fontId="110" fillId="0" borderId="8" xfId="0" applyFont="1" applyBorder="1"/>
    <xf numFmtId="0" fontId="122" fillId="30" borderId="8" xfId="10" applyFont="1" applyFill="1" applyBorder="1" applyAlignment="1">
      <alignment horizontal="center" vertical="center"/>
    </xf>
    <xf numFmtId="0" fontId="190" fillId="0" borderId="0" xfId="0" applyFont="1" applyAlignment="1">
      <alignment horizontal="center" vertical="center"/>
    </xf>
    <xf numFmtId="14" fontId="109" fillId="0" borderId="8" xfId="22" applyNumberFormat="1" applyFont="1" applyBorder="1" applyAlignment="1">
      <alignment horizontal="center" vertical="center"/>
    </xf>
    <xf numFmtId="0" fontId="108" fillId="0" borderId="0" xfId="0" applyFont="1" applyAlignment="1">
      <alignment horizontal="center" vertical="center"/>
    </xf>
    <xf numFmtId="14" fontId="108" fillId="0" borderId="8" xfId="22" applyNumberFormat="1" applyFont="1" applyBorder="1" applyAlignment="1">
      <alignment horizontal="center" vertical="center"/>
    </xf>
    <xf numFmtId="0" fontId="107" fillId="0" borderId="0" xfId="0" applyFont="1" applyAlignment="1">
      <alignment horizontal="center" vertical="center"/>
    </xf>
    <xf numFmtId="0" fontId="107" fillId="0" borderId="11" xfId="22" applyFont="1" applyBorder="1" applyAlignment="1">
      <alignment horizontal="center" vertical="center"/>
    </xf>
    <xf numFmtId="0" fontId="106" fillId="0" borderId="11" xfId="22" applyFont="1" applyBorder="1" applyAlignment="1">
      <alignment horizontal="center" vertical="center"/>
    </xf>
    <xf numFmtId="14" fontId="105" fillId="0" borderId="8" xfId="22" applyNumberFormat="1" applyFont="1" applyBorder="1" applyAlignment="1">
      <alignment horizontal="center" vertical="center"/>
    </xf>
    <xf numFmtId="0" fontId="104" fillId="0" borderId="8" xfId="0" applyFont="1" applyBorder="1" applyAlignment="1">
      <alignment horizontal="center"/>
    </xf>
    <xf numFmtId="14" fontId="104" fillId="0" borderId="8" xfId="22" applyNumberFormat="1" applyFont="1" applyBorder="1" applyAlignment="1">
      <alignment horizontal="center" vertical="center"/>
    </xf>
    <xf numFmtId="0" fontId="103" fillId="0" borderId="11" xfId="22" applyFont="1" applyBorder="1" applyAlignment="1">
      <alignment horizontal="center" vertical="center"/>
    </xf>
    <xf numFmtId="0" fontId="103" fillId="0" borderId="58" xfId="22" applyFont="1" applyBorder="1" applyAlignment="1">
      <alignment horizontal="center" vertical="center" wrapText="1"/>
    </xf>
    <xf numFmtId="0" fontId="102" fillId="0" borderId="8" xfId="0" applyFont="1" applyBorder="1" applyAlignment="1">
      <alignment horizontal="center"/>
    </xf>
    <xf numFmtId="0" fontId="101" fillId="0" borderId="8" xfId="0" applyFont="1" applyBorder="1" applyAlignment="1">
      <alignment horizontal="center"/>
    </xf>
    <xf numFmtId="0" fontId="184" fillId="6" borderId="8" xfId="10" applyFont="1" applyFill="1" applyBorder="1" applyAlignment="1">
      <alignment horizontal="center" vertical="center"/>
    </xf>
    <xf numFmtId="0" fontId="100" fillId="0" borderId="8" xfId="0" applyFont="1" applyBorder="1" applyAlignment="1">
      <alignment horizontal="center"/>
    </xf>
    <xf numFmtId="0" fontId="99" fillId="0" borderId="8" xfId="0" applyFont="1" applyBorder="1" applyAlignment="1">
      <alignment horizontal="center"/>
    </xf>
    <xf numFmtId="16" fontId="98" fillId="0" borderId="8" xfId="0" applyNumberFormat="1" applyFont="1" applyBorder="1" applyAlignment="1">
      <alignment horizontal="center"/>
    </xf>
    <xf numFmtId="0" fontId="98" fillId="0" borderId="8" xfId="0" applyFont="1" applyBorder="1" applyAlignment="1">
      <alignment horizontal="center"/>
    </xf>
    <xf numFmtId="0" fontId="97" fillId="0" borderId="8" xfId="0" applyFont="1" applyBorder="1" applyAlignment="1">
      <alignment horizontal="center"/>
    </xf>
    <xf numFmtId="14" fontId="96" fillId="0" borderId="8" xfId="22" applyNumberFormat="1" applyFont="1" applyBorder="1" applyAlignment="1">
      <alignment horizontal="center" vertical="center"/>
    </xf>
    <xf numFmtId="0" fontId="184" fillId="0" borderId="0" xfId="10" applyFont="1" applyAlignment="1">
      <alignment horizontal="center" vertical="center"/>
    </xf>
    <xf numFmtId="0" fontId="95" fillId="0" borderId="8" xfId="0" applyFont="1" applyBorder="1" applyAlignment="1">
      <alignment horizontal="center"/>
    </xf>
    <xf numFmtId="0" fontId="95" fillId="5" borderId="8" xfId="0" applyFont="1" applyFill="1" applyBorder="1"/>
    <xf numFmtId="0" fontId="94" fillId="0" borderId="0" xfId="0" applyFont="1"/>
    <xf numFmtId="0" fontId="93" fillId="0" borderId="8" xfId="0" applyFont="1" applyBorder="1"/>
    <xf numFmtId="0" fontId="93" fillId="0" borderId="8" xfId="0" applyFont="1" applyBorder="1" applyAlignment="1">
      <alignment horizontal="center"/>
    </xf>
    <xf numFmtId="0" fontId="92" fillId="0" borderId="0" xfId="26"/>
    <xf numFmtId="0" fontId="191" fillId="0" borderId="0" xfId="26" applyFont="1"/>
    <xf numFmtId="0" fontId="197" fillId="0" borderId="0" xfId="10" applyFont="1" applyAlignment="1">
      <alignment horizontal="left" vertical="center"/>
    </xf>
    <xf numFmtId="0" fontId="197" fillId="0" borderId="0" xfId="10" applyFont="1" applyAlignment="1">
      <alignment vertical="center"/>
    </xf>
    <xf numFmtId="0" fontId="198" fillId="0" borderId="0" xfId="10" applyFont="1" applyAlignment="1">
      <alignment vertical="center"/>
    </xf>
    <xf numFmtId="0" fontId="148" fillId="0" borderId="0" xfId="10" applyFont="1" applyAlignment="1">
      <alignment vertical="center"/>
    </xf>
    <xf numFmtId="0" fontId="148" fillId="0" borderId="0" xfId="10" applyFont="1" applyAlignment="1">
      <alignment horizontal="center" vertical="center" wrapText="1"/>
    </xf>
    <xf numFmtId="0" fontId="148" fillId="0" borderId="0" xfId="10" applyFont="1" applyAlignment="1">
      <alignment horizontal="center" vertical="center"/>
    </xf>
    <xf numFmtId="0" fontId="149" fillId="0" borderId="0" xfId="10" applyFont="1" applyAlignment="1">
      <alignment vertical="center"/>
    </xf>
    <xf numFmtId="0" fontId="149" fillId="0" borderId="0" xfId="10" applyFont="1" applyAlignment="1">
      <alignment horizontal="left" vertical="center"/>
    </xf>
    <xf numFmtId="0" fontId="149" fillId="0" borderId="0" xfId="10" applyFont="1" applyAlignment="1">
      <alignment horizontal="left" vertical="center" wrapText="1"/>
    </xf>
    <xf numFmtId="0" fontId="199" fillId="0" borderId="0" xfId="10" applyFont="1" applyAlignment="1">
      <alignment vertical="center"/>
    </xf>
    <xf numFmtId="0" fontId="195" fillId="0" borderId="8" xfId="0" applyFont="1" applyBorder="1" applyAlignment="1">
      <alignment horizontal="center" vertical="center"/>
    </xf>
    <xf numFmtId="16" fontId="195" fillId="0" borderId="8" xfId="0" quotePrefix="1" applyNumberFormat="1" applyFont="1" applyBorder="1" applyAlignment="1">
      <alignment horizontal="center" vertical="center"/>
    </xf>
    <xf numFmtId="175" fontId="195" fillId="0" borderId="8" xfId="0" applyNumberFormat="1" applyFont="1" applyBorder="1" applyAlignment="1">
      <alignment horizontal="center" vertical="center"/>
    </xf>
    <xf numFmtId="0" fontId="195" fillId="0" borderId="0" xfId="0" applyFont="1" applyAlignment="1">
      <alignment vertical="center"/>
    </xf>
    <xf numFmtId="0" fontId="196" fillId="3" borderId="8" xfId="0" applyFont="1" applyFill="1" applyBorder="1" applyAlignment="1">
      <alignment horizontal="center" vertical="center"/>
    </xf>
    <xf numFmtId="0" fontId="196" fillId="3" borderId="8" xfId="0" applyFont="1" applyFill="1" applyBorder="1" applyAlignment="1">
      <alignment horizontal="center" vertical="center" wrapText="1"/>
    </xf>
    <xf numFmtId="0" fontId="196" fillId="0" borderId="0" xfId="0" applyFont="1" applyAlignment="1">
      <alignment horizontal="center" vertical="center"/>
    </xf>
    <xf numFmtId="0" fontId="193" fillId="31" borderId="8" xfId="26" applyFont="1" applyFill="1" applyBorder="1" applyAlignment="1">
      <alignment horizontal="center" vertical="center" wrapText="1"/>
    </xf>
    <xf numFmtId="0" fontId="166" fillId="0" borderId="8" xfId="26" applyFont="1" applyBorder="1" applyAlignment="1">
      <alignment horizontal="center" vertical="center" wrapText="1"/>
    </xf>
    <xf numFmtId="1" fontId="166" fillId="0" borderId="8" xfId="26" applyNumberFormat="1" applyFont="1" applyBorder="1" applyAlignment="1">
      <alignment horizontal="center" vertical="center" wrapText="1"/>
    </xf>
    <xf numFmtId="0" fontId="166" fillId="32" borderId="8" xfId="26" applyFont="1" applyFill="1" applyBorder="1" applyAlignment="1">
      <alignment horizontal="center" vertical="center" wrapText="1"/>
    </xf>
    <xf numFmtId="0" fontId="148" fillId="0" borderId="8" xfId="26" applyFont="1" applyBorder="1" applyAlignment="1">
      <alignment horizontal="center" vertical="center" wrapText="1"/>
    </xf>
    <xf numFmtId="0" fontId="148" fillId="32" borderId="8" xfId="26" applyFont="1" applyFill="1" applyBorder="1" applyAlignment="1">
      <alignment horizontal="center" vertical="center" wrapText="1"/>
    </xf>
    <xf numFmtId="0" fontId="166" fillId="0" borderId="8" xfId="26" applyFont="1" applyBorder="1" applyAlignment="1">
      <alignment horizontal="center" wrapText="1"/>
    </xf>
    <xf numFmtId="0" fontId="166" fillId="32" borderId="8" xfId="26" applyFont="1" applyFill="1" applyBorder="1" applyAlignment="1">
      <alignment horizontal="center" wrapText="1"/>
    </xf>
    <xf numFmtId="14" fontId="166" fillId="0" borderId="8" xfId="26" applyNumberFormat="1" applyFont="1" applyBorder="1" applyAlignment="1">
      <alignment horizontal="center" vertical="center" wrapText="1"/>
    </xf>
    <xf numFmtId="0" fontId="200" fillId="0" borderId="0" xfId="27" applyFont="1" applyAlignment="1">
      <alignment horizontal="center"/>
    </xf>
    <xf numFmtId="0" fontId="201" fillId="33" borderId="34" xfId="27" applyFont="1" applyFill="1" applyBorder="1" applyAlignment="1">
      <alignment horizontal="left" vertical="center" wrapText="1"/>
    </xf>
    <xf numFmtId="0" fontId="202" fillId="0" borderId="0" xfId="27" applyFont="1" applyAlignment="1">
      <alignment horizontal="center" vertical="center"/>
    </xf>
    <xf numFmtId="0" fontId="203" fillId="0" borderId="0" xfId="27" applyFont="1" applyAlignment="1">
      <alignment horizontal="center" vertical="center"/>
    </xf>
    <xf numFmtId="0" fontId="200" fillId="0" borderId="0" xfId="27" applyFont="1" applyAlignment="1">
      <alignment horizontal="center" vertical="center"/>
    </xf>
    <xf numFmtId="0" fontId="201" fillId="33" borderId="30" xfId="27" applyFont="1" applyFill="1" applyBorder="1" applyAlignment="1">
      <alignment horizontal="left" vertical="center"/>
    </xf>
    <xf numFmtId="0" fontId="200" fillId="0" borderId="0" xfId="27" applyFont="1"/>
    <xf numFmtId="0" fontId="202" fillId="0" borderId="0" xfId="27" applyFont="1" applyAlignment="1">
      <alignment vertical="center"/>
    </xf>
    <xf numFmtId="0" fontId="201" fillId="33" borderId="38" xfId="27" applyFont="1" applyFill="1" applyBorder="1" applyAlignment="1">
      <alignment horizontal="left" vertical="center"/>
    </xf>
    <xf numFmtId="0" fontId="204" fillId="34" borderId="3" xfId="27" applyFont="1" applyFill="1" applyBorder="1"/>
    <xf numFmtId="0" fontId="200" fillId="34" borderId="0" xfId="27" applyFont="1" applyFill="1"/>
    <xf numFmtId="0" fontId="204" fillId="35" borderId="68" xfId="27" applyFont="1" applyFill="1" applyBorder="1" applyAlignment="1">
      <alignment horizontal="center" vertical="center"/>
    </xf>
    <xf numFmtId="0" fontId="204" fillId="35" borderId="63" xfId="27" applyFont="1" applyFill="1" applyBorder="1" applyAlignment="1">
      <alignment horizontal="center" vertical="center"/>
    </xf>
    <xf numFmtId="0" fontId="204" fillId="35" borderId="63" xfId="27" applyFont="1" applyFill="1" applyBorder="1" applyAlignment="1">
      <alignment horizontal="center" vertical="center" wrapText="1"/>
    </xf>
    <xf numFmtId="0" fontId="204" fillId="35" borderId="69" xfId="27" applyFont="1" applyFill="1" applyBorder="1" applyAlignment="1">
      <alignment horizontal="center" vertical="center" wrapText="1"/>
    </xf>
    <xf numFmtId="0" fontId="200" fillId="0" borderId="8" xfId="27" applyFont="1" applyBorder="1" applyAlignment="1">
      <alignment horizontal="left" vertical="center" wrapText="1"/>
    </xf>
    <xf numFmtId="0" fontId="200" fillId="36" borderId="8" xfId="27" applyFont="1" applyFill="1" applyBorder="1" applyAlignment="1">
      <alignment horizontal="center" vertical="center" wrapText="1"/>
    </xf>
    <xf numFmtId="176" fontId="200" fillId="36" borderId="8" xfId="28" applyFont="1" applyFill="1" applyBorder="1" applyAlignment="1">
      <alignment horizontal="center" vertical="center"/>
    </xf>
    <xf numFmtId="0" fontId="200" fillId="36" borderId="19" xfId="27" applyFont="1" applyFill="1" applyBorder="1" applyAlignment="1">
      <alignment vertical="center" wrapText="1"/>
    </xf>
    <xf numFmtId="0" fontId="200" fillId="37" borderId="8" xfId="27" applyFont="1" applyFill="1" applyBorder="1" applyAlignment="1">
      <alignment horizontal="center" vertical="center"/>
    </xf>
    <xf numFmtId="176" fontId="200" fillId="37" borderId="8" xfId="28" applyFont="1" applyFill="1" applyBorder="1" applyAlignment="1">
      <alignment horizontal="center" vertical="center"/>
    </xf>
    <xf numFmtId="0" fontId="200" fillId="37" borderId="19" xfId="27" applyFont="1" applyFill="1" applyBorder="1" applyAlignment="1">
      <alignment vertical="center" wrapText="1"/>
    </xf>
    <xf numFmtId="0" fontId="200" fillId="0" borderId="8" xfId="27" applyFont="1" applyBorder="1" applyAlignment="1">
      <alignment horizontal="left" vertical="center"/>
    </xf>
    <xf numFmtId="0" fontId="200" fillId="0" borderId="16" xfId="27" applyFont="1" applyBorder="1" applyAlignment="1">
      <alignment horizontal="left" vertical="center"/>
    </xf>
    <xf numFmtId="0" fontId="208" fillId="39" borderId="36" xfId="27" applyFont="1" applyFill="1" applyBorder="1" applyAlignment="1">
      <alignment horizontal="center" vertical="center"/>
    </xf>
    <xf numFmtId="176" fontId="207" fillId="39" borderId="36" xfId="27" applyNumberFormat="1" applyFont="1" applyFill="1" applyBorder="1" applyAlignment="1">
      <alignment horizontal="center" vertical="center"/>
    </xf>
    <xf numFmtId="176" fontId="207" fillId="39" borderId="45" xfId="27" applyNumberFormat="1" applyFont="1" applyFill="1" applyBorder="1" applyAlignment="1">
      <alignment horizontal="center" vertical="center"/>
    </xf>
    <xf numFmtId="0" fontId="149" fillId="0" borderId="0" xfId="10" applyFont="1" applyAlignment="1">
      <alignment horizontal="center" vertical="center"/>
    </xf>
    <xf numFmtId="14" fontId="149" fillId="0" borderId="0" xfId="10" applyNumberFormat="1" applyFont="1" applyAlignment="1">
      <alignment horizontal="center" vertical="center"/>
    </xf>
    <xf numFmtId="0" fontId="209" fillId="0" borderId="0" xfId="29" applyFont="1" applyAlignment="1">
      <alignment vertical="center"/>
    </xf>
    <xf numFmtId="0" fontId="150" fillId="0" borderId="0" xfId="29" applyFont="1" applyAlignment="1">
      <alignment vertical="center"/>
    </xf>
    <xf numFmtId="0" fontId="90" fillId="0" borderId="0" xfId="30"/>
    <xf numFmtId="0" fontId="209" fillId="0" borderId="0" xfId="29" quotePrefix="1" applyFont="1" applyAlignment="1">
      <alignment vertical="center"/>
    </xf>
    <xf numFmtId="0" fontId="209" fillId="0" borderId="0" xfId="29" applyFont="1" applyAlignment="1">
      <alignment horizontal="center" vertical="center"/>
    </xf>
    <xf numFmtId="0" fontId="210" fillId="0" borderId="0" xfId="29" applyFont="1"/>
    <xf numFmtId="0" fontId="150" fillId="0" borderId="0" xfId="29" applyFont="1" applyAlignment="1">
      <alignment horizontal="right"/>
    </xf>
    <xf numFmtId="0" fontId="149" fillId="0" borderId="8" xfId="29" applyFont="1" applyBorder="1" applyAlignment="1">
      <alignment horizontal="center" vertical="center" wrapText="1"/>
    </xf>
    <xf numFmtId="0" fontId="149" fillId="27" borderId="8" xfId="29" applyFont="1" applyFill="1" applyBorder="1" applyAlignment="1">
      <alignment vertical="center" wrapText="1"/>
    </xf>
    <xf numFmtId="0" fontId="149" fillId="27" borderId="8" xfId="29" applyFont="1" applyFill="1" applyBorder="1" applyAlignment="1">
      <alignment horizontal="center" vertical="center" wrapText="1"/>
    </xf>
    <xf numFmtId="41" fontId="148" fillId="27" borderId="8" xfId="29" applyNumberFormat="1" applyFont="1" applyFill="1" applyBorder="1" applyAlignment="1">
      <alignment horizontal="center" vertical="center" wrapText="1"/>
    </xf>
    <xf numFmtId="41" fontId="148" fillId="27" borderId="8" xfId="29" applyNumberFormat="1" applyFont="1" applyFill="1" applyBorder="1" applyAlignment="1">
      <alignment vertical="center" wrapText="1"/>
    </xf>
    <xf numFmtId="41" fontId="148" fillId="27" borderId="8" xfId="29" applyNumberFormat="1" applyFont="1" applyFill="1" applyBorder="1" applyAlignment="1">
      <alignment horizontal="center"/>
    </xf>
    <xf numFmtId="41" fontId="148" fillId="27" borderId="8" xfId="31" applyNumberFormat="1" applyFont="1" applyFill="1" applyBorder="1" applyAlignment="1">
      <alignment horizontal="center"/>
    </xf>
    <xf numFmtId="0" fontId="149" fillId="0" borderId="8" xfId="29" applyFont="1" applyBorder="1" applyAlignment="1">
      <alignment vertical="center" wrapText="1"/>
    </xf>
    <xf numFmtId="41" fontId="148" fillId="0" borderId="8" xfId="29" applyNumberFormat="1" applyFont="1" applyBorder="1" applyAlignment="1">
      <alignment horizontal="center" vertical="center" wrapText="1"/>
    </xf>
    <xf numFmtId="41" fontId="148" fillId="0" borderId="8" xfId="29" applyNumberFormat="1" applyFont="1" applyBorder="1" applyAlignment="1">
      <alignment vertical="center" wrapText="1"/>
    </xf>
    <xf numFmtId="41" fontId="148" fillId="0" borderId="8" xfId="29" applyNumberFormat="1" applyFont="1" applyBorder="1" applyAlignment="1">
      <alignment horizontal="center" vertical="center"/>
    </xf>
    <xf numFmtId="41" fontId="148" fillId="0" borderId="8" xfId="31" applyNumberFormat="1" applyFont="1" applyFill="1" applyBorder="1" applyAlignment="1">
      <alignment horizontal="center" vertical="center"/>
    </xf>
    <xf numFmtId="41" fontId="148" fillId="27" borderId="8" xfId="29" applyNumberFormat="1" applyFont="1" applyFill="1" applyBorder="1" applyAlignment="1">
      <alignment horizontal="center" vertical="center"/>
    </xf>
    <xf numFmtId="41" fontId="148" fillId="27" borderId="8" xfId="29" applyNumberFormat="1" applyFont="1" applyFill="1" applyBorder="1" applyAlignment="1">
      <alignment horizontal="right" vertical="center" wrapText="1"/>
    </xf>
    <xf numFmtId="177" fontId="149" fillId="0" borderId="8" xfId="29" applyNumberFormat="1" applyFont="1" applyBorder="1" applyAlignment="1">
      <alignment horizontal="center" vertical="center" wrapText="1"/>
    </xf>
    <xf numFmtId="41" fontId="149" fillId="0" borderId="8" xfId="29" applyNumberFormat="1" applyFont="1" applyBorder="1" applyAlignment="1">
      <alignment horizontal="center" vertical="center" wrapText="1"/>
    </xf>
    <xf numFmtId="177" fontId="149" fillId="0" borderId="8" xfId="29" applyNumberFormat="1" applyFont="1" applyBorder="1" applyAlignment="1">
      <alignment vertical="center" wrapText="1"/>
    </xf>
    <xf numFmtId="41" fontId="149" fillId="0" borderId="8" xfId="29" applyNumberFormat="1" applyFont="1" applyBorder="1" applyAlignment="1">
      <alignment horizontal="center" vertical="center"/>
    </xf>
    <xf numFmtId="177" fontId="149" fillId="0" borderId="8" xfId="29" applyNumberFormat="1" applyFont="1" applyBorder="1" applyAlignment="1">
      <alignment horizontal="center" vertical="center"/>
    </xf>
    <xf numFmtId="177" fontId="149" fillId="0" borderId="8" xfId="29" applyNumberFormat="1" applyFont="1" applyBorder="1" applyAlignment="1">
      <alignment horizontal="right" vertical="center" wrapText="1"/>
    </xf>
    <xf numFmtId="177" fontId="148" fillId="0" borderId="8" xfId="29" applyNumberFormat="1" applyFont="1" applyBorder="1" applyAlignment="1">
      <alignment horizontal="center" vertical="center" wrapText="1"/>
    </xf>
    <xf numFmtId="177" fontId="148" fillId="0" borderId="8" xfId="29" applyNumberFormat="1" applyFont="1" applyBorder="1" applyAlignment="1">
      <alignment vertical="center" wrapText="1"/>
    </xf>
    <xf numFmtId="177" fontId="148" fillId="0" borderId="8" xfId="29" applyNumberFormat="1" applyFont="1" applyBorder="1" applyAlignment="1">
      <alignment horizontal="center" vertical="center"/>
    </xf>
    <xf numFmtId="177" fontId="148" fillId="0" borderId="8" xfId="29" applyNumberFormat="1" applyFont="1" applyBorder="1" applyAlignment="1">
      <alignment horizontal="right" vertical="center" wrapText="1"/>
    </xf>
    <xf numFmtId="41" fontId="148" fillId="0" borderId="8" xfId="29" applyNumberFormat="1" applyFont="1" applyBorder="1" applyAlignment="1">
      <alignment horizontal="right" vertical="center" wrapText="1"/>
    </xf>
    <xf numFmtId="0" fontId="149" fillId="27" borderId="8" xfId="29" applyFont="1" applyFill="1" applyBorder="1" applyAlignment="1">
      <alignment vertical="center"/>
    </xf>
    <xf numFmtId="0" fontId="149" fillId="27" borderId="8" xfId="29" applyFont="1" applyFill="1" applyBorder="1" applyAlignment="1">
      <alignment horizontal="center"/>
    </xf>
    <xf numFmtId="41" fontId="148" fillId="27" borderId="8" xfId="29" applyNumberFormat="1" applyFont="1" applyFill="1" applyBorder="1" applyAlignment="1">
      <alignment vertical="center"/>
    </xf>
    <xf numFmtId="41" fontId="148" fillId="27" borderId="8" xfId="31" applyNumberFormat="1" applyFont="1" applyFill="1" applyBorder="1" applyAlignment="1">
      <alignment horizontal="center" vertical="center"/>
    </xf>
    <xf numFmtId="0" fontId="149" fillId="0" borderId="8" xfId="29" applyFont="1" applyBorder="1" applyAlignment="1">
      <alignment vertical="center"/>
    </xf>
    <xf numFmtId="0" fontId="149" fillId="0" borderId="8" xfId="29" applyFont="1" applyBorder="1" applyAlignment="1">
      <alignment horizontal="center"/>
    </xf>
    <xf numFmtId="41" fontId="148" fillId="0" borderId="8" xfId="29" applyNumberFormat="1" applyFont="1" applyBorder="1" applyAlignment="1">
      <alignment vertical="center"/>
    </xf>
    <xf numFmtId="14" fontId="209" fillId="0" borderId="0" xfId="29" applyNumberFormat="1" applyFont="1" applyAlignment="1">
      <alignment vertical="center"/>
    </xf>
    <xf numFmtId="0" fontId="149" fillId="0" borderId="8" xfId="29" applyFont="1" applyBorder="1" applyAlignment="1">
      <alignment horizontal="center" vertical="center"/>
    </xf>
    <xf numFmtId="0" fontId="148" fillId="27" borderId="8" xfId="29" applyFont="1" applyFill="1" applyBorder="1" applyAlignment="1">
      <alignment horizontal="center" vertical="center" wrapText="1"/>
    </xf>
    <xf numFmtId="0" fontId="148" fillId="0" borderId="8" xfId="29" applyFont="1" applyBorder="1" applyAlignment="1">
      <alignment horizontal="center" vertical="center" wrapText="1"/>
    </xf>
    <xf numFmtId="0" fontId="148" fillId="27" borderId="8" xfId="29" applyFont="1" applyFill="1" applyBorder="1"/>
    <xf numFmtId="0" fontId="148" fillId="0" borderId="8" xfId="29" applyFont="1" applyBorder="1"/>
    <xf numFmtId="0" fontId="149" fillId="27" borderId="8" xfId="29" applyFont="1" applyFill="1" applyBorder="1" applyAlignment="1">
      <alignment horizontal="center" vertical="center"/>
    </xf>
    <xf numFmtId="0" fontId="90" fillId="0" borderId="0" xfId="30" applyAlignment="1">
      <alignment horizontal="center"/>
    </xf>
    <xf numFmtId="0" fontId="209" fillId="0" borderId="0" xfId="29" applyFont="1" applyAlignment="1">
      <alignment horizontal="left" vertical="center"/>
    </xf>
    <xf numFmtId="0" fontId="209" fillId="0" borderId="0" xfId="29" quotePrefix="1" applyFont="1" applyAlignment="1">
      <alignment horizontal="left" vertical="center"/>
    </xf>
    <xf numFmtId="0" fontId="149" fillId="0" borderId="8" xfId="29" applyFont="1" applyBorder="1" applyAlignment="1">
      <alignment horizontal="left" vertical="center" wrapText="1"/>
    </xf>
    <xf numFmtId="0" fontId="195" fillId="5" borderId="8" xfId="0" applyFont="1" applyFill="1" applyBorder="1" applyAlignment="1">
      <alignment horizontal="center" vertical="center"/>
    </xf>
    <xf numFmtId="16" fontId="195" fillId="5" borderId="8" xfId="0" quotePrefix="1" applyNumberFormat="1" applyFont="1" applyFill="1" applyBorder="1" applyAlignment="1">
      <alignment horizontal="center" vertical="center"/>
    </xf>
    <xf numFmtId="175" fontId="195" fillId="5" borderId="8" xfId="0" applyNumberFormat="1" applyFont="1" applyFill="1" applyBorder="1" applyAlignment="1">
      <alignment horizontal="center" vertical="center"/>
    </xf>
    <xf numFmtId="0" fontId="196" fillId="5" borderId="8" xfId="0" applyFont="1" applyFill="1" applyBorder="1" applyAlignment="1">
      <alignment vertical="center"/>
    </xf>
    <xf numFmtId="43" fontId="0" fillId="0" borderId="8" xfId="32" applyFont="1" applyBorder="1" applyAlignment="1">
      <alignment horizontal="center" vertical="center"/>
    </xf>
    <xf numFmtId="0" fontId="125" fillId="0" borderId="8" xfId="0" applyFont="1" applyBorder="1" applyAlignment="1">
      <alignment horizontal="center" vertical="center" wrapText="1"/>
    </xf>
    <xf numFmtId="0" fontId="125" fillId="0" borderId="0" xfId="0" applyFont="1"/>
    <xf numFmtId="0" fontId="126" fillId="0" borderId="8" xfId="0" applyFont="1" applyBorder="1" applyAlignment="1">
      <alignment horizontal="center"/>
    </xf>
    <xf numFmtId="2" fontId="126" fillId="0" borderId="8" xfId="0" applyNumberFormat="1" applyFont="1" applyBorder="1" applyAlignment="1">
      <alignment horizontal="center" vertical="center"/>
    </xf>
    <xf numFmtId="166" fontId="126" fillId="0" borderId="8" xfId="0" applyNumberFormat="1" applyFont="1" applyBorder="1" applyAlignment="1">
      <alignment horizontal="center"/>
    </xf>
    <xf numFmtId="166" fontId="126" fillId="0" borderId="8" xfId="0" applyNumberFormat="1" applyFont="1" applyBorder="1" applyAlignment="1">
      <alignment horizontal="center" vertical="center"/>
    </xf>
    <xf numFmtId="0" fontId="126" fillId="2" borderId="8" xfId="0" applyFont="1" applyFill="1" applyBorder="1" applyAlignment="1">
      <alignment horizontal="center"/>
    </xf>
    <xf numFmtId="166" fontId="126" fillId="2" borderId="8" xfId="0" applyNumberFormat="1" applyFont="1" applyFill="1" applyBorder="1" applyAlignment="1">
      <alignment horizontal="center"/>
    </xf>
    <xf numFmtId="1" fontId="126" fillId="0" borderId="8" xfId="0" applyNumberFormat="1" applyFont="1" applyBorder="1" applyAlignment="1">
      <alignment horizontal="center" vertical="center"/>
    </xf>
    <xf numFmtId="0" fontId="213" fillId="0" borderId="8" xfId="0" applyFont="1" applyBorder="1" applyAlignment="1">
      <alignment horizontal="center" vertical="center" wrapText="1"/>
    </xf>
    <xf numFmtId="0" fontId="126" fillId="2" borderId="8" xfId="0" applyFont="1" applyFill="1" applyBorder="1" applyAlignment="1">
      <alignment horizontal="center" vertical="center" wrapText="1"/>
    </xf>
    <xf numFmtId="166" fontId="126" fillId="0" borderId="8" xfId="0" applyNumberFormat="1" applyFont="1" applyBorder="1" applyAlignment="1">
      <alignment vertical="center"/>
    </xf>
    <xf numFmtId="0" fontId="126" fillId="2" borderId="8" xfId="0" applyFont="1" applyFill="1" applyBorder="1" applyAlignment="1">
      <alignment vertical="center" wrapText="1"/>
    </xf>
    <xf numFmtId="0" fontId="126" fillId="2" borderId="8" xfId="0" applyFont="1" applyFill="1" applyBorder="1" applyAlignment="1">
      <alignment horizontal="left" vertical="center" wrapText="1"/>
    </xf>
    <xf numFmtId="0" fontId="125" fillId="2" borderId="8" xfId="0" applyFont="1" applyFill="1" applyBorder="1" applyAlignment="1">
      <alignment horizontal="left" vertical="center" wrapText="1"/>
    </xf>
    <xf numFmtId="0" fontId="212" fillId="2" borderId="8" xfId="0" applyFont="1" applyFill="1" applyBorder="1" applyAlignment="1">
      <alignment wrapText="1"/>
    </xf>
    <xf numFmtId="0" fontId="130" fillId="0" borderId="8" xfId="0" applyFont="1" applyBorder="1" applyAlignment="1">
      <alignment horizontal="center"/>
    </xf>
    <xf numFmtId="0" fontId="130" fillId="0" borderId="8" xfId="0" applyFont="1" applyBorder="1" applyAlignment="1">
      <alignment horizontal="center" wrapText="1"/>
    </xf>
    <xf numFmtId="0" fontId="87" fillId="0" borderId="0" xfId="35"/>
    <xf numFmtId="0" fontId="87" fillId="0" borderId="0" xfId="35" applyAlignment="1">
      <alignment horizontal="center" vertical="center"/>
    </xf>
    <xf numFmtId="0" fontId="125" fillId="2" borderId="8" xfId="35" applyFont="1" applyFill="1" applyBorder="1" applyAlignment="1">
      <alignment horizontal="center"/>
    </xf>
    <xf numFmtId="0" fontId="87" fillId="0" borderId="0" xfId="35" applyAlignment="1">
      <alignment horizontal="center"/>
    </xf>
    <xf numFmtId="0" fontId="125" fillId="0" borderId="8" xfId="35" applyFont="1" applyBorder="1" applyAlignment="1">
      <alignment horizontal="center"/>
    </xf>
    <xf numFmtId="0" fontId="125" fillId="0" borderId="0" xfId="34" applyFont="1"/>
    <xf numFmtId="0" fontId="125" fillId="0" borderId="8" xfId="34" applyFont="1" applyBorder="1" applyAlignment="1">
      <alignment horizontal="center" vertical="center"/>
    </xf>
    <xf numFmtId="0" fontId="87" fillId="0" borderId="0" xfId="34" applyFont="1"/>
    <xf numFmtId="0" fontId="125" fillId="0" borderId="0" xfId="33" applyFont="1"/>
    <xf numFmtId="43" fontId="195" fillId="5" borderId="8" xfId="32" applyFont="1" applyFill="1" applyBorder="1" applyAlignment="1">
      <alignment horizontal="center" vertical="center"/>
    </xf>
    <xf numFmtId="43" fontId="195" fillId="0" borderId="8" xfId="32" applyFont="1" applyBorder="1" applyAlignment="1">
      <alignment horizontal="center" vertical="center"/>
    </xf>
    <xf numFmtId="0" fontId="126" fillId="0" borderId="0" xfId="33" applyFont="1"/>
    <xf numFmtId="0" fontId="125" fillId="34" borderId="8" xfId="33" applyFont="1" applyFill="1" applyBorder="1" applyAlignment="1">
      <alignment horizontal="center" vertical="center" wrapText="1"/>
    </xf>
    <xf numFmtId="0" fontId="126" fillId="0" borderId="0" xfId="33" applyFont="1" applyAlignment="1">
      <alignment horizontal="center"/>
    </xf>
    <xf numFmtId="0" fontId="130" fillId="34" borderId="8" xfId="33" applyFont="1" applyFill="1" applyBorder="1" applyAlignment="1">
      <alignment horizontal="center" vertical="center" wrapText="1"/>
    </xf>
    <xf numFmtId="0" fontId="86" fillId="0" borderId="8" xfId="0" applyFont="1" applyBorder="1" applyAlignment="1">
      <alignment horizontal="center" vertical="center"/>
    </xf>
    <xf numFmtId="0" fontId="191" fillId="0" borderId="8" xfId="0" applyFont="1" applyBorder="1" applyAlignment="1">
      <alignment horizontal="center" vertical="center"/>
    </xf>
    <xf numFmtId="0" fontId="125" fillId="0" borderId="8" xfId="0" applyFont="1" applyBorder="1" applyAlignment="1">
      <alignment horizontal="left" vertical="center"/>
    </xf>
    <xf numFmtId="165" fontId="166" fillId="0" borderId="8" xfId="26" applyNumberFormat="1" applyFont="1" applyBorder="1" applyAlignment="1">
      <alignment horizontal="center" wrapText="1"/>
    </xf>
    <xf numFmtId="43" fontId="200" fillId="0" borderId="0" xfId="27" applyNumberFormat="1" applyFont="1"/>
    <xf numFmtId="165" fontId="166" fillId="32" borderId="8" xfId="26" applyNumberFormat="1" applyFont="1" applyFill="1" applyBorder="1" applyAlignment="1">
      <alignment horizontal="center" vertical="center" wrapText="1"/>
    </xf>
    <xf numFmtId="0" fontId="195" fillId="2" borderId="8" xfId="0" applyFont="1" applyFill="1" applyBorder="1" applyAlignment="1">
      <alignment horizontal="left" vertical="center" wrapText="1"/>
    </xf>
    <xf numFmtId="178" fontId="148"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85"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84" fillId="0" borderId="8" xfId="0" applyFont="1" applyBorder="1" applyAlignment="1">
      <alignment vertical="center" wrapText="1"/>
    </xf>
    <xf numFmtId="0" fontId="195" fillId="2" borderId="8" xfId="0" applyFont="1" applyFill="1" applyBorder="1" applyAlignment="1">
      <alignment horizontal="center" vertical="center" wrapText="1"/>
    </xf>
    <xf numFmtId="0" fontId="125" fillId="0" borderId="8" xfId="34" applyFont="1" applyBorder="1" applyAlignment="1">
      <alignment vertical="center"/>
    </xf>
    <xf numFmtId="49" fontId="83" fillId="2" borderId="8" xfId="0" applyNumberFormat="1" applyFont="1" applyFill="1" applyBorder="1" applyAlignment="1">
      <alignment horizontal="center"/>
    </xf>
    <xf numFmtId="0" fontId="83" fillId="2" borderId="8" xfId="0" applyFont="1" applyFill="1" applyBorder="1" applyAlignment="1">
      <alignment horizontal="center"/>
    </xf>
    <xf numFmtId="166" fontId="126" fillId="0" borderId="19" xfId="0" applyNumberFormat="1" applyFont="1" applyBorder="1" applyAlignment="1">
      <alignment vertical="center"/>
    </xf>
    <xf numFmtId="0" fontId="126" fillId="2" borderId="19" xfId="0" applyFont="1" applyFill="1" applyBorder="1" applyAlignment="1">
      <alignment vertical="center" wrapText="1"/>
    </xf>
    <xf numFmtId="0" fontId="126" fillId="2" borderId="19" xfId="0" applyFont="1" applyFill="1" applyBorder="1" applyAlignment="1">
      <alignment horizontal="left" vertical="center" wrapText="1"/>
    </xf>
    <xf numFmtId="0" fontId="125" fillId="2" borderId="19" xfId="0" applyFont="1" applyFill="1" applyBorder="1" applyAlignment="1">
      <alignment horizontal="left" vertical="center" wrapText="1"/>
    </xf>
    <xf numFmtId="0" fontId="126" fillId="2" borderId="19" xfId="0" applyFont="1" applyFill="1" applyBorder="1" applyAlignment="1">
      <alignment horizontal="left" vertical="center"/>
    </xf>
    <xf numFmtId="0" fontId="125" fillId="2" borderId="8" xfId="33" applyFont="1" applyFill="1" applyBorder="1" applyAlignment="1">
      <alignment horizontal="center" vertical="center" wrapText="1"/>
    </xf>
    <xf numFmtId="0" fontId="82" fillId="0" borderId="8" xfId="0" applyFont="1" applyBorder="1" applyAlignment="1">
      <alignment horizontal="center" vertical="center"/>
    </xf>
    <xf numFmtId="0" fontId="213" fillId="0" borderId="8" xfId="0" applyFont="1" applyBorder="1" applyAlignment="1">
      <alignment horizontal="center" vertical="center"/>
    </xf>
    <xf numFmtId="2" fontId="126" fillId="0" borderId="8" xfId="13" applyNumberFormat="1" applyFont="1" applyBorder="1" applyAlignment="1">
      <alignment horizontal="center" vertical="center" wrapText="1"/>
    </xf>
    <xf numFmtId="2" fontId="126" fillId="0" borderId="8" xfId="13" applyNumberFormat="1" applyFont="1" applyBorder="1" applyAlignment="1">
      <alignment horizontal="center" vertical="center"/>
    </xf>
    <xf numFmtId="180" fontId="126" fillId="0" borderId="8" xfId="0" applyNumberFormat="1" applyFont="1" applyBorder="1" applyAlignment="1">
      <alignment horizontal="center" vertical="center" wrapText="1"/>
    </xf>
    <xf numFmtId="0" fontId="126" fillId="0" borderId="8" xfId="0" applyFont="1" applyBorder="1" applyAlignment="1">
      <alignment horizontal="center" vertical="center" wrapText="1"/>
    </xf>
    <xf numFmtId="2" fontId="126" fillId="0" borderId="8" xfId="0" applyNumberFormat="1" applyFont="1" applyBorder="1" applyAlignment="1">
      <alignment horizontal="center" vertical="center" wrapText="1"/>
    </xf>
    <xf numFmtId="166" fontId="126" fillId="0" borderId="8" xfId="0" applyNumberFormat="1" applyFont="1" applyBorder="1" applyAlignment="1">
      <alignment horizontal="center" vertical="center" wrapText="1"/>
    </xf>
    <xf numFmtId="166" fontId="131" fillId="0" borderId="8" xfId="0" applyNumberFormat="1" applyFont="1" applyBorder="1" applyAlignment="1">
      <alignment horizontal="center" vertical="center" shrinkToFit="1"/>
    </xf>
    <xf numFmtId="166" fontId="131" fillId="0" borderId="8" xfId="0" applyNumberFormat="1" applyFont="1" applyBorder="1" applyAlignment="1">
      <alignment horizontal="center" vertical="center" wrapText="1" shrinkToFit="1"/>
    </xf>
    <xf numFmtId="166" fontId="126" fillId="0" borderId="8" xfId="13" applyNumberFormat="1" applyFont="1" applyBorder="1" applyAlignment="1">
      <alignment vertical="center" wrapText="1"/>
    </xf>
    <xf numFmtId="2" fontId="131" fillId="0" borderId="8" xfId="0" applyNumberFormat="1" applyFont="1" applyBorder="1" applyAlignment="1">
      <alignment horizontal="center" vertical="center" shrinkToFit="1"/>
    </xf>
    <xf numFmtId="166" fontId="131" fillId="0" borderId="8" xfId="0" applyNumberFormat="1" applyFont="1" applyBorder="1" applyAlignment="1">
      <alignment horizontal="center" wrapText="1" shrinkToFit="1"/>
    </xf>
    <xf numFmtId="166" fontId="131" fillId="0" borderId="8" xfId="0" applyNumberFormat="1" applyFont="1" applyBorder="1" applyAlignment="1">
      <alignment horizontal="center" shrinkToFit="1"/>
    </xf>
    <xf numFmtId="166" fontId="131" fillId="40" borderId="8" xfId="0" applyNumberFormat="1" applyFont="1" applyFill="1" applyBorder="1" applyAlignment="1">
      <alignment horizontal="center" vertical="center" wrapText="1" shrinkToFit="1"/>
    </xf>
    <xf numFmtId="166" fontId="131" fillId="40" borderId="8" xfId="0" applyNumberFormat="1" applyFont="1" applyFill="1" applyBorder="1" applyAlignment="1">
      <alignment horizontal="center" vertical="center" shrinkToFit="1"/>
    </xf>
    <xf numFmtId="0" fontId="213" fillId="0" borderId="8" xfId="0" applyFont="1" applyBorder="1" applyAlignment="1">
      <alignment vertical="center" wrapText="1"/>
    </xf>
    <xf numFmtId="0" fontId="213" fillId="0" borderId="8" xfId="0" applyFont="1" applyBorder="1" applyAlignment="1">
      <alignment vertical="center"/>
    </xf>
    <xf numFmtId="166" fontId="126" fillId="6" borderId="8" xfId="0" applyNumberFormat="1" applyFont="1" applyFill="1" applyBorder="1" applyAlignment="1">
      <alignment horizontal="center" vertical="center" wrapText="1"/>
    </xf>
    <xf numFmtId="43" fontId="82" fillId="0" borderId="8" xfId="32" applyFont="1" applyBorder="1" applyAlignment="1">
      <alignment horizontal="center" vertical="center" wrapText="1"/>
    </xf>
    <xf numFmtId="0" fontId="81" fillId="0" borderId="8" xfId="0" applyFont="1" applyBorder="1" applyAlignment="1">
      <alignment horizontal="center" vertical="center"/>
    </xf>
    <xf numFmtId="0" fontId="130" fillId="0" borderId="19" xfId="0" applyFont="1" applyBorder="1" applyAlignment="1">
      <alignment horizontal="center"/>
    </xf>
    <xf numFmtId="1" fontId="0" fillId="0" borderId="8" xfId="0" applyNumberFormat="1" applyBorder="1" applyAlignment="1">
      <alignment horizontal="center" vertical="center"/>
    </xf>
    <xf numFmtId="1" fontId="125" fillId="0" borderId="8" xfId="0" applyNumberFormat="1" applyFont="1" applyBorder="1" applyAlignment="1">
      <alignment horizontal="center" vertical="center"/>
    </xf>
    <xf numFmtId="165" fontId="125" fillId="0" borderId="8" xfId="0" applyNumberFormat="1" applyFont="1" applyBorder="1" applyAlignment="1">
      <alignment horizontal="center" vertical="center"/>
    </xf>
    <xf numFmtId="0" fontId="125" fillId="0" borderId="8" xfId="0" applyFont="1" applyBorder="1" applyAlignment="1">
      <alignment vertical="center"/>
    </xf>
    <xf numFmtId="0" fontId="80" fillId="0" borderId="8" xfId="0" applyFont="1" applyBorder="1" applyAlignment="1">
      <alignment horizontal="center" vertical="center"/>
    </xf>
    <xf numFmtId="0" fontId="219" fillId="42" borderId="71" xfId="0" applyFont="1" applyFill="1" applyBorder="1" applyAlignment="1">
      <alignment horizontal="center" vertical="center" wrapText="1" readingOrder="1"/>
    </xf>
    <xf numFmtId="0" fontId="217" fillId="42" borderId="71" xfId="0" applyFont="1" applyFill="1" applyBorder="1" applyAlignment="1">
      <alignment horizontal="center" vertical="center" readingOrder="1"/>
    </xf>
    <xf numFmtId="0" fontId="218" fillId="42" borderId="71" xfId="0" applyFont="1" applyFill="1" applyBorder="1" applyAlignment="1">
      <alignment horizontal="center" vertical="center" readingOrder="1"/>
    </xf>
    <xf numFmtId="0" fontId="217" fillId="42" borderId="72" xfId="0" applyFont="1" applyFill="1" applyBorder="1" applyAlignment="1">
      <alignment horizontal="center" vertical="center" readingOrder="1"/>
    </xf>
    <xf numFmtId="0" fontId="218" fillId="42" borderId="72" xfId="0" applyFont="1" applyFill="1" applyBorder="1" applyAlignment="1">
      <alignment horizontal="center" vertical="center" readingOrder="1"/>
    </xf>
    <xf numFmtId="0" fontId="219" fillId="42" borderId="71" xfId="0" applyFont="1" applyFill="1" applyBorder="1" applyAlignment="1">
      <alignment horizontal="center" vertical="center" readingOrder="1"/>
    </xf>
    <xf numFmtId="0" fontId="219" fillId="42" borderId="70" xfId="0" applyFont="1" applyFill="1" applyBorder="1" applyAlignment="1">
      <alignment horizontal="center" vertical="center" readingOrder="1"/>
    </xf>
    <xf numFmtId="0" fontId="219" fillId="42" borderId="70" xfId="0" applyFont="1" applyFill="1" applyBorder="1" applyAlignment="1">
      <alignment horizontal="left" vertical="center" readingOrder="1"/>
    </xf>
    <xf numFmtId="0" fontId="219" fillId="42" borderId="71" xfId="0" applyFont="1" applyFill="1" applyBorder="1" applyAlignment="1">
      <alignment horizontal="left" vertical="center" readingOrder="1"/>
    </xf>
    <xf numFmtId="0" fontId="79" fillId="0" borderId="8" xfId="0" applyFont="1" applyBorder="1"/>
    <xf numFmtId="0" fontId="195" fillId="5" borderId="8" xfId="0" applyFont="1" applyFill="1" applyBorder="1" applyAlignment="1">
      <alignment horizontal="left" vertical="center" wrapText="1"/>
    </xf>
    <xf numFmtId="0" fontId="78" fillId="0" borderId="8" xfId="0" applyFont="1" applyBorder="1"/>
    <xf numFmtId="0" fontId="195" fillId="5" borderId="8" xfId="0" applyFont="1" applyFill="1" applyBorder="1" applyAlignment="1">
      <alignment vertical="center"/>
    </xf>
    <xf numFmtId="0" fontId="77" fillId="0" borderId="8" xfId="0" applyFont="1" applyBorder="1"/>
    <xf numFmtId="49" fontId="77" fillId="2" borderId="8" xfId="0" quotePrefix="1" applyNumberFormat="1" applyFont="1" applyFill="1" applyBorder="1" applyAlignment="1">
      <alignment horizontal="center"/>
    </xf>
    <xf numFmtId="0" fontId="77" fillId="2" borderId="8" xfId="0" applyFont="1" applyFill="1" applyBorder="1" applyAlignment="1">
      <alignment horizontal="center"/>
    </xf>
    <xf numFmtId="0" fontId="77" fillId="2" borderId="8" xfId="0" applyFont="1" applyFill="1" applyBorder="1" applyAlignment="1">
      <alignment horizontal="center" vertical="center"/>
    </xf>
    <xf numFmtId="0" fontId="215" fillId="0" borderId="8" xfId="0" applyFont="1" applyBorder="1" applyAlignment="1">
      <alignment horizontal="center" vertical="center"/>
    </xf>
    <xf numFmtId="0" fontId="215" fillId="0" borderId="8" xfId="0" applyFont="1" applyBorder="1" applyAlignment="1">
      <alignment horizontal="center" vertical="center" wrapText="1"/>
    </xf>
    <xf numFmtId="0" fontId="216" fillId="0" borderId="8" xfId="0" applyFont="1" applyBorder="1" applyAlignment="1">
      <alignment horizontal="center" vertical="center"/>
    </xf>
    <xf numFmtId="14" fontId="216" fillId="0" borderId="8" xfId="0" applyNumberFormat="1" applyFont="1" applyBorder="1" applyAlignment="1">
      <alignment horizontal="center" vertical="center"/>
    </xf>
    <xf numFmtId="0" fontId="133" fillId="0" borderId="8" xfId="27" applyFont="1" applyBorder="1" applyAlignment="1">
      <alignment vertical="center"/>
    </xf>
    <xf numFmtId="43" fontId="216" fillId="0" borderId="8" xfId="32" applyFont="1" applyBorder="1" applyAlignment="1">
      <alignment horizontal="center" vertical="center"/>
    </xf>
    <xf numFmtId="165" fontId="215" fillId="0" borderId="8" xfId="0" applyNumberFormat="1" applyFont="1" applyBorder="1" applyAlignment="1">
      <alignment vertical="center"/>
    </xf>
    <xf numFmtId="0" fontId="220" fillId="0" borderId="8" xfId="27" applyFont="1" applyBorder="1" applyAlignment="1">
      <alignment vertical="center"/>
    </xf>
    <xf numFmtId="166" fontId="125" fillId="34" borderId="8" xfId="33" applyNumberFormat="1" applyFont="1" applyFill="1" applyBorder="1" applyAlignment="1">
      <alignment horizontal="center" vertical="center" wrapText="1"/>
    </xf>
    <xf numFmtId="2" fontId="125" fillId="34" borderId="8" xfId="33" applyNumberFormat="1" applyFont="1" applyFill="1" applyBorder="1" applyAlignment="1">
      <alignment horizontal="center" vertical="center" wrapText="1"/>
    </xf>
    <xf numFmtId="0" fontId="216" fillId="2" borderId="8" xfId="0" applyFont="1" applyFill="1" applyBorder="1" applyAlignment="1">
      <alignment horizontal="center" vertical="center"/>
    </xf>
    <xf numFmtId="43" fontId="216" fillId="2" borderId="8" xfId="32" applyFont="1" applyFill="1" applyBorder="1" applyAlignment="1">
      <alignment horizontal="center" vertical="center"/>
    </xf>
    <xf numFmtId="14" fontId="216" fillId="2" borderId="8" xfId="0" applyNumberFormat="1" applyFont="1" applyFill="1" applyBorder="1" applyAlignment="1">
      <alignment horizontal="center" vertical="center"/>
    </xf>
    <xf numFmtId="0" fontId="133" fillId="2" borderId="8" xfId="27" applyFont="1" applyFill="1" applyBorder="1" applyAlignment="1">
      <alignment vertical="center"/>
    </xf>
    <xf numFmtId="14" fontId="216" fillId="2" borderId="8" xfId="0" applyNumberFormat="1" applyFont="1" applyFill="1" applyBorder="1" applyAlignment="1">
      <alignment horizontal="center" vertical="center" wrapText="1"/>
    </xf>
    <xf numFmtId="0" fontId="76" fillId="0" borderId="8" xfId="0" applyFont="1" applyBorder="1" applyAlignment="1">
      <alignment horizontal="center" vertical="center"/>
    </xf>
    <xf numFmtId="0" fontId="76" fillId="0" borderId="8" xfId="0" applyFont="1" applyBorder="1" applyAlignment="1">
      <alignment horizontal="center" vertical="center" wrapText="1"/>
    </xf>
    <xf numFmtId="43" fontId="76" fillId="0" borderId="8" xfId="32" applyFont="1" applyBorder="1" applyAlignment="1">
      <alignment horizontal="center" vertical="center" wrapText="1"/>
    </xf>
    <xf numFmtId="43" fontId="125" fillId="0" borderId="8" xfId="32" applyFont="1" applyBorder="1" applyAlignment="1">
      <alignment horizontal="center" vertical="center" wrapText="1"/>
    </xf>
    <xf numFmtId="0" fontId="76" fillId="0" borderId="8" xfId="0" applyFont="1" applyBorder="1" applyAlignment="1">
      <alignment vertical="center"/>
    </xf>
    <xf numFmtId="43" fontId="0" fillId="0" borderId="8" xfId="32" applyFont="1" applyBorder="1" applyAlignment="1">
      <alignment horizontal="center"/>
    </xf>
    <xf numFmtId="43" fontId="125" fillId="0" borderId="8" xfId="0" applyNumberFormat="1" applyFont="1" applyBorder="1" applyAlignment="1">
      <alignment horizontal="center"/>
    </xf>
    <xf numFmtId="0" fontId="125" fillId="34" borderId="11" xfId="33" applyFont="1" applyFill="1" applyBorder="1" applyAlignment="1">
      <alignment horizontal="center" vertical="center" wrapText="1"/>
    </xf>
    <xf numFmtId="0" fontId="76" fillId="2" borderId="8" xfId="33" applyFont="1" applyFill="1" applyBorder="1" applyAlignment="1">
      <alignment horizontal="center" vertical="center" wrapText="1"/>
    </xf>
    <xf numFmtId="0" fontId="76" fillId="0" borderId="0" xfId="33" applyFont="1"/>
    <xf numFmtId="0" fontId="76" fillId="0" borderId="0" xfId="33" applyFont="1" applyAlignment="1">
      <alignment vertical="center"/>
    </xf>
    <xf numFmtId="0" fontId="76" fillId="0" borderId="0" xfId="33" applyFont="1" applyAlignment="1">
      <alignment horizontal="center"/>
    </xf>
    <xf numFmtId="0" fontId="76" fillId="40" borderId="8" xfId="33" applyFont="1" applyFill="1" applyBorder="1"/>
    <xf numFmtId="0" fontId="76" fillId="0" borderId="8" xfId="33" applyFont="1" applyBorder="1" applyAlignment="1">
      <alignment horizontal="center"/>
    </xf>
    <xf numFmtId="0" fontId="76" fillId="2" borderId="8" xfId="33" applyFont="1" applyFill="1" applyBorder="1"/>
    <xf numFmtId="0" fontId="76" fillId="0" borderId="8" xfId="33" applyFont="1" applyBorder="1"/>
    <xf numFmtId="0" fontId="76" fillId="0" borderId="8" xfId="0" applyFont="1" applyBorder="1"/>
    <xf numFmtId="0" fontId="76" fillId="0" borderId="8" xfId="33" applyFont="1" applyBorder="1" applyAlignment="1">
      <alignment vertical="center"/>
    </xf>
    <xf numFmtId="166" fontId="76" fillId="0" borderId="8" xfId="33" applyNumberFormat="1" applyFont="1" applyBorder="1" applyAlignment="1">
      <alignment horizontal="center"/>
    </xf>
    <xf numFmtId="0" fontId="76" fillId="2" borderId="8" xfId="0" applyFont="1" applyFill="1" applyBorder="1" applyAlignment="1">
      <alignment horizontal="center" vertical="center" wrapText="1"/>
    </xf>
    <xf numFmtId="49" fontId="76" fillId="0" borderId="8" xfId="0" applyNumberFormat="1" applyFont="1" applyBorder="1" applyAlignment="1">
      <alignment horizontal="center" vertical="center"/>
    </xf>
    <xf numFmtId="166" fontId="76" fillId="0" borderId="8" xfId="0" applyNumberFormat="1" applyFont="1" applyBorder="1" applyAlignment="1">
      <alignment horizontal="center" vertical="center"/>
    </xf>
    <xf numFmtId="0" fontId="76" fillId="0" borderId="8" xfId="0" applyFont="1" applyBorder="1" applyAlignment="1">
      <alignment horizontal="center"/>
    </xf>
    <xf numFmtId="166" fontId="76" fillId="0" borderId="8" xfId="0" applyNumberFormat="1" applyFont="1" applyBorder="1" applyAlignment="1">
      <alignment horizontal="center"/>
    </xf>
    <xf numFmtId="1" fontId="76" fillId="0" borderId="8" xfId="0" applyNumberFormat="1" applyFont="1" applyBorder="1" applyAlignment="1">
      <alignment horizontal="center"/>
    </xf>
    <xf numFmtId="1" fontId="76" fillId="0" borderId="8" xfId="0" applyNumberFormat="1" applyFont="1" applyBorder="1" applyAlignment="1">
      <alignment horizontal="center" vertical="center"/>
    </xf>
    <xf numFmtId="165" fontId="76" fillId="0" borderId="8" xfId="0" applyNumberFormat="1" applyFont="1" applyBorder="1" applyAlignment="1">
      <alignment horizontal="center" vertical="center"/>
    </xf>
    <xf numFmtId="2" fontId="76" fillId="0" borderId="8" xfId="0" applyNumberFormat="1" applyFont="1" applyBorder="1" applyAlignment="1">
      <alignment horizontal="center" vertical="center"/>
    </xf>
    <xf numFmtId="0" fontId="76" fillId="0" borderId="8" xfId="0" applyFont="1" applyBorder="1" applyAlignment="1">
      <alignment horizontal="left" vertical="center" wrapText="1"/>
    </xf>
    <xf numFmtId="0" fontId="76" fillId="0" borderId="8" xfId="0" applyFont="1" applyBorder="1" applyAlignment="1">
      <alignment horizontal="left" vertical="center"/>
    </xf>
    <xf numFmtId="0" fontId="76" fillId="0" borderId="8" xfId="0" applyFont="1" applyBorder="1" applyAlignment="1">
      <alignment horizontal="left"/>
    </xf>
    <xf numFmtId="0" fontId="76" fillId="6" borderId="8" xfId="33" applyFont="1" applyFill="1" applyBorder="1"/>
    <xf numFmtId="0" fontId="76" fillId="6" borderId="8" xfId="33" applyFont="1" applyFill="1" applyBorder="1" applyAlignment="1">
      <alignment vertical="center"/>
    </xf>
    <xf numFmtId="166" fontId="76" fillId="6" borderId="8" xfId="33" applyNumberFormat="1" applyFont="1" applyFill="1" applyBorder="1" applyAlignment="1">
      <alignment horizontal="center"/>
    </xf>
    <xf numFmtId="0" fontId="76" fillId="6" borderId="8" xfId="33" applyFont="1" applyFill="1" applyBorder="1" applyAlignment="1">
      <alignment horizontal="center"/>
    </xf>
    <xf numFmtId="2" fontId="76" fillId="0" borderId="8" xfId="0" applyNumberFormat="1" applyFont="1" applyBorder="1" applyAlignment="1">
      <alignment horizontal="center" vertical="center" wrapText="1"/>
    </xf>
    <xf numFmtId="166" fontId="76" fillId="0" borderId="8" xfId="0" applyNumberFormat="1" applyFont="1" applyBorder="1" applyAlignment="1">
      <alignment horizontal="center" vertical="center" wrapText="1"/>
    </xf>
    <xf numFmtId="0" fontId="214" fillId="2" borderId="8" xfId="37" applyFill="1" applyBorder="1" applyAlignment="1">
      <alignment horizontal="center" vertical="center"/>
    </xf>
    <xf numFmtId="0" fontId="76" fillId="0" borderId="8" xfId="33" applyFont="1" applyBorder="1" applyAlignment="1">
      <alignment horizontal="center" vertical="center"/>
    </xf>
    <xf numFmtId="0" fontId="76" fillId="40" borderId="8" xfId="0" applyFont="1" applyFill="1" applyBorder="1" applyAlignment="1">
      <alignment horizontal="center" vertical="center"/>
    </xf>
    <xf numFmtId="166" fontId="76" fillId="0" borderId="8" xfId="0" applyNumberFormat="1" applyFont="1" applyBorder="1" applyAlignment="1">
      <alignment vertical="center" wrapText="1"/>
    </xf>
    <xf numFmtId="0" fontId="76" fillId="40" borderId="8" xfId="33" applyFont="1" applyFill="1" applyBorder="1" applyAlignment="1">
      <alignment vertical="center"/>
    </xf>
    <xf numFmtId="166" fontId="76" fillId="0" borderId="8" xfId="0" applyNumberFormat="1" applyFont="1" applyBorder="1" applyAlignment="1">
      <alignment vertical="center"/>
    </xf>
    <xf numFmtId="2" fontId="126" fillId="0" borderId="8" xfId="0" applyNumberFormat="1" applyFont="1" applyBorder="1" applyAlignment="1">
      <alignment horizontal="center"/>
    </xf>
    <xf numFmtId="0" fontId="76" fillId="2" borderId="8" xfId="0" applyFont="1" applyFill="1" applyBorder="1" applyAlignment="1">
      <alignment horizontal="center" vertical="center"/>
    </xf>
    <xf numFmtId="49" fontId="76" fillId="2" borderId="8" xfId="0" quotePrefix="1" applyNumberFormat="1" applyFont="1" applyFill="1" applyBorder="1" applyAlignment="1">
      <alignment horizontal="center"/>
    </xf>
    <xf numFmtId="0" fontId="76" fillId="2" borderId="8" xfId="0" applyFont="1" applyFill="1" applyBorder="1" applyAlignment="1">
      <alignment horizontal="center"/>
    </xf>
    <xf numFmtId="0" fontId="195" fillId="6" borderId="8" xfId="0" applyFont="1" applyFill="1" applyBorder="1" applyAlignment="1">
      <alignment horizontal="center" vertical="center"/>
    </xf>
    <xf numFmtId="175" fontId="195" fillId="6" borderId="8" xfId="0" applyNumberFormat="1" applyFont="1" applyFill="1" applyBorder="1" applyAlignment="1">
      <alignment horizontal="center" vertical="center"/>
    </xf>
    <xf numFmtId="0" fontId="195" fillId="6" borderId="8" xfId="0" applyFont="1" applyFill="1" applyBorder="1" applyAlignment="1">
      <alignment horizontal="center" vertical="center" wrapText="1"/>
    </xf>
    <xf numFmtId="0" fontId="166" fillId="0" borderId="8" xfId="26" quotePrefix="1" applyFont="1" applyBorder="1" applyAlignment="1">
      <alignment horizontal="center" vertical="center" wrapText="1"/>
    </xf>
    <xf numFmtId="0" fontId="221" fillId="2" borderId="8" xfId="26" applyFont="1" applyFill="1" applyBorder="1" applyAlignment="1">
      <alignment horizontal="center" vertical="center" wrapText="1"/>
    </xf>
    <xf numFmtId="2" fontId="166" fillId="32" borderId="8" xfId="26" applyNumberFormat="1" applyFont="1" applyFill="1" applyBorder="1" applyAlignment="1">
      <alignment horizontal="center" vertical="center" wrapText="1"/>
    </xf>
    <xf numFmtId="0" fontId="149" fillId="6" borderId="8" xfId="29" applyFont="1" applyFill="1" applyBorder="1" applyAlignment="1">
      <alignment horizontal="center" vertical="center" wrapText="1"/>
    </xf>
    <xf numFmtId="41" fontId="148" fillId="6" borderId="8" xfId="29" applyNumberFormat="1" applyFont="1" applyFill="1" applyBorder="1" applyAlignment="1">
      <alignment horizontal="center" vertical="center" wrapText="1"/>
    </xf>
    <xf numFmtId="41" fontId="148" fillId="6" borderId="8" xfId="29" applyNumberFormat="1" applyFont="1" applyFill="1" applyBorder="1" applyAlignment="1">
      <alignment vertical="center" wrapText="1"/>
    </xf>
    <xf numFmtId="177" fontId="149" fillId="6" borderId="8" xfId="29" applyNumberFormat="1" applyFont="1" applyFill="1" applyBorder="1" applyAlignment="1">
      <alignment horizontal="center" vertical="center" wrapText="1"/>
    </xf>
    <xf numFmtId="177" fontId="148" fillId="6" borderId="8" xfId="29" applyNumberFormat="1" applyFont="1" applyFill="1" applyBorder="1" applyAlignment="1">
      <alignment horizontal="center" vertical="center" wrapText="1"/>
    </xf>
    <xf numFmtId="41" fontId="148" fillId="6" borderId="8" xfId="29" applyNumberFormat="1" applyFont="1" applyFill="1" applyBorder="1" applyAlignment="1">
      <alignment horizontal="center" vertical="center"/>
    </xf>
    <xf numFmtId="41" fontId="148" fillId="6" borderId="8" xfId="29" applyNumberFormat="1" applyFont="1" applyFill="1" applyBorder="1" applyAlignment="1">
      <alignment vertical="center"/>
    </xf>
    <xf numFmtId="0" fontId="209" fillId="6" borderId="0" xfId="29" applyFont="1" applyFill="1" applyAlignment="1">
      <alignment horizontal="left" vertical="center"/>
    </xf>
    <xf numFmtId="0" fontId="195" fillId="5" borderId="8" xfId="0" applyFont="1" applyFill="1" applyBorder="1" applyAlignment="1">
      <alignment horizontal="center" vertical="center" wrapText="1"/>
    </xf>
    <xf numFmtId="0" fontId="209" fillId="6" borderId="0" xfId="29" applyFont="1" applyFill="1" applyAlignment="1">
      <alignment horizontal="center" vertical="center"/>
    </xf>
    <xf numFmtId="0" fontId="210" fillId="6" borderId="0" xfId="29" applyFont="1" applyFill="1"/>
    <xf numFmtId="0" fontId="150" fillId="6" borderId="0" xfId="29" applyFont="1" applyFill="1" applyAlignment="1">
      <alignment vertical="center"/>
    </xf>
    <xf numFmtId="0" fontId="196" fillId="3" borderId="7" xfId="0" applyFont="1" applyFill="1" applyBorder="1" applyAlignment="1">
      <alignment vertical="center" wrapText="1"/>
    </xf>
    <xf numFmtId="0" fontId="0" fillId="0" borderId="8" xfId="0" applyBorder="1" applyAlignment="1">
      <alignment horizontal="left" vertical="center"/>
    </xf>
    <xf numFmtId="43" fontId="195" fillId="43" borderId="8" xfId="32" applyFont="1" applyFill="1" applyBorder="1" applyAlignment="1">
      <alignment horizontal="center" vertical="center"/>
    </xf>
    <xf numFmtId="1" fontId="148" fillId="0" borderId="8" xfId="26" applyNumberFormat="1" applyFont="1" applyBorder="1" applyAlignment="1">
      <alignment horizontal="center" vertical="center" wrapText="1"/>
    </xf>
    <xf numFmtId="14" fontId="216" fillId="0" borderId="8" xfId="0" applyNumberFormat="1" applyFont="1" applyBorder="1" applyAlignment="1">
      <alignment horizontal="center" vertical="center" wrapText="1"/>
    </xf>
    <xf numFmtId="0" fontId="75" fillId="0" borderId="8" xfId="0" applyFont="1" applyBorder="1" applyAlignment="1">
      <alignment horizontal="center"/>
    </xf>
    <xf numFmtId="43" fontId="75" fillId="0" borderId="8" xfId="32" applyFont="1" applyBorder="1" applyAlignment="1">
      <alignment horizontal="center"/>
    </xf>
    <xf numFmtId="0" fontId="133" fillId="2" borderId="7" xfId="27" applyFont="1" applyFill="1" applyBorder="1" applyAlignment="1">
      <alignment vertical="center" wrapText="1"/>
    </xf>
    <xf numFmtId="0" fontId="133" fillId="2" borderId="44" xfId="27" applyFont="1" applyFill="1" applyBorder="1" applyAlignment="1">
      <alignment vertical="center" wrapText="1"/>
    </xf>
    <xf numFmtId="0" fontId="73" fillId="0" borderId="0" xfId="35" applyFont="1" applyAlignment="1">
      <alignment horizontal="center" vertical="center"/>
    </xf>
    <xf numFmtId="178" fontId="148" fillId="0" borderId="8" xfId="29" applyNumberFormat="1" applyFont="1" applyBorder="1" applyAlignment="1">
      <alignment vertical="center" wrapText="1"/>
    </xf>
    <xf numFmtId="178" fontId="148" fillId="6" borderId="8" xfId="29" applyNumberFormat="1" applyFont="1" applyFill="1" applyBorder="1" applyAlignment="1">
      <alignment horizontal="center" vertical="center" wrapText="1"/>
    </xf>
    <xf numFmtId="178" fontId="148" fillId="0" borderId="8" xfId="29" applyNumberFormat="1" applyFont="1" applyBorder="1" applyAlignment="1">
      <alignment horizontal="center" vertical="center" wrapText="1"/>
    </xf>
    <xf numFmtId="178" fontId="148" fillId="0" borderId="8" xfId="29" applyNumberFormat="1" applyFont="1" applyBorder="1" applyAlignment="1">
      <alignment horizontal="right" vertical="center" wrapText="1"/>
    </xf>
    <xf numFmtId="0" fontId="222" fillId="0" borderId="0" xfId="10" applyFont="1" applyAlignment="1">
      <alignment horizontal="left" vertical="center"/>
    </xf>
    <xf numFmtId="0" fontId="223" fillId="0" borderId="0" xfId="7" applyFont="1" applyAlignment="1">
      <alignment horizontal="center" vertical="center"/>
    </xf>
    <xf numFmtId="0" fontId="223" fillId="0" borderId="0" xfId="7" applyFont="1" applyAlignment="1">
      <alignment vertical="center"/>
    </xf>
    <xf numFmtId="166" fontId="223" fillId="0" borderId="0" xfId="7" applyNumberFormat="1" applyFont="1" applyAlignment="1">
      <alignment vertical="center"/>
    </xf>
    <xf numFmtId="0" fontId="224" fillId="0" borderId="0" xfId="10" applyFont="1" applyAlignment="1">
      <alignment vertical="center"/>
    </xf>
    <xf numFmtId="43" fontId="224" fillId="6" borderId="8" xfId="38" applyFont="1" applyFill="1" applyBorder="1" applyAlignment="1">
      <alignment horizontal="center" vertical="center"/>
    </xf>
    <xf numFmtId="166" fontId="223" fillId="0" borderId="8" xfId="7" applyNumberFormat="1" applyFont="1" applyBorder="1" applyAlignment="1">
      <alignment vertical="center"/>
    </xf>
    <xf numFmtId="1" fontId="224" fillId="6" borderId="8" xfId="7" applyNumberFormat="1" applyFont="1" applyFill="1" applyBorder="1" applyAlignment="1">
      <alignment horizontal="center" vertical="center"/>
    </xf>
    <xf numFmtId="166" fontId="223" fillId="6" borderId="8" xfId="7" applyNumberFormat="1" applyFont="1" applyFill="1" applyBorder="1" applyAlignment="1">
      <alignment vertical="center"/>
    </xf>
    <xf numFmtId="0" fontId="225" fillId="34" borderId="8" xfId="7" applyFont="1" applyFill="1" applyBorder="1" applyAlignment="1">
      <alignment horizontal="center" vertical="center" wrapText="1"/>
    </xf>
    <xf numFmtId="0" fontId="225" fillId="0" borderId="8" xfId="7" applyFont="1" applyBorder="1" applyAlignment="1">
      <alignment horizontal="center" vertical="center" wrapText="1"/>
    </xf>
    <xf numFmtId="0" fontId="223" fillId="0" borderId="8" xfId="7" applyFont="1" applyBorder="1" applyAlignment="1">
      <alignment horizontal="center" vertical="center"/>
    </xf>
    <xf numFmtId="0" fontId="223" fillId="0" borderId="8" xfId="7" applyFont="1" applyBorder="1" applyAlignment="1">
      <alignment horizontal="center" vertical="center" wrapText="1"/>
    </xf>
    <xf numFmtId="0" fontId="223" fillId="2" borderId="8" xfId="7" applyFont="1" applyFill="1" applyBorder="1" applyAlignment="1">
      <alignment horizontal="center" vertical="center"/>
    </xf>
    <xf numFmtId="0" fontId="223" fillId="0" borderId="8" xfId="7" applyFont="1" applyBorder="1" applyAlignment="1">
      <alignment vertical="center"/>
    </xf>
    <xf numFmtId="0" fontId="223" fillId="0" borderId="8" xfId="7" applyFont="1" applyBorder="1" applyAlignment="1">
      <alignment horizontal="left" vertical="center"/>
    </xf>
    <xf numFmtId="0" fontId="226" fillId="0" borderId="8" xfId="7" applyFont="1" applyBorder="1" applyAlignment="1">
      <alignment horizontal="center" vertical="center" wrapText="1"/>
    </xf>
    <xf numFmtId="1" fontId="223" fillId="2" borderId="8" xfId="7" applyNumberFormat="1" applyFont="1" applyFill="1" applyBorder="1" applyAlignment="1">
      <alignment horizontal="center" vertical="center"/>
    </xf>
    <xf numFmtId="1" fontId="223" fillId="0" borderId="8" xfId="7" applyNumberFormat="1" applyFont="1" applyBorder="1" applyAlignment="1">
      <alignment horizontal="center" vertical="center"/>
    </xf>
    <xf numFmtId="166" fontId="223" fillId="0" borderId="8" xfId="7" applyNumberFormat="1" applyFont="1" applyBorder="1" applyAlignment="1">
      <alignment horizontal="center" vertical="center"/>
    </xf>
    <xf numFmtId="0" fontId="227" fillId="0" borderId="8" xfId="7" applyFont="1" applyBorder="1" applyAlignment="1">
      <alignment horizontal="center" vertical="center" wrapText="1"/>
    </xf>
    <xf numFmtId="0" fontId="223" fillId="6" borderId="8" xfId="7" applyFont="1" applyFill="1" applyBorder="1" applyAlignment="1">
      <alignment horizontal="left" vertical="center"/>
    </xf>
    <xf numFmtId="1" fontId="223" fillId="0" borderId="8" xfId="7" applyNumberFormat="1" applyFont="1" applyBorder="1" applyAlignment="1">
      <alignment vertical="center"/>
    </xf>
    <xf numFmtId="166" fontId="223" fillId="0" borderId="8" xfId="7" applyNumberFormat="1" applyFont="1" applyBorder="1" applyAlignment="1">
      <alignment horizontal="left" vertical="center"/>
    </xf>
    <xf numFmtId="0" fontId="227" fillId="2" borderId="8" xfId="7" applyFont="1" applyFill="1" applyBorder="1" applyAlignment="1">
      <alignment horizontal="center" vertical="center" wrapText="1"/>
    </xf>
    <xf numFmtId="0" fontId="223" fillId="6" borderId="8" xfId="7" applyFont="1" applyFill="1" applyBorder="1" applyAlignment="1">
      <alignment horizontal="left" vertical="center" wrapText="1"/>
    </xf>
    <xf numFmtId="0" fontId="223" fillId="6" borderId="8" xfId="7" applyFont="1" applyFill="1" applyBorder="1" applyAlignment="1">
      <alignment horizontal="center" vertical="center"/>
    </xf>
    <xf numFmtId="2" fontId="223" fillId="0" borderId="8" xfId="7" applyNumberFormat="1" applyFont="1" applyBorder="1" applyAlignment="1">
      <alignment horizontal="center" vertical="center"/>
    </xf>
    <xf numFmtId="2" fontId="223" fillId="0" borderId="8" xfId="7" applyNumberFormat="1" applyFont="1" applyBorder="1" applyAlignment="1">
      <alignment horizontal="left" vertical="center"/>
    </xf>
    <xf numFmtId="2" fontId="223" fillId="6" borderId="8" xfId="7" applyNumberFormat="1" applyFont="1" applyFill="1" applyBorder="1" applyAlignment="1">
      <alignment horizontal="left" vertical="center"/>
    </xf>
    <xf numFmtId="2" fontId="223" fillId="44" borderId="8" xfId="7" applyNumberFormat="1" applyFont="1" applyFill="1" applyBorder="1" applyAlignment="1">
      <alignment horizontal="left" vertical="center"/>
    </xf>
    <xf numFmtId="2" fontId="223" fillId="6" borderId="8" xfId="7" applyNumberFormat="1" applyFont="1" applyFill="1" applyBorder="1" applyAlignment="1">
      <alignment horizontal="left" vertical="center" wrapText="1"/>
    </xf>
    <xf numFmtId="166" fontId="224" fillId="6" borderId="8" xfId="7" applyNumberFormat="1" applyFont="1" applyFill="1" applyBorder="1" applyAlignment="1">
      <alignment horizontal="center" vertical="center"/>
    </xf>
    <xf numFmtId="0" fontId="72" fillId="0" borderId="0" xfId="39"/>
    <xf numFmtId="0" fontId="125" fillId="6" borderId="8" xfId="39" applyFont="1" applyFill="1" applyBorder="1" applyAlignment="1">
      <alignment horizontal="center" vertical="center" wrapText="1"/>
    </xf>
    <xf numFmtId="0" fontId="72" fillId="0" borderId="8" xfId="39" applyBorder="1" applyAlignment="1">
      <alignment horizontal="center" vertical="center"/>
    </xf>
    <xf numFmtId="0" fontId="72" fillId="0" borderId="8" xfId="39" applyBorder="1" applyAlignment="1">
      <alignment horizontal="center"/>
    </xf>
    <xf numFmtId="0" fontId="125" fillId="45" borderId="8" xfId="39" applyFont="1" applyFill="1" applyBorder="1" applyAlignment="1">
      <alignment horizontal="center"/>
    </xf>
    <xf numFmtId="0" fontId="125" fillId="45" borderId="8" xfId="39" applyFont="1" applyFill="1" applyBorder="1" applyAlignment="1">
      <alignment horizontal="center" vertical="center"/>
    </xf>
    <xf numFmtId="0" fontId="72" fillId="45" borderId="8" xfId="39" applyFill="1" applyBorder="1" applyAlignment="1">
      <alignment horizontal="center" vertical="center"/>
    </xf>
    <xf numFmtId="0" fontId="72" fillId="45" borderId="8" xfId="39" applyFill="1" applyBorder="1" applyAlignment="1">
      <alignment horizontal="center"/>
    </xf>
    <xf numFmtId="0" fontId="72" fillId="0" borderId="8" xfId="39" quotePrefix="1" applyBorder="1" applyAlignment="1">
      <alignment horizontal="center" vertical="center"/>
    </xf>
    <xf numFmtId="0" fontId="72" fillId="0" borderId="0" xfId="39" applyAlignment="1">
      <alignment horizontal="center"/>
    </xf>
    <xf numFmtId="0" fontId="125" fillId="6" borderId="8" xfId="0" applyFont="1" applyFill="1" applyBorder="1" applyAlignment="1">
      <alignment horizontal="center"/>
    </xf>
    <xf numFmtId="14" fontId="195" fillId="5" borderId="8" xfId="0" applyNumberFormat="1" applyFont="1" applyFill="1" applyBorder="1" applyAlignment="1">
      <alignment horizontal="center" vertical="center" wrapText="1"/>
    </xf>
    <xf numFmtId="0" fontId="223" fillId="5" borderId="8" xfId="7" applyFont="1" applyFill="1" applyBorder="1" applyAlignment="1">
      <alignment horizontal="center" vertical="center"/>
    </xf>
    <xf numFmtId="0" fontId="223" fillId="2" borderId="8" xfId="7" applyFont="1" applyFill="1" applyBorder="1" applyAlignment="1">
      <alignment horizontal="center" vertical="center" wrapText="1"/>
    </xf>
    <xf numFmtId="1" fontId="166" fillId="32" borderId="8" xfId="26" applyNumberFormat="1" applyFont="1" applyFill="1" applyBorder="1" applyAlignment="1">
      <alignment horizontal="center" vertical="center" wrapText="1"/>
    </xf>
    <xf numFmtId="14" fontId="223" fillId="0" borderId="0" xfId="7" applyNumberFormat="1" applyFont="1" applyAlignment="1">
      <alignment horizontal="center" vertical="center"/>
    </xf>
    <xf numFmtId="0" fontId="200" fillId="30" borderId="0" xfId="27" applyFont="1" applyFill="1"/>
    <xf numFmtId="0" fontId="200" fillId="30" borderId="0" xfId="27" applyFont="1" applyFill="1" applyAlignment="1">
      <alignment horizontal="center" vertical="center"/>
    </xf>
    <xf numFmtId="0" fontId="223" fillId="2" borderId="0" xfId="7" applyFont="1" applyFill="1" applyAlignment="1">
      <alignment horizontal="center" vertical="center"/>
    </xf>
    <xf numFmtId="0" fontId="223" fillId="2" borderId="0" xfId="7" applyFont="1" applyFill="1" applyAlignment="1">
      <alignment vertical="center"/>
    </xf>
    <xf numFmtId="0" fontId="195" fillId="2" borderId="8" xfId="0" applyFont="1" applyFill="1" applyBorder="1" applyAlignment="1">
      <alignment horizontal="center" vertical="center"/>
    </xf>
    <xf numFmtId="16" fontId="195" fillId="2" borderId="8" xfId="0" quotePrefix="1" applyNumberFormat="1" applyFont="1" applyFill="1" applyBorder="1" applyAlignment="1">
      <alignment horizontal="center" vertical="center"/>
    </xf>
    <xf numFmtId="43" fontId="195" fillId="2" borderId="8" xfId="32" applyFont="1" applyFill="1" applyBorder="1" applyAlignment="1">
      <alignment horizontal="center" vertical="center"/>
    </xf>
    <xf numFmtId="175" fontId="195" fillId="2" borderId="8" xfId="0" applyNumberFormat="1" applyFont="1" applyFill="1" applyBorder="1" applyAlignment="1">
      <alignment horizontal="center" vertical="center"/>
    </xf>
    <xf numFmtId="0" fontId="225" fillId="2" borderId="8" xfId="7" applyFont="1" applyFill="1" applyBorder="1" applyAlignment="1">
      <alignment horizontal="center" vertical="center" wrapText="1"/>
    </xf>
    <xf numFmtId="0" fontId="224" fillId="2" borderId="8" xfId="7" applyFont="1" applyFill="1" applyBorder="1" applyAlignment="1">
      <alignment horizontal="center" vertical="center"/>
    </xf>
    <xf numFmtId="2" fontId="223" fillId="2" borderId="8" xfId="7" applyNumberFormat="1" applyFont="1" applyFill="1" applyBorder="1" applyAlignment="1">
      <alignment horizontal="center" vertical="center"/>
    </xf>
    <xf numFmtId="0" fontId="223" fillId="2" borderId="8" xfId="7" applyFont="1" applyFill="1" applyBorder="1" applyAlignment="1">
      <alignment vertical="center"/>
    </xf>
    <xf numFmtId="2" fontId="223" fillId="2" borderId="8" xfId="7" applyNumberFormat="1" applyFont="1" applyFill="1" applyBorder="1" applyAlignment="1">
      <alignment horizontal="left" vertical="center"/>
    </xf>
    <xf numFmtId="0" fontId="225" fillId="44" borderId="8" xfId="7" applyFont="1" applyFill="1" applyBorder="1" applyAlignment="1">
      <alignment horizontal="center" vertical="center" wrapText="1"/>
    </xf>
    <xf numFmtId="0" fontId="223" fillId="44" borderId="8" xfId="7" applyFont="1" applyFill="1" applyBorder="1" applyAlignment="1">
      <alignment horizontal="center" vertical="center"/>
    </xf>
    <xf numFmtId="0" fontId="223" fillId="44" borderId="8" xfId="7" applyFont="1" applyFill="1" applyBorder="1" applyAlignment="1">
      <alignment horizontal="center" vertical="center" wrapText="1"/>
    </xf>
    <xf numFmtId="1" fontId="223" fillId="44" borderId="8" xfId="7" applyNumberFormat="1" applyFont="1" applyFill="1" applyBorder="1" applyAlignment="1">
      <alignment horizontal="center" vertical="center"/>
    </xf>
    <xf numFmtId="166" fontId="223" fillId="44" borderId="8" xfId="7" applyNumberFormat="1" applyFont="1" applyFill="1" applyBorder="1" applyAlignment="1">
      <alignment horizontal="center" vertical="center"/>
    </xf>
    <xf numFmtId="2" fontId="223" fillId="44" borderId="8" xfId="7" applyNumberFormat="1" applyFont="1" applyFill="1" applyBorder="1" applyAlignment="1">
      <alignment horizontal="center" vertical="center"/>
    </xf>
    <xf numFmtId="0" fontId="223" fillId="44" borderId="8" xfId="7" applyFont="1" applyFill="1" applyBorder="1" applyAlignment="1">
      <alignment vertical="center"/>
    </xf>
    <xf numFmtId="2" fontId="166" fillId="0" borderId="8" xfId="26" applyNumberFormat="1" applyFont="1" applyBorder="1" applyAlignment="1">
      <alignment horizontal="center" vertical="center" wrapText="1"/>
    </xf>
    <xf numFmtId="0" fontId="148" fillId="5" borderId="8" xfId="10" applyFont="1" applyFill="1" applyBorder="1" applyAlignment="1">
      <alignment horizontal="center" vertical="center"/>
    </xf>
    <xf numFmtId="0" fontId="196" fillId="5" borderId="8" xfId="0" applyFont="1" applyFill="1" applyBorder="1" applyAlignment="1">
      <alignment horizontal="center" vertical="center"/>
    </xf>
    <xf numFmtId="0" fontId="125" fillId="6" borderId="8" xfId="39" applyFont="1" applyFill="1" applyBorder="1" applyAlignment="1">
      <alignment horizontal="center" vertical="center"/>
    </xf>
    <xf numFmtId="0" fontId="69" fillId="0" borderId="8" xfId="39" applyFont="1" applyBorder="1" applyAlignment="1">
      <alignment horizontal="center" vertical="center"/>
    </xf>
    <xf numFmtId="0" fontId="69" fillId="0" borderId="8" xfId="39" applyFont="1" applyBorder="1" applyAlignment="1">
      <alignment horizontal="center"/>
    </xf>
    <xf numFmtId="14" fontId="223" fillId="0" borderId="8" xfId="7" applyNumberFormat="1" applyFont="1" applyBorder="1" applyAlignment="1">
      <alignment horizontal="left" vertical="center"/>
    </xf>
    <xf numFmtId="2" fontId="223" fillId="6" borderId="8" xfId="7" applyNumberFormat="1" applyFont="1" applyFill="1" applyBorder="1" applyAlignment="1">
      <alignment horizontal="center" vertical="center"/>
    </xf>
    <xf numFmtId="14" fontId="223" fillId="0" borderId="8" xfId="7" applyNumberFormat="1" applyFont="1" applyBorder="1" applyAlignment="1">
      <alignment horizontal="center" vertical="center"/>
    </xf>
    <xf numFmtId="14" fontId="223" fillId="2" borderId="8" xfId="7" applyNumberFormat="1" applyFont="1" applyFill="1" applyBorder="1" applyAlignment="1">
      <alignment horizontal="left" vertical="center"/>
    </xf>
    <xf numFmtId="14" fontId="223" fillId="2" borderId="8" xfId="7" applyNumberFormat="1" applyFont="1" applyFill="1" applyBorder="1" applyAlignment="1">
      <alignment horizontal="center" vertical="center"/>
    </xf>
    <xf numFmtId="0" fontId="195" fillId="2" borderId="0" xfId="0" applyFont="1" applyFill="1" applyAlignment="1">
      <alignment vertical="center"/>
    </xf>
    <xf numFmtId="166" fontId="223" fillId="2" borderId="8" xfId="7" applyNumberFormat="1" applyFont="1" applyFill="1" applyBorder="1" applyAlignment="1">
      <alignment horizontal="center" vertical="center"/>
    </xf>
    <xf numFmtId="166" fontId="223" fillId="2" borderId="8" xfId="7" applyNumberFormat="1" applyFont="1" applyFill="1" applyBorder="1" applyAlignment="1">
      <alignment horizontal="left" vertical="center"/>
    </xf>
    <xf numFmtId="0" fontId="223" fillId="2" borderId="8" xfId="7" applyFont="1" applyFill="1" applyBorder="1" applyAlignment="1">
      <alignment horizontal="left" vertical="center"/>
    </xf>
    <xf numFmtId="166" fontId="223" fillId="2" borderId="8" xfId="7" applyNumberFormat="1" applyFont="1" applyFill="1" applyBorder="1" applyAlignment="1">
      <alignment vertical="center"/>
    </xf>
    <xf numFmtId="1" fontId="223" fillId="2" borderId="8" xfId="7" applyNumberFormat="1" applyFont="1" applyFill="1" applyBorder="1" applyAlignment="1">
      <alignment vertical="center"/>
    </xf>
    <xf numFmtId="0" fontId="195" fillId="5" borderId="7" xfId="0" applyFont="1" applyFill="1" applyBorder="1" applyAlignment="1">
      <alignment horizontal="center" vertical="center"/>
    </xf>
    <xf numFmtId="0" fontId="148" fillId="6" borderId="8" xfId="10" applyFont="1" applyFill="1" applyBorder="1" applyAlignment="1">
      <alignment horizontal="center" vertical="center"/>
    </xf>
    <xf numFmtId="0" fontId="195" fillId="43" borderId="8" xfId="0" applyFont="1" applyFill="1" applyBorder="1" applyAlignment="1">
      <alignment horizontal="center" vertical="center"/>
    </xf>
    <xf numFmtId="16" fontId="195" fillId="43" borderId="8" xfId="0" quotePrefix="1" applyNumberFormat="1" applyFont="1" applyFill="1" applyBorder="1" applyAlignment="1">
      <alignment horizontal="center" vertical="center"/>
    </xf>
    <xf numFmtId="175" fontId="195" fillId="43" borderId="8" xfId="0" applyNumberFormat="1" applyFont="1" applyFill="1" applyBorder="1" applyAlignment="1">
      <alignment horizontal="center" vertical="center"/>
    </xf>
    <xf numFmtId="0" fontId="195" fillId="43" borderId="8" xfId="0" applyFont="1" applyFill="1" applyBorder="1" applyAlignment="1">
      <alignment horizontal="center" vertical="center" wrapText="1"/>
    </xf>
    <xf numFmtId="0" fontId="195" fillId="43" borderId="8" xfId="0" applyFont="1" applyFill="1" applyBorder="1" applyAlignment="1">
      <alignment horizontal="left" vertical="center" wrapText="1"/>
    </xf>
    <xf numFmtId="43" fontId="195" fillId="46" borderId="8" xfId="32" applyFont="1" applyFill="1" applyBorder="1" applyAlignment="1">
      <alignment horizontal="center" vertical="center"/>
    </xf>
    <xf numFmtId="0" fontId="65" fillId="0" borderId="0" xfId="0" applyFont="1"/>
    <xf numFmtId="0" fontId="126" fillId="2" borderId="8" xfId="7" applyFont="1" applyFill="1" applyBorder="1" applyAlignment="1">
      <alignment horizontal="center" vertical="center"/>
    </xf>
    <xf numFmtId="0" fontId="65" fillId="0" borderId="8" xfId="0" applyFont="1" applyBorder="1" applyAlignment="1">
      <alignment horizontal="center"/>
    </xf>
    <xf numFmtId="0" fontId="126" fillId="6" borderId="8" xfId="7" applyFont="1" applyFill="1" applyBorder="1" applyAlignment="1">
      <alignment horizontal="center" vertical="center"/>
    </xf>
    <xf numFmtId="0" fontId="64" fillId="0" borderId="8" xfId="0" applyFont="1" applyBorder="1" applyAlignment="1">
      <alignment horizontal="center"/>
    </xf>
    <xf numFmtId="0" fontId="63" fillId="0" borderId="8" xfId="0" applyFont="1" applyBorder="1" applyAlignment="1">
      <alignment horizontal="center"/>
    </xf>
    <xf numFmtId="0" fontId="195" fillId="2" borderId="8" xfId="0" applyFont="1" applyFill="1" applyBorder="1" applyAlignment="1">
      <alignment vertical="center"/>
    </xf>
    <xf numFmtId="0" fontId="148" fillId="43" borderId="8" xfId="10" applyFont="1" applyFill="1" applyBorder="1" applyAlignment="1">
      <alignment horizontal="center" vertical="center"/>
    </xf>
    <xf numFmtId="0" fontId="125" fillId="2" borderId="0" xfId="34" applyFont="1" applyFill="1"/>
    <xf numFmtId="0" fontId="223" fillId="9" borderId="8" xfId="7" applyFont="1" applyFill="1" applyBorder="1" applyAlignment="1">
      <alignment horizontal="center" vertical="center"/>
    </xf>
    <xf numFmtId="14" fontId="195" fillId="43" borderId="8" xfId="0" applyNumberFormat="1" applyFont="1" applyFill="1" applyBorder="1" applyAlignment="1">
      <alignment horizontal="center" vertical="center" wrapText="1"/>
    </xf>
    <xf numFmtId="0" fontId="148" fillId="2" borderId="0" xfId="10" applyFont="1" applyFill="1" applyAlignment="1">
      <alignment vertical="center"/>
    </xf>
    <xf numFmtId="0" fontId="196" fillId="2" borderId="0" xfId="0" applyFont="1" applyFill="1" applyAlignment="1">
      <alignment horizontal="center" vertical="center"/>
    </xf>
    <xf numFmtId="1" fontId="166" fillId="0" borderId="8" xfId="26" applyNumberFormat="1" applyFont="1" applyBorder="1" applyAlignment="1">
      <alignment horizontal="center" wrapText="1"/>
    </xf>
    <xf numFmtId="0" fontId="223" fillId="2" borderId="8" xfId="7" quotePrefix="1" applyFont="1" applyFill="1" applyBorder="1" applyAlignment="1">
      <alignment horizontal="center" vertical="center"/>
    </xf>
    <xf numFmtId="0" fontId="83" fillId="5" borderId="8" xfId="34" applyFont="1" applyFill="1" applyBorder="1" applyAlignment="1">
      <alignment horizontal="center" vertical="center"/>
    </xf>
    <xf numFmtId="0" fontId="59" fillId="5" borderId="8" xfId="34" applyFont="1" applyFill="1" applyBorder="1" applyAlignment="1">
      <alignment horizontal="center" vertical="center"/>
    </xf>
    <xf numFmtId="14" fontId="83" fillId="5" borderId="8" xfId="34" applyNumberFormat="1" applyFont="1" applyFill="1" applyBorder="1" applyAlignment="1">
      <alignment horizontal="center" vertical="center"/>
    </xf>
    <xf numFmtId="0" fontId="58" fillId="5" borderId="8" xfId="34" applyFont="1" applyFill="1" applyBorder="1" applyAlignment="1">
      <alignment horizontal="center" vertical="center"/>
    </xf>
    <xf numFmtId="0" fontId="58" fillId="5" borderId="8" xfId="34" applyFont="1" applyFill="1" applyBorder="1" applyAlignment="1">
      <alignment horizontal="center" vertical="center" wrapText="1"/>
    </xf>
    <xf numFmtId="0" fontId="59" fillId="5" borderId="8" xfId="34" applyFont="1" applyFill="1" applyBorder="1" applyAlignment="1">
      <alignment horizontal="left" vertical="center" wrapText="1"/>
    </xf>
    <xf numFmtId="0" fontId="83" fillId="5" borderId="8" xfId="34" applyFont="1" applyFill="1" applyBorder="1" applyAlignment="1">
      <alignment vertical="center"/>
    </xf>
    <xf numFmtId="16" fontId="223" fillId="2" borderId="0" xfId="7" quotePrefix="1" applyNumberFormat="1" applyFont="1" applyFill="1" applyAlignment="1">
      <alignment vertical="center"/>
    </xf>
    <xf numFmtId="0" fontId="223" fillId="2" borderId="0" xfId="7" quotePrefix="1" applyFont="1" applyFill="1" applyAlignment="1">
      <alignment vertical="center"/>
    </xf>
    <xf numFmtId="0" fontId="195" fillId="5" borderId="8" xfId="0" applyFont="1" applyFill="1" applyBorder="1" applyAlignment="1">
      <alignment vertical="center" wrapText="1"/>
    </xf>
    <xf numFmtId="166" fontId="223" fillId="2" borderId="8" xfId="7" applyNumberFormat="1" applyFont="1" applyFill="1" applyBorder="1" applyAlignment="1">
      <alignment horizontal="center" vertical="center" wrapText="1"/>
    </xf>
    <xf numFmtId="0" fontId="60" fillId="5" borderId="8" xfId="34" applyFont="1" applyFill="1" applyBorder="1" applyAlignment="1">
      <alignment horizontal="center" vertical="center"/>
    </xf>
    <xf numFmtId="0" fontId="56" fillId="5" borderId="8" xfId="34" applyFont="1" applyFill="1" applyBorder="1" applyAlignment="1">
      <alignment horizontal="center" vertical="center"/>
    </xf>
    <xf numFmtId="0" fontId="57" fillId="5" borderId="8" xfId="34" applyFont="1" applyFill="1" applyBorder="1" applyAlignment="1">
      <alignment horizontal="center" vertical="center" wrapText="1"/>
    </xf>
    <xf numFmtId="0" fontId="56" fillId="5" borderId="8" xfId="34" applyFont="1" applyFill="1" applyBorder="1" applyAlignment="1">
      <alignment horizontal="left" vertical="center" wrapText="1"/>
    </xf>
    <xf numFmtId="0" fontId="55" fillId="0" borderId="0" xfId="26" applyFont="1"/>
    <xf numFmtId="0" fontId="55" fillId="0" borderId="0" xfId="26" applyFont="1" applyAlignment="1">
      <alignment horizontal="center"/>
    </xf>
    <xf numFmtId="14" fontId="195" fillId="6" borderId="8" xfId="0" applyNumberFormat="1" applyFont="1" applyFill="1" applyBorder="1" applyAlignment="1">
      <alignment horizontal="center" vertical="center" wrapText="1"/>
    </xf>
    <xf numFmtId="0" fontId="195" fillId="45" borderId="8" xfId="0" applyFont="1" applyFill="1" applyBorder="1" applyAlignment="1">
      <alignment horizontal="center" vertical="center"/>
    </xf>
    <xf numFmtId="16" fontId="195" fillId="45" borderId="8" xfId="0" quotePrefix="1" applyNumberFormat="1" applyFont="1" applyFill="1" applyBorder="1" applyAlignment="1">
      <alignment horizontal="center" vertical="center"/>
    </xf>
    <xf numFmtId="43" fontId="195" fillId="45" borderId="8" xfId="32" applyFont="1" applyFill="1" applyBorder="1" applyAlignment="1">
      <alignment horizontal="center" vertical="center"/>
    </xf>
    <xf numFmtId="175" fontId="195" fillId="45" borderId="8" xfId="0" applyNumberFormat="1" applyFont="1" applyFill="1" applyBorder="1" applyAlignment="1">
      <alignment horizontal="center" vertical="center"/>
    </xf>
    <xf numFmtId="0" fontId="195" fillId="45" borderId="8" xfId="0" applyFont="1" applyFill="1" applyBorder="1" applyAlignment="1">
      <alignment horizontal="center" vertical="center" wrapText="1"/>
    </xf>
    <xf numFmtId="14" fontId="195" fillId="45" borderId="8" xfId="0" applyNumberFormat="1" applyFont="1" applyFill="1" applyBorder="1" applyAlignment="1">
      <alignment horizontal="center" vertical="center" wrapText="1"/>
    </xf>
    <xf numFmtId="0" fontId="195" fillId="45" borderId="8" xfId="0" applyFont="1" applyFill="1" applyBorder="1" applyAlignment="1">
      <alignment horizontal="left" vertical="center" wrapText="1"/>
    </xf>
    <xf numFmtId="0" fontId="196" fillId="2" borderId="8" xfId="0" applyFont="1" applyFill="1" applyBorder="1" applyAlignment="1">
      <alignment vertical="center"/>
    </xf>
    <xf numFmtId="0" fontId="53" fillId="0" borderId="0" xfId="0" applyFont="1" applyAlignment="1">
      <alignment horizontal="center"/>
    </xf>
    <xf numFmtId="0" fontId="53" fillId="0" borderId="0" xfId="0" applyFont="1"/>
    <xf numFmtId="0" fontId="126" fillId="45" borderId="8" xfId="0" applyFont="1" applyFill="1" applyBorder="1" applyAlignment="1">
      <alignment horizontal="center" vertical="center" wrapText="1"/>
    </xf>
    <xf numFmtId="0" fontId="53" fillId="0" borderId="8" xfId="0" applyFont="1" applyBorder="1" applyAlignment="1">
      <alignment horizontal="center" wrapText="1"/>
    </xf>
    <xf numFmtId="0" fontId="126" fillId="0" borderId="8" xfId="0" quotePrefix="1" applyFont="1" applyBorder="1" applyAlignment="1">
      <alignment horizontal="center" vertical="center" wrapText="1"/>
    </xf>
    <xf numFmtId="0" fontId="53" fillId="45" borderId="8" xfId="0" applyFont="1" applyFill="1" applyBorder="1" applyAlignment="1">
      <alignment horizontal="center" wrapText="1"/>
    </xf>
    <xf numFmtId="0" fontId="130" fillId="45" borderId="8" xfId="0" applyFont="1" applyFill="1" applyBorder="1" applyAlignment="1">
      <alignment horizontal="center" vertical="center" wrapText="1"/>
    </xf>
    <xf numFmtId="0" fontId="125" fillId="45" borderId="8" xfId="0" applyFont="1" applyFill="1" applyBorder="1" applyAlignment="1">
      <alignment horizontal="center" vertical="center" wrapText="1"/>
    </xf>
    <xf numFmtId="0" fontId="125" fillId="45" borderId="8" xfId="0" applyFont="1" applyFill="1" applyBorder="1" applyAlignment="1">
      <alignment horizontal="center"/>
    </xf>
    <xf numFmtId="0" fontId="53" fillId="0" borderId="0" xfId="0" applyFont="1" applyAlignment="1">
      <alignment horizontal="center" vertical="center"/>
    </xf>
    <xf numFmtId="0" fontId="53" fillId="0" borderId="8" xfId="0" applyFont="1" applyBorder="1" applyAlignment="1">
      <alignment horizontal="center"/>
    </xf>
    <xf numFmtId="0" fontId="125" fillId="45" borderId="8" xfId="0" applyFont="1" applyFill="1" applyBorder="1" applyAlignment="1">
      <alignment horizontal="center" vertical="center"/>
    </xf>
    <xf numFmtId="0" fontId="54" fillId="5" borderId="8" xfId="34" applyFont="1" applyFill="1" applyBorder="1" applyAlignment="1">
      <alignment horizontal="center" vertical="center"/>
    </xf>
    <xf numFmtId="0" fontId="52" fillId="5" borderId="8" xfId="34" applyFont="1" applyFill="1" applyBorder="1" applyAlignment="1">
      <alignment horizontal="center" vertical="center"/>
    </xf>
    <xf numFmtId="0" fontId="54" fillId="5" borderId="8" xfId="34" applyFont="1" applyFill="1" applyBorder="1" applyAlignment="1">
      <alignment horizontal="center" vertical="center" wrapText="1"/>
    </xf>
    <xf numFmtId="0" fontId="54" fillId="5" borderId="8" xfId="34" applyFont="1" applyFill="1" applyBorder="1" applyAlignment="1">
      <alignment horizontal="left" vertical="center" wrapText="1"/>
    </xf>
    <xf numFmtId="0" fontId="52" fillId="5" borderId="8" xfId="34" applyFont="1" applyFill="1" applyBorder="1" applyAlignment="1">
      <alignment horizontal="center" vertical="center" wrapText="1"/>
    </xf>
    <xf numFmtId="0" fontId="51" fillId="5" borderId="8" xfId="34" applyFont="1" applyFill="1" applyBorder="1" applyAlignment="1">
      <alignment horizontal="center" vertical="center"/>
    </xf>
    <xf numFmtId="0" fontId="52" fillId="5" borderId="8" xfId="34" applyFont="1" applyFill="1" applyBorder="1" applyAlignment="1">
      <alignment horizontal="left" vertical="center" wrapText="1"/>
    </xf>
    <xf numFmtId="166" fontId="223" fillId="0" borderId="0" xfId="7" applyNumberFormat="1" applyFont="1" applyAlignment="1">
      <alignment horizontal="center" vertical="center"/>
    </xf>
    <xf numFmtId="0" fontId="50" fillId="5" borderId="8" xfId="34" applyFont="1" applyFill="1" applyBorder="1" applyAlignment="1">
      <alignment horizontal="center" vertical="center" wrapText="1"/>
    </xf>
    <xf numFmtId="0" fontId="49" fillId="5" borderId="8" xfId="34" applyFont="1" applyFill="1" applyBorder="1" applyAlignment="1">
      <alignment horizontal="center" vertical="center"/>
    </xf>
    <xf numFmtId="0" fontId="50" fillId="5" borderId="8" xfId="34" applyFont="1" applyFill="1" applyBorder="1" applyAlignment="1">
      <alignment horizontal="left" vertical="center" wrapText="1"/>
    </xf>
    <xf numFmtId="0" fontId="125" fillId="6" borderId="8" xfId="35" applyFont="1" applyFill="1" applyBorder="1" applyAlignment="1">
      <alignment horizontal="center" vertical="center"/>
    </xf>
    <xf numFmtId="0" fontId="130" fillId="6" borderId="8" xfId="35" applyFont="1" applyFill="1" applyBorder="1" applyAlignment="1">
      <alignment horizontal="center"/>
    </xf>
    <xf numFmtId="0" fontId="195" fillId="2" borderId="8" xfId="0" quotePrefix="1" applyFont="1" applyFill="1" applyBorder="1" applyAlignment="1">
      <alignment horizontal="center" vertical="center"/>
    </xf>
    <xf numFmtId="2" fontId="195" fillId="2" borderId="8" xfId="0" applyNumberFormat="1" applyFont="1" applyFill="1" applyBorder="1" applyAlignment="1">
      <alignment horizontal="center" vertical="center"/>
    </xf>
    <xf numFmtId="0" fontId="48" fillId="0" borderId="8" xfId="0" applyFont="1" applyBorder="1" applyAlignment="1">
      <alignment horizontal="center"/>
    </xf>
    <xf numFmtId="0" fontId="195" fillId="43" borderId="8" xfId="0" applyFont="1" applyFill="1" applyBorder="1" applyAlignment="1">
      <alignment vertical="center" wrapText="1"/>
    </xf>
    <xf numFmtId="2" fontId="195" fillId="5" borderId="8" xfId="0" applyNumberFormat="1" applyFont="1" applyFill="1" applyBorder="1" applyAlignment="1">
      <alignment horizontal="center" vertical="center"/>
    </xf>
    <xf numFmtId="2" fontId="195" fillId="43" borderId="8" xfId="0" applyNumberFormat="1" applyFont="1" applyFill="1" applyBorder="1" applyAlignment="1">
      <alignment horizontal="center" vertical="center"/>
    </xf>
    <xf numFmtId="0" fontId="195" fillId="0" borderId="8" xfId="0" applyFont="1" applyBorder="1" applyAlignment="1">
      <alignment vertical="center" wrapText="1"/>
    </xf>
    <xf numFmtId="0" fontId="195" fillId="5" borderId="8" xfId="0" quotePrefix="1" applyFont="1" applyFill="1" applyBorder="1" applyAlignment="1">
      <alignment horizontal="center" vertical="center"/>
    </xf>
    <xf numFmtId="0" fontId="229" fillId="0" borderId="0" xfId="10" applyFont="1" applyAlignment="1">
      <alignment horizontal="left" vertical="center"/>
    </xf>
    <xf numFmtId="0" fontId="230" fillId="2" borderId="0" xfId="7" applyFont="1" applyFill="1" applyAlignment="1">
      <alignment horizontal="center" vertical="center"/>
    </xf>
    <xf numFmtId="0" fontId="230" fillId="2" borderId="0" xfId="7" applyFont="1" applyFill="1" applyAlignment="1">
      <alignment vertical="center"/>
    </xf>
    <xf numFmtId="0" fontId="230" fillId="0" borderId="0" xfId="7" applyFont="1" applyAlignment="1">
      <alignment horizontal="center" vertical="center"/>
    </xf>
    <xf numFmtId="0" fontId="230" fillId="0" borderId="0" xfId="7" applyFont="1" applyAlignment="1">
      <alignment vertical="center"/>
    </xf>
    <xf numFmtId="0" fontId="231" fillId="6" borderId="8" xfId="7" applyFont="1" applyFill="1" applyBorder="1" applyAlignment="1">
      <alignment horizontal="center" vertical="center"/>
    </xf>
    <xf numFmtId="0" fontId="232" fillId="34" borderId="8" xfId="7" applyFont="1" applyFill="1" applyBorder="1" applyAlignment="1">
      <alignment horizontal="center" vertical="center" wrapText="1"/>
    </xf>
    <xf numFmtId="166" fontId="232" fillId="34" borderId="8" xfId="7" applyNumberFormat="1" applyFont="1" applyFill="1" applyBorder="1" applyAlignment="1">
      <alignment horizontal="center" vertical="center" wrapText="1"/>
    </xf>
    <xf numFmtId="0" fontId="230" fillId="2" borderId="8" xfId="7" applyFont="1" applyFill="1" applyBorder="1" applyAlignment="1">
      <alignment horizontal="center" vertical="center"/>
    </xf>
    <xf numFmtId="1" fontId="230" fillId="2" borderId="8" xfId="7" applyNumberFormat="1" applyFont="1" applyFill="1" applyBorder="1" applyAlignment="1">
      <alignment horizontal="center" vertical="center"/>
    </xf>
    <xf numFmtId="0" fontId="230" fillId="5" borderId="8" xfId="7" applyFont="1" applyFill="1" applyBorder="1" applyAlignment="1">
      <alignment horizontal="center" vertical="center"/>
    </xf>
    <xf numFmtId="0" fontId="230" fillId="6" borderId="8" xfId="7" applyFont="1" applyFill="1" applyBorder="1" applyAlignment="1">
      <alignment horizontal="center" vertical="center"/>
    </xf>
    <xf numFmtId="0" fontId="230" fillId="2" borderId="8" xfId="7" quotePrefix="1" applyFont="1" applyFill="1" applyBorder="1" applyAlignment="1">
      <alignment horizontal="center" vertical="center"/>
    </xf>
    <xf numFmtId="0" fontId="233" fillId="0" borderId="8" xfId="7" applyFont="1" applyBorder="1" applyAlignment="1">
      <alignment horizontal="center" vertical="center" wrapText="1"/>
    </xf>
    <xf numFmtId="0" fontId="233" fillId="2" borderId="8" xfId="7" applyFont="1" applyFill="1" applyBorder="1" applyAlignment="1">
      <alignment horizontal="center" vertical="center" wrapText="1"/>
    </xf>
    <xf numFmtId="0" fontId="231" fillId="2" borderId="0" xfId="7" applyFont="1" applyFill="1" applyAlignment="1">
      <alignment horizontal="center" vertical="center"/>
    </xf>
    <xf numFmtId="0" fontId="231" fillId="2" borderId="0" xfId="7" applyFont="1" applyFill="1" applyAlignment="1">
      <alignment vertical="center"/>
    </xf>
    <xf numFmtId="0" fontId="231" fillId="0" borderId="0" xfId="7" applyFont="1" applyAlignment="1">
      <alignment horizontal="center" vertical="center"/>
    </xf>
    <xf numFmtId="0" fontId="231" fillId="0" borderId="0" xfId="7" applyFont="1" applyAlignment="1">
      <alignment vertical="center"/>
    </xf>
    <xf numFmtId="0" fontId="231" fillId="6" borderId="8" xfId="7" applyFont="1" applyFill="1" applyBorder="1" applyAlignment="1">
      <alignment vertical="center"/>
    </xf>
    <xf numFmtId="0" fontId="231" fillId="0" borderId="0" xfId="7" applyFont="1" applyAlignment="1">
      <alignment horizontal="left" vertical="center"/>
    </xf>
    <xf numFmtId="14" fontId="231" fillId="0" borderId="0" xfId="7" applyNumberFormat="1" applyFont="1" applyAlignment="1">
      <alignment horizontal="center" vertical="center"/>
    </xf>
    <xf numFmtId="0" fontId="223" fillId="2" borderId="0" xfId="7" quotePrefix="1" applyFont="1" applyFill="1" applyAlignment="1">
      <alignment horizontal="center" vertical="center"/>
    </xf>
    <xf numFmtId="0" fontId="47" fillId="5" borderId="8" xfId="34" applyFont="1" applyFill="1" applyBorder="1" applyAlignment="1">
      <alignment horizontal="center" vertical="center" wrapText="1"/>
    </xf>
    <xf numFmtId="0" fontId="46" fillId="5" borderId="8" xfId="34" applyFont="1" applyFill="1" applyBorder="1" applyAlignment="1">
      <alignment horizontal="center" vertical="center"/>
    </xf>
    <xf numFmtId="0" fontId="45" fillId="5" borderId="8" xfId="34" applyFont="1" applyFill="1" applyBorder="1" applyAlignment="1">
      <alignment horizontal="center" vertical="center" wrapText="1"/>
    </xf>
    <xf numFmtId="0" fontId="72" fillId="0" borderId="8" xfId="39" applyBorder="1" applyAlignment="1">
      <alignment horizontal="center" wrapText="1"/>
    </xf>
    <xf numFmtId="14" fontId="72" fillId="0" borderId="8" xfId="39" applyNumberFormat="1" applyBorder="1" applyAlignment="1">
      <alignment horizontal="center" vertical="center"/>
    </xf>
    <xf numFmtId="0" fontId="44" fillId="0" borderId="0" xfId="0" applyFont="1" applyAlignment="1">
      <alignment horizontal="center"/>
    </xf>
    <xf numFmtId="0" fontId="72" fillId="0" borderId="7" xfId="39" applyBorder="1" applyAlignment="1">
      <alignment horizontal="center" vertical="center"/>
    </xf>
    <xf numFmtId="0" fontId="72" fillId="0" borderId="33" xfId="39" applyBorder="1" applyAlignment="1">
      <alignment horizontal="center" vertical="center"/>
    </xf>
    <xf numFmtId="0" fontId="72" fillId="0" borderId="15" xfId="39" applyBorder="1" applyAlignment="1">
      <alignment horizontal="center" vertical="center"/>
    </xf>
    <xf numFmtId="0" fontId="72" fillId="0" borderId="7" xfId="39" applyBorder="1" applyAlignment="1">
      <alignment horizontal="center"/>
    </xf>
    <xf numFmtId="0" fontId="72" fillId="0" borderId="33" xfId="39" applyBorder="1" applyAlignment="1">
      <alignment horizontal="center"/>
    </xf>
    <xf numFmtId="0" fontId="72" fillId="0" borderId="8" xfId="39" applyBorder="1"/>
    <xf numFmtId="0" fontId="125" fillId="0" borderId="8" xfId="34" applyFont="1" applyBorder="1"/>
    <xf numFmtId="0" fontId="0" fillId="6" borderId="0" xfId="0" applyFill="1" applyAlignment="1">
      <alignment horizontal="center"/>
    </xf>
    <xf numFmtId="0" fontId="42" fillId="6" borderId="0" xfId="0" applyFont="1" applyFill="1" applyAlignment="1">
      <alignment horizontal="center"/>
    </xf>
    <xf numFmtId="14" fontId="0" fillId="6" borderId="0" xfId="0" applyNumberFormat="1" applyFill="1" applyAlignment="1">
      <alignment horizontal="center"/>
    </xf>
    <xf numFmtId="2" fontId="148" fillId="5" borderId="8" xfId="0" applyNumberFormat="1" applyFont="1" applyFill="1" applyBorder="1" applyAlignment="1">
      <alignment horizontal="center" vertical="center"/>
    </xf>
    <xf numFmtId="14" fontId="87" fillId="0" borderId="0" xfId="35" applyNumberFormat="1" applyAlignment="1">
      <alignment horizontal="center"/>
    </xf>
    <xf numFmtId="14" fontId="0" fillId="0" borderId="0" xfId="0" applyNumberFormat="1"/>
    <xf numFmtId="0" fontId="223" fillId="2" borderId="15" xfId="7" applyFont="1" applyFill="1" applyBorder="1" applyAlignment="1">
      <alignment horizontal="center" vertical="center"/>
    </xf>
    <xf numFmtId="0" fontId="223" fillId="6" borderId="8" xfId="7" applyFont="1" applyFill="1" applyBorder="1" applyAlignment="1">
      <alignment horizontal="center" vertical="center" wrapText="1"/>
    </xf>
    <xf numFmtId="15" fontId="0" fillId="0" borderId="8" xfId="0" applyNumberFormat="1" applyBorder="1" applyAlignment="1">
      <alignment horizontal="center" vertical="center"/>
    </xf>
    <xf numFmtId="9" fontId="0" fillId="0" borderId="0" xfId="1" applyFont="1" applyAlignment="1">
      <alignment horizontal="center"/>
    </xf>
    <xf numFmtId="2" fontId="0" fillId="0" borderId="8" xfId="0" applyNumberFormat="1" applyBorder="1" applyAlignment="1">
      <alignment horizontal="center" vertical="center"/>
    </xf>
    <xf numFmtId="0" fontId="39" fillId="0" borderId="8" xfId="0" applyFont="1" applyBorder="1" applyAlignment="1">
      <alignment horizontal="left" vertical="center"/>
    </xf>
    <xf numFmtId="0" fontId="39" fillId="0" borderId="15" xfId="0" applyFont="1" applyBorder="1" applyAlignment="1">
      <alignment horizontal="left" vertical="center"/>
    </xf>
    <xf numFmtId="0" fontId="195" fillId="0" borderId="8" xfId="0" applyFont="1" applyBorder="1" applyAlignment="1">
      <alignment horizontal="center" vertical="center" wrapText="1"/>
    </xf>
    <xf numFmtId="0" fontId="38" fillId="0" borderId="8" xfId="0" applyFont="1" applyBorder="1"/>
    <xf numFmtId="17" fontId="0" fillId="0" borderId="8" xfId="0" applyNumberFormat="1" applyBorder="1" applyAlignment="1">
      <alignment horizontal="center" vertical="center"/>
    </xf>
    <xf numFmtId="43" fontId="125" fillId="6" borderId="8" xfId="32" applyFont="1" applyFill="1" applyBorder="1" applyAlignment="1">
      <alignment horizontal="center"/>
    </xf>
    <xf numFmtId="43" fontId="0" fillId="0" borderId="0" xfId="0" applyNumberFormat="1"/>
    <xf numFmtId="0" fontId="37" fillId="0" borderId="8" xfId="0" applyFont="1" applyBorder="1" applyAlignment="1">
      <alignment horizontal="center" vertical="center" wrapText="1"/>
    </xf>
    <xf numFmtId="0" fontId="87" fillId="6" borderId="8" xfId="35" applyFill="1" applyBorder="1" applyAlignment="1">
      <alignment horizontal="center"/>
    </xf>
    <xf numFmtId="0" fontId="126" fillId="6" borderId="8" xfId="35" applyFont="1" applyFill="1" applyBorder="1" applyAlignment="1">
      <alignment horizontal="center"/>
    </xf>
    <xf numFmtId="0" fontId="49" fillId="6" borderId="8" xfId="35" applyFont="1" applyFill="1" applyBorder="1" applyAlignment="1">
      <alignment horizontal="left" vertical="center"/>
    </xf>
    <xf numFmtId="0" fontId="49" fillId="6" borderId="8" xfId="35" applyFont="1" applyFill="1" applyBorder="1" applyAlignment="1">
      <alignment horizontal="left"/>
    </xf>
    <xf numFmtId="0" fontId="74" fillId="6" borderId="8" xfId="35" applyFont="1" applyFill="1" applyBorder="1" applyAlignment="1">
      <alignment vertical="center"/>
    </xf>
    <xf numFmtId="0" fontId="126" fillId="6" borderId="8" xfId="35" applyFont="1" applyFill="1" applyBorder="1" applyAlignment="1">
      <alignment horizontal="left"/>
    </xf>
    <xf numFmtId="14" fontId="195" fillId="2" borderId="0" xfId="0" applyNumberFormat="1" applyFont="1" applyFill="1" applyAlignment="1">
      <alignment horizontal="center" vertical="center"/>
    </xf>
    <xf numFmtId="0" fontId="92" fillId="0" borderId="0" xfId="26" applyAlignment="1">
      <alignment vertical="center"/>
    </xf>
    <xf numFmtId="1" fontId="223" fillId="6" borderId="8" xfId="7" applyNumberFormat="1" applyFont="1" applyFill="1" applyBorder="1" applyAlignment="1">
      <alignment horizontal="center" vertical="center"/>
    </xf>
    <xf numFmtId="0" fontId="43" fillId="5" borderId="8" xfId="34" applyFont="1" applyFill="1" applyBorder="1" applyAlignment="1">
      <alignment horizontal="center" vertical="center" wrapText="1"/>
    </xf>
    <xf numFmtId="0" fontId="41" fillId="5" borderId="8" xfId="34" applyFont="1" applyFill="1" applyBorder="1" applyAlignment="1">
      <alignment horizontal="center" vertical="center"/>
    </xf>
    <xf numFmtId="0" fontId="43" fillId="5" borderId="8" xfId="34" applyFont="1" applyFill="1" applyBorder="1" applyAlignment="1">
      <alignment horizontal="left" vertical="center" wrapText="1"/>
    </xf>
    <xf numFmtId="0" fontId="36" fillId="5" borderId="8" xfId="34" applyFont="1" applyFill="1" applyBorder="1" applyAlignment="1">
      <alignment horizontal="center" vertical="center" wrapText="1"/>
    </xf>
    <xf numFmtId="0" fontId="36" fillId="5" borderId="8" xfId="34" applyFont="1" applyFill="1" applyBorder="1" applyAlignment="1">
      <alignment horizontal="left" vertical="center" wrapText="1"/>
    </xf>
    <xf numFmtId="0" fontId="34" fillId="5" borderId="8" xfId="34" applyFont="1" applyFill="1" applyBorder="1" applyAlignment="1">
      <alignment horizontal="center" vertical="center" wrapText="1"/>
    </xf>
    <xf numFmtId="0" fontId="234" fillId="6" borderId="8" xfId="43" applyFont="1" applyFill="1" applyBorder="1" applyAlignment="1">
      <alignment horizontal="center" vertical="center"/>
    </xf>
    <xf numFmtId="0" fontId="151" fillId="0" borderId="0" xfId="43">
      <alignment vertical="center"/>
    </xf>
    <xf numFmtId="0" fontId="234" fillId="45" borderId="8" xfId="43" applyFont="1" applyFill="1" applyBorder="1" applyAlignment="1">
      <alignment horizontal="center" vertical="center"/>
    </xf>
    <xf numFmtId="0" fontId="234" fillId="45" borderId="8" xfId="43" applyFont="1" applyFill="1" applyBorder="1" applyAlignment="1">
      <alignment horizontal="center" vertical="center" wrapText="1"/>
    </xf>
    <xf numFmtId="0" fontId="234" fillId="0" borderId="8" xfId="43" applyFont="1" applyBorder="1" applyAlignment="1">
      <alignment horizontal="center" vertical="center"/>
    </xf>
    <xf numFmtId="0" fontId="151" fillId="0" borderId="8" xfId="43" applyBorder="1" applyAlignment="1">
      <alignment horizontal="center" vertical="top"/>
    </xf>
    <xf numFmtId="0" fontId="151" fillId="2" borderId="8" xfId="43" applyFill="1" applyBorder="1" applyAlignment="1">
      <alignment horizontal="center" vertical="center"/>
    </xf>
    <xf numFmtId="0" fontId="151" fillId="6" borderId="8" xfId="43" applyFill="1" applyBorder="1" applyAlignment="1">
      <alignment horizontal="center" vertical="center"/>
    </xf>
    <xf numFmtId="0" fontId="151" fillId="0" borderId="8" xfId="43" applyBorder="1" applyAlignment="1">
      <alignment horizontal="center" vertical="center"/>
    </xf>
    <xf numFmtId="0" fontId="168" fillId="0" borderId="8" xfId="43" applyFont="1" applyBorder="1" applyAlignment="1">
      <alignment horizontal="center" vertical="center"/>
    </xf>
    <xf numFmtId="0" fontId="234" fillId="0" borderId="44" xfId="43" applyFont="1" applyBorder="1" applyAlignment="1">
      <alignment horizontal="center" vertical="center"/>
    </xf>
    <xf numFmtId="0" fontId="151" fillId="0" borderId="0" xfId="43" applyAlignment="1">
      <alignment horizontal="center" vertical="center"/>
    </xf>
    <xf numFmtId="0" fontId="234" fillId="6" borderId="8" xfId="43" applyFont="1" applyFill="1" applyBorder="1" applyAlignment="1">
      <alignment horizontal="center" vertical="center" wrapText="1"/>
    </xf>
    <xf numFmtId="0" fontId="234" fillId="0" borderId="8" xfId="43" quotePrefix="1" applyFont="1" applyBorder="1" applyAlignment="1">
      <alignment horizontal="center" vertical="center"/>
    </xf>
    <xf numFmtId="176" fontId="0" fillId="0" borderId="8" xfId="44" applyFont="1" applyBorder="1" applyAlignment="1">
      <alignment horizontal="center" vertical="center"/>
    </xf>
    <xf numFmtId="0" fontId="151" fillId="0" borderId="8" xfId="43" applyBorder="1">
      <alignment vertical="center"/>
    </xf>
    <xf numFmtId="0" fontId="234" fillId="5" borderId="8" xfId="43" applyFont="1" applyFill="1" applyBorder="1" applyAlignment="1">
      <alignment horizontal="center" vertical="center"/>
    </xf>
    <xf numFmtId="0" fontId="169" fillId="47" borderId="8" xfId="43" quotePrefix="1" applyFont="1" applyFill="1" applyBorder="1" applyAlignment="1">
      <alignment horizontal="center" vertical="center"/>
    </xf>
    <xf numFmtId="0" fontId="151" fillId="45" borderId="8" xfId="43" applyFill="1" applyBorder="1" applyAlignment="1">
      <alignment horizontal="center" vertical="center"/>
    </xf>
    <xf numFmtId="0" fontId="0" fillId="0" borderId="8" xfId="0" applyBorder="1" applyAlignment="1">
      <alignment vertical="center" wrapText="1"/>
    </xf>
    <xf numFmtId="0" fontId="33" fillId="5" borderId="8" xfId="34" applyFont="1" applyFill="1" applyBorder="1" applyAlignment="1">
      <alignment horizontal="center" vertical="center" wrapText="1"/>
    </xf>
    <xf numFmtId="0" fontId="32" fillId="5" borderId="8" xfId="34" applyFont="1" applyFill="1" applyBorder="1" applyAlignment="1">
      <alignment horizontal="center" vertical="center"/>
    </xf>
    <xf numFmtId="0" fontId="32" fillId="5" borderId="8" xfId="34" applyFont="1" applyFill="1" applyBorder="1" applyAlignment="1">
      <alignment horizontal="center" vertical="center" wrapText="1"/>
    </xf>
    <xf numFmtId="0" fontId="62" fillId="5" borderId="8" xfId="34" applyFont="1" applyFill="1" applyBorder="1" applyAlignment="1">
      <alignment horizontal="center" vertical="center"/>
    </xf>
    <xf numFmtId="0" fontId="83" fillId="5" borderId="8" xfId="34" applyFont="1" applyFill="1" applyBorder="1" applyAlignment="1">
      <alignment horizontal="left" vertical="center" wrapText="1"/>
    </xf>
    <xf numFmtId="0" fontId="83" fillId="5" borderId="7" xfId="34" applyFont="1" applyFill="1" applyBorder="1" applyAlignment="1">
      <alignment horizontal="left" vertical="center" wrapText="1"/>
    </xf>
    <xf numFmtId="0" fontId="83" fillId="5" borderId="7" xfId="34" applyFont="1" applyFill="1" applyBorder="1" applyAlignment="1">
      <alignment vertical="center"/>
    </xf>
    <xf numFmtId="0" fontId="125" fillId="5" borderId="8" xfId="34" applyFont="1" applyFill="1" applyBorder="1"/>
    <xf numFmtId="0" fontId="83" fillId="5" borderId="33" xfId="34" applyFont="1" applyFill="1" applyBorder="1" applyAlignment="1">
      <alignment horizontal="left" vertical="center" wrapText="1"/>
    </xf>
    <xf numFmtId="0" fontId="83" fillId="5" borderId="33" xfId="34" applyFont="1" applyFill="1" applyBorder="1" applyAlignment="1">
      <alignment vertical="center"/>
    </xf>
    <xf numFmtId="0" fontId="71" fillId="5" borderId="8" xfId="34" applyFont="1" applyFill="1" applyBorder="1" applyAlignment="1">
      <alignment horizontal="center" vertical="center"/>
    </xf>
    <xf numFmtId="0" fontId="70" fillId="5" borderId="8" xfId="34" applyFont="1" applyFill="1" applyBorder="1" applyAlignment="1">
      <alignment horizontal="center" vertical="center"/>
    </xf>
    <xf numFmtId="0" fontId="70" fillId="5" borderId="8" xfId="34" applyFont="1" applyFill="1" applyBorder="1" applyAlignment="1">
      <alignment horizontal="left" vertical="center" wrapText="1"/>
    </xf>
    <xf numFmtId="0" fontId="68" fillId="5" borderId="8" xfId="34" applyFont="1" applyFill="1" applyBorder="1" applyAlignment="1">
      <alignment horizontal="center" vertical="center"/>
    </xf>
    <xf numFmtId="0" fontId="66" fillId="5" borderId="8" xfId="34" applyFont="1" applyFill="1" applyBorder="1" applyAlignment="1">
      <alignment horizontal="center" vertical="center" wrapText="1"/>
    </xf>
    <xf numFmtId="0" fontId="63" fillId="5" borderId="8" xfId="34" applyFont="1" applyFill="1" applyBorder="1" applyAlignment="1">
      <alignment horizontal="center" vertical="center" wrapText="1"/>
    </xf>
    <xf numFmtId="0" fontId="61" fillId="5" borderId="8" xfId="34" applyFont="1" applyFill="1" applyBorder="1" applyAlignment="1">
      <alignment horizontal="center" vertical="center" wrapText="1"/>
    </xf>
    <xf numFmtId="0" fontId="35" fillId="5" borderId="8" xfId="34" applyFont="1" applyFill="1" applyBorder="1" applyAlignment="1">
      <alignment horizontal="center" vertical="center" wrapText="1"/>
    </xf>
    <xf numFmtId="0" fontId="235" fillId="0" borderId="8" xfId="26" applyFont="1" applyBorder="1" applyAlignment="1">
      <alignment horizontal="center" vertical="center" wrapText="1"/>
    </xf>
    <xf numFmtId="1" fontId="235" fillId="0" borderId="8" xfId="26" applyNumberFormat="1" applyFont="1" applyBorder="1" applyAlignment="1">
      <alignment horizontal="center" vertical="center" wrapText="1"/>
    </xf>
    <xf numFmtId="1" fontId="235" fillId="32" borderId="8" xfId="26" applyNumberFormat="1" applyFont="1" applyFill="1" applyBorder="1" applyAlignment="1">
      <alignment horizontal="center" vertical="center" wrapText="1"/>
    </xf>
    <xf numFmtId="0" fontId="118" fillId="0" borderId="0" xfId="26" applyFont="1"/>
    <xf numFmtId="165" fontId="166" fillId="0" borderId="8" xfId="26" applyNumberFormat="1" applyFont="1" applyBorder="1" applyAlignment="1">
      <alignment horizontal="center" vertical="center" wrapText="1"/>
    </xf>
    <xf numFmtId="0" fontId="92" fillId="0" borderId="0" xfId="26" applyAlignment="1">
      <alignment horizontal="center"/>
    </xf>
    <xf numFmtId="0" fontId="92" fillId="0" borderId="0" xfId="26" applyAlignment="1">
      <alignment horizontal="center" vertical="center"/>
    </xf>
    <xf numFmtId="1" fontId="118" fillId="0" borderId="0" xfId="26" applyNumberFormat="1" applyFont="1" applyAlignment="1">
      <alignment horizontal="center"/>
    </xf>
    <xf numFmtId="0" fontId="118" fillId="0" borderId="0" xfId="26" applyFont="1" applyAlignment="1">
      <alignment horizontal="center"/>
    </xf>
    <xf numFmtId="43" fontId="92" fillId="0" borderId="0" xfId="32" applyFont="1" applyAlignment="1">
      <alignment horizontal="center"/>
    </xf>
    <xf numFmtId="43" fontId="191" fillId="0" borderId="0" xfId="32" applyFont="1" applyAlignment="1">
      <alignment horizontal="center"/>
    </xf>
    <xf numFmtId="0" fontId="191" fillId="0" borderId="0" xfId="26" applyFont="1" applyAlignment="1">
      <alignment horizontal="center"/>
    </xf>
    <xf numFmtId="0" fontId="30" fillId="0" borderId="0" xfId="26" applyFont="1" applyAlignment="1">
      <alignment horizontal="center"/>
    </xf>
    <xf numFmtId="0" fontId="30" fillId="0" borderId="0" xfId="26" applyFont="1" applyAlignment="1">
      <alignment horizontal="center" vertical="center"/>
    </xf>
    <xf numFmtId="0" fontId="29" fillId="0" borderId="8" xfId="0" applyFont="1" applyBorder="1"/>
    <xf numFmtId="0" fontId="29" fillId="0" borderId="8" xfId="0" applyFont="1" applyBorder="1" applyAlignment="1">
      <alignment horizontal="center"/>
    </xf>
    <xf numFmtId="0" fontId="29" fillId="0" borderId="7" xfId="0" applyFont="1" applyBorder="1"/>
    <xf numFmtId="0" fontId="125" fillId="6" borderId="8" xfId="0" applyFont="1" applyFill="1" applyBorder="1"/>
    <xf numFmtId="0" fontId="29" fillId="0" borderId="8" xfId="0" applyFont="1" applyBorder="1" applyAlignment="1">
      <alignment horizontal="left"/>
    </xf>
    <xf numFmtId="0" fontId="29" fillId="2" borderId="8" xfId="0" applyFont="1" applyFill="1" applyBorder="1" applyAlignment="1">
      <alignment horizontal="left"/>
    </xf>
    <xf numFmtId="0" fontId="125" fillId="6" borderId="8" xfId="0" applyFont="1" applyFill="1" applyBorder="1" applyAlignment="1">
      <alignment horizontal="center" vertical="center" wrapText="1"/>
    </xf>
    <xf numFmtId="0" fontId="0" fillId="0" borderId="8" xfId="0" applyBorder="1" applyAlignment="1">
      <alignment horizontal="left"/>
    </xf>
    <xf numFmtId="0" fontId="195" fillId="2" borderId="8" xfId="0" applyFont="1" applyFill="1" applyBorder="1" applyAlignment="1">
      <alignment vertical="center" wrapText="1"/>
    </xf>
    <xf numFmtId="0" fontId="31" fillId="5" borderId="8" xfId="34" applyFont="1" applyFill="1" applyBorder="1" applyAlignment="1">
      <alignment horizontal="center" vertical="center" wrapText="1"/>
    </xf>
    <xf numFmtId="0" fontId="28" fillId="5" borderId="8" xfId="34" applyFont="1" applyFill="1" applyBorder="1" applyAlignment="1">
      <alignment horizontal="center" vertical="center"/>
    </xf>
    <xf numFmtId="0" fontId="31" fillId="5" borderId="8" xfId="34" applyFont="1" applyFill="1" applyBorder="1" applyAlignment="1">
      <alignment horizontal="left" vertical="center" wrapText="1"/>
    </xf>
    <xf numFmtId="0" fontId="27" fillId="6" borderId="8" xfId="35" applyFont="1" applyFill="1" applyBorder="1"/>
    <xf numFmtId="0" fontId="148" fillId="5" borderId="8" xfId="10" applyFont="1" applyFill="1" applyBorder="1" applyAlignment="1">
      <alignment horizontal="center" vertical="center" wrapText="1"/>
    </xf>
    <xf numFmtId="0" fontId="26" fillId="5" borderId="8" xfId="34" applyFont="1" applyFill="1" applyBorder="1" applyAlignment="1">
      <alignment horizontal="center" vertical="center" wrapText="1"/>
    </xf>
    <xf numFmtId="0" fontId="26" fillId="5" borderId="8" xfId="34" applyFont="1" applyFill="1" applyBorder="1" applyAlignment="1">
      <alignment horizontal="left" vertical="center" wrapText="1"/>
    </xf>
    <xf numFmtId="0" fontId="25" fillId="6" borderId="8" xfId="74" applyFill="1" applyBorder="1" applyAlignment="1">
      <alignment horizontal="center"/>
    </xf>
    <xf numFmtId="0" fontId="25" fillId="6" borderId="8" xfId="74" applyFill="1" applyBorder="1" applyAlignment="1">
      <alignment vertical="center"/>
    </xf>
    <xf numFmtId="0" fontId="25" fillId="6" borderId="8" xfId="74" applyFill="1" applyBorder="1" applyAlignment="1">
      <alignment horizontal="center" vertical="center"/>
    </xf>
    <xf numFmtId="0" fontId="126" fillId="6" borderId="8" xfId="74" applyFont="1" applyFill="1" applyBorder="1" applyAlignment="1">
      <alignment horizontal="center"/>
    </xf>
    <xf numFmtId="0" fontId="25" fillId="24" borderId="8" xfId="74" applyFill="1" applyBorder="1" applyAlignment="1">
      <alignment horizontal="center" vertical="center"/>
    </xf>
    <xf numFmtId="0" fontId="25" fillId="24" borderId="8" xfId="74" applyFill="1" applyBorder="1" applyAlignment="1">
      <alignment horizontal="center"/>
    </xf>
    <xf numFmtId="0" fontId="25" fillId="6" borderId="8" xfId="74" applyFill="1" applyBorder="1"/>
    <xf numFmtId="0" fontId="24"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160" fillId="5" borderId="8" xfId="43" applyFont="1" applyFill="1" applyBorder="1" applyAlignment="1">
      <alignment horizontal="center" vertical="center"/>
    </xf>
    <xf numFmtId="0" fontId="151" fillId="0" borderId="8" xfId="43" applyBorder="1" applyAlignment="1">
      <alignment horizontal="left" vertical="center"/>
    </xf>
    <xf numFmtId="0" fontId="23" fillId="6" borderId="8" xfId="35" applyFont="1" applyFill="1" applyBorder="1" applyAlignment="1">
      <alignment horizontal="left" vertical="center"/>
    </xf>
    <xf numFmtId="0" fontId="83" fillId="6" borderId="8" xfId="34" applyFont="1" applyFill="1" applyBorder="1" applyAlignment="1">
      <alignment horizontal="center" vertical="center"/>
    </xf>
    <xf numFmtId="0" fontId="31" fillId="6" borderId="8" xfId="34" applyFont="1" applyFill="1" applyBorder="1" applyAlignment="1">
      <alignment horizontal="center" vertical="center" wrapText="1"/>
    </xf>
    <xf numFmtId="14" fontId="83" fillId="6" borderId="8" xfId="34" applyNumberFormat="1" applyFont="1" applyFill="1" applyBorder="1" applyAlignment="1">
      <alignment horizontal="center" vertical="center"/>
    </xf>
    <xf numFmtId="0" fontId="22" fillId="6" borderId="8" xfId="34" applyFont="1" applyFill="1" applyBorder="1" applyAlignment="1">
      <alignment horizontal="center" vertical="center"/>
    </xf>
    <xf numFmtId="0" fontId="22" fillId="6" borderId="8" xfId="34" applyFont="1" applyFill="1" applyBorder="1" applyAlignment="1">
      <alignment horizontal="center" vertical="center" wrapText="1"/>
    </xf>
    <xf numFmtId="0" fontId="26" fillId="6" borderId="8" xfId="34" applyFont="1" applyFill="1" applyBorder="1" applyAlignment="1">
      <alignment horizontal="left" vertical="center" wrapText="1"/>
    </xf>
    <xf numFmtId="0" fontId="83" fillId="6" borderId="8" xfId="34" applyFont="1" applyFill="1" applyBorder="1" applyAlignment="1">
      <alignment vertical="center"/>
    </xf>
    <xf numFmtId="0" fontId="148" fillId="5" borderId="8" xfId="0" applyFont="1" applyFill="1" applyBorder="1" applyAlignment="1">
      <alignment horizontal="center" vertical="center"/>
    </xf>
    <xf numFmtId="16" fontId="148" fillId="5" borderId="8" xfId="0" quotePrefix="1" applyNumberFormat="1" applyFont="1" applyFill="1" applyBorder="1" applyAlignment="1">
      <alignment horizontal="center" vertical="center"/>
    </xf>
    <xf numFmtId="43" fontId="148" fillId="5" borderId="8" xfId="32" applyFont="1" applyFill="1" applyBorder="1" applyAlignment="1">
      <alignment horizontal="center" vertical="center"/>
    </xf>
    <xf numFmtId="175" fontId="148" fillId="5" borderId="8" xfId="0" applyNumberFormat="1" applyFont="1" applyFill="1" applyBorder="1" applyAlignment="1">
      <alignment horizontal="center" vertical="center"/>
    </xf>
    <xf numFmtId="0" fontId="21" fillId="24" borderId="8" xfId="74" applyFont="1" applyFill="1" applyBorder="1"/>
    <xf numFmtId="0" fontId="40" fillId="6" borderId="8" xfId="35" applyFont="1" applyFill="1" applyBorder="1" applyAlignment="1">
      <alignment horizontal="left"/>
    </xf>
    <xf numFmtId="0" fontId="20" fillId="6" borderId="8" xfId="35" applyFont="1" applyFill="1" applyBorder="1"/>
    <xf numFmtId="1" fontId="166" fillId="0" borderId="8" xfId="26" quotePrefix="1" applyNumberFormat="1" applyFont="1" applyBorder="1" applyAlignment="1">
      <alignment horizontal="center" vertical="center" wrapText="1"/>
    </xf>
    <xf numFmtId="9" fontId="166" fillId="0" borderId="8" xfId="1" quotePrefix="1" applyFont="1" applyBorder="1" applyAlignment="1">
      <alignment horizontal="center" vertical="center" wrapText="1"/>
    </xf>
    <xf numFmtId="9" fontId="166" fillId="0" borderId="8" xfId="26" quotePrefix="1" applyNumberFormat="1" applyFont="1" applyBorder="1" applyAlignment="1">
      <alignment horizontal="center" vertical="center" wrapText="1"/>
    </xf>
    <xf numFmtId="0" fontId="19" fillId="6" borderId="8" xfId="35" applyFont="1" applyFill="1" applyBorder="1" applyAlignment="1">
      <alignment horizontal="left"/>
    </xf>
    <xf numFmtId="0" fontId="196" fillId="2" borderId="8" xfId="0" applyFont="1" applyFill="1" applyBorder="1" applyAlignment="1">
      <alignment vertical="center" wrapText="1"/>
    </xf>
    <xf numFmtId="0" fontId="19" fillId="6" borderId="8" xfId="74" applyFont="1" applyFill="1" applyBorder="1" applyAlignment="1">
      <alignment horizontal="center"/>
    </xf>
    <xf numFmtId="0" fontId="166" fillId="0" borderId="8" xfId="26" applyFont="1" applyBorder="1" applyAlignment="1">
      <alignment horizontal="center" vertical="center"/>
    </xf>
    <xf numFmtId="0" fontId="18" fillId="6" borderId="8" xfId="74" applyFont="1" applyFill="1" applyBorder="1"/>
    <xf numFmtId="0" fontId="18" fillId="6" borderId="8" xfId="74" applyFont="1" applyFill="1" applyBorder="1" applyAlignment="1">
      <alignment horizontal="center" vertical="center"/>
    </xf>
    <xf numFmtId="165" fontId="235" fillId="0" borderId="8" xfId="26" applyNumberFormat="1" applyFont="1" applyBorder="1" applyAlignment="1">
      <alignment horizontal="center" vertical="center" wrapText="1"/>
    </xf>
    <xf numFmtId="165" fontId="148" fillId="0" borderId="8" xfId="26" applyNumberFormat="1" applyFont="1" applyBorder="1" applyAlignment="1">
      <alignment horizontal="center" vertical="center" wrapText="1"/>
    </xf>
    <xf numFmtId="0" fontId="17" fillId="6" borderId="8" xfId="74" applyFont="1" applyFill="1" applyBorder="1"/>
    <xf numFmtId="0" fontId="16" fillId="6" borderId="8" xfId="35" applyFont="1" applyFill="1" applyBorder="1" applyAlignment="1">
      <alignment horizontal="center"/>
    </xf>
    <xf numFmtId="0" fontId="148" fillId="2" borderId="8" xfId="0" applyFont="1" applyFill="1" applyBorder="1" applyAlignment="1">
      <alignment horizontal="center" vertical="center"/>
    </xf>
    <xf numFmtId="0" fontId="148" fillId="2" borderId="0" xfId="10" applyFont="1" applyFill="1" applyAlignment="1">
      <alignment horizontal="center" vertical="center"/>
    </xf>
    <xf numFmtId="0" fontId="148" fillId="2" borderId="8" xfId="0" applyFont="1" applyFill="1" applyBorder="1" applyAlignment="1">
      <alignment vertical="center" wrapText="1"/>
    </xf>
    <xf numFmtId="0" fontId="15" fillId="6" borderId="8" xfId="74" applyFont="1" applyFill="1" applyBorder="1"/>
    <xf numFmtId="0" fontId="15" fillId="6" borderId="8" xfId="74" applyFont="1" applyFill="1" applyBorder="1" applyAlignment="1">
      <alignment horizontal="center" vertical="center"/>
    </xf>
    <xf numFmtId="165" fontId="166" fillId="32" borderId="8" xfId="26" applyNumberFormat="1" applyFont="1" applyFill="1" applyBorder="1" applyAlignment="1">
      <alignment horizontal="center" wrapText="1"/>
    </xf>
    <xf numFmtId="165" fontId="235" fillId="32" borderId="8" xfId="26" applyNumberFormat="1" applyFont="1" applyFill="1" applyBorder="1" applyAlignment="1">
      <alignment horizontal="center" vertical="center" wrapText="1"/>
    </xf>
    <xf numFmtId="43" fontId="191" fillId="0" borderId="0" xfId="32" applyFont="1" applyAlignment="1">
      <alignment horizontal="center" vertical="center"/>
    </xf>
    <xf numFmtId="0" fontId="191" fillId="0" borderId="0" xfId="26" applyFont="1" applyAlignment="1">
      <alignment horizontal="center" vertical="center"/>
    </xf>
    <xf numFmtId="0" fontId="191" fillId="0" borderId="0" xfId="26" applyFont="1" applyAlignment="1">
      <alignment vertical="center"/>
    </xf>
    <xf numFmtId="0" fontId="125" fillId="0" borderId="8" xfId="82" applyFont="1" applyBorder="1" applyAlignment="1">
      <alignment horizontal="center" vertical="center"/>
    </xf>
    <xf numFmtId="0" fontId="125" fillId="0" borderId="8" xfId="82" applyFont="1" applyBorder="1" applyAlignment="1">
      <alignment horizontal="center" vertical="center" wrapText="1"/>
    </xf>
    <xf numFmtId="0" fontId="14" fillId="0" borderId="0" xfId="82"/>
    <xf numFmtId="0" fontId="14" fillId="0" borderId="8" xfId="82" applyBorder="1" applyAlignment="1">
      <alignment horizontal="center" vertical="center"/>
    </xf>
    <xf numFmtId="0" fontId="14" fillId="0" borderId="8" xfId="82" applyBorder="1" applyAlignment="1">
      <alignment horizontal="left" vertical="center"/>
    </xf>
    <xf numFmtId="0" fontId="125" fillId="0" borderId="8" xfId="82" applyFont="1" applyBorder="1" applyAlignment="1">
      <alignment horizontal="center"/>
    </xf>
    <xf numFmtId="2" fontId="0" fillId="5" borderId="8" xfId="0" applyNumberFormat="1" applyFill="1" applyBorder="1" applyAlignment="1">
      <alignment horizontal="center" vertical="center"/>
    </xf>
    <xf numFmtId="14" fontId="0" fillId="5" borderId="8" xfId="0" applyNumberFormat="1" applyFill="1" applyBorder="1" applyAlignment="1">
      <alignment horizontal="center" vertical="center"/>
    </xf>
    <xf numFmtId="0" fontId="0" fillId="5" borderId="8" xfId="0" applyFill="1" applyBorder="1" applyAlignment="1">
      <alignment horizontal="center" vertical="center" wrapText="1"/>
    </xf>
    <xf numFmtId="0" fontId="13" fillId="6" borderId="8" xfId="34" applyFont="1" applyFill="1" applyBorder="1" applyAlignment="1">
      <alignment horizontal="center" vertical="center"/>
    </xf>
    <xf numFmtId="0" fontId="13" fillId="6" borderId="8" xfId="35" applyFont="1" applyFill="1" applyBorder="1" applyAlignment="1">
      <alignment horizontal="center"/>
    </xf>
    <xf numFmtId="0" fontId="12" fillId="6" borderId="8" xfId="74" applyFont="1" applyFill="1" applyBorder="1" applyAlignment="1">
      <alignment horizontal="center" vertical="center"/>
    </xf>
    <xf numFmtId="0" fontId="195" fillId="5" borderId="33" xfId="0" applyFont="1" applyFill="1" applyBorder="1" applyAlignment="1">
      <alignment horizontal="center" vertical="center"/>
    </xf>
    <xf numFmtId="0" fontId="11" fillId="6" borderId="8" xfId="34" applyFont="1" applyFill="1" applyBorder="1" applyAlignment="1">
      <alignment horizontal="center" vertical="center" wrapText="1"/>
    </xf>
    <xf numFmtId="0" fontId="10" fillId="0" borderId="8" xfId="0" applyFont="1" applyBorder="1" applyAlignment="1">
      <alignment horizontal="center" vertical="center"/>
    </xf>
    <xf numFmtId="15" fontId="125" fillId="0" borderId="8" xfId="35" applyNumberFormat="1" applyFont="1" applyBorder="1" applyAlignment="1">
      <alignment horizontal="center"/>
    </xf>
    <xf numFmtId="0" fontId="9" fillId="6" borderId="8" xfId="35" applyFont="1" applyFill="1" applyBorder="1" applyAlignment="1">
      <alignment vertical="center"/>
    </xf>
    <xf numFmtId="0" fontId="8" fillId="0" borderId="8" xfId="0" applyFont="1" applyBorder="1" applyAlignment="1">
      <alignment horizontal="center" vertical="center"/>
    </xf>
    <xf numFmtId="0" fontId="8" fillId="6" borderId="8" xfId="74" applyFont="1" applyFill="1" applyBorder="1"/>
    <xf numFmtId="0" fontId="8" fillId="6" borderId="8" xfId="74" applyFont="1" applyFill="1" applyBorder="1" applyAlignment="1">
      <alignment horizontal="center" vertical="center"/>
    </xf>
    <xf numFmtId="0" fontId="8" fillId="6" borderId="8" xfId="35" applyFont="1" applyFill="1" applyBorder="1"/>
    <xf numFmtId="1" fontId="92" fillId="0" borderId="0" xfId="26" applyNumberFormat="1"/>
    <xf numFmtId="0" fontId="7" fillId="6" borderId="8" xfId="74" applyFont="1" applyFill="1" applyBorder="1" applyAlignment="1">
      <alignment vertical="center"/>
    </xf>
    <xf numFmtId="0" fontId="7" fillId="6" borderId="8" xfId="74" applyFont="1" applyFill="1" applyBorder="1"/>
    <xf numFmtId="0" fontId="6" fillId="6" borderId="8" xfId="35" applyFont="1" applyFill="1" applyBorder="1"/>
    <xf numFmtId="0" fontId="5" fillId="0" borderId="8" xfId="0" applyFont="1" applyBorder="1" applyAlignment="1">
      <alignment horizontal="center" vertical="center" wrapText="1"/>
    </xf>
    <xf numFmtId="0" fontId="87" fillId="0" borderId="8" xfId="35" applyBorder="1"/>
    <xf numFmtId="0" fontId="87" fillId="0" borderId="8" xfId="35" applyBorder="1" applyAlignment="1">
      <alignment horizontal="center"/>
    </xf>
    <xf numFmtId="0" fontId="5" fillId="6" borderId="8" xfId="35" applyFont="1" applyFill="1" applyBorder="1"/>
    <xf numFmtId="0" fontId="4" fillId="0" borderId="8" xfId="0" applyFont="1" applyBorder="1" applyAlignment="1">
      <alignment horizontal="center" vertical="center"/>
    </xf>
    <xf numFmtId="0" fontId="4" fillId="6" borderId="8" xfId="74" applyFont="1" applyFill="1" applyBorder="1" applyAlignment="1">
      <alignment horizontal="center" vertical="center"/>
    </xf>
    <xf numFmtId="0" fontId="228" fillId="2" borderId="8" xfId="0" applyFont="1" applyFill="1" applyBorder="1" applyAlignment="1">
      <alignment vertical="center"/>
    </xf>
    <xf numFmtId="2" fontId="0" fillId="0" borderId="0" xfId="0" applyNumberFormat="1"/>
    <xf numFmtId="16" fontId="195" fillId="6" borderId="8" xfId="0" quotePrefix="1" applyNumberFormat="1" applyFont="1" applyFill="1" applyBorder="1" applyAlignment="1">
      <alignment horizontal="center" vertical="center"/>
    </xf>
    <xf numFmtId="43" fontId="195" fillId="6" borderId="8" xfId="32" applyFont="1" applyFill="1" applyBorder="1" applyAlignment="1">
      <alignment horizontal="center" vertical="center"/>
    </xf>
    <xf numFmtId="0" fontId="195" fillId="6" borderId="8" xfId="0" applyFont="1" applyFill="1" applyBorder="1" applyAlignment="1">
      <alignment horizontal="left" vertical="center" wrapText="1"/>
    </xf>
    <xf numFmtId="0" fontId="13" fillId="5" borderId="8" xfId="34" applyFont="1" applyFill="1" applyBorder="1" applyAlignment="1">
      <alignment horizontal="center" vertical="center"/>
    </xf>
    <xf numFmtId="0" fontId="3" fillId="5" borderId="8" xfId="34" applyFont="1" applyFill="1" applyBorder="1" applyAlignment="1">
      <alignment horizontal="center" vertical="center" wrapText="1"/>
    </xf>
    <xf numFmtId="0" fontId="3" fillId="5" borderId="8" xfId="34" applyFont="1" applyFill="1" applyBorder="1" applyAlignment="1">
      <alignment horizontal="left" vertical="center" wrapText="1"/>
    </xf>
    <xf numFmtId="0" fontId="148" fillId="0" borderId="8" xfId="10" applyFont="1" applyBorder="1" applyAlignment="1">
      <alignment horizontal="center" vertical="center"/>
    </xf>
    <xf numFmtId="0" fontId="149" fillId="0" borderId="8" xfId="10" applyFont="1" applyBorder="1" applyAlignment="1">
      <alignment horizontal="center" vertical="center"/>
    </xf>
    <xf numFmtId="0" fontId="149" fillId="2" borderId="8" xfId="10" applyFont="1" applyFill="1" applyBorder="1" applyAlignment="1">
      <alignment horizontal="center" vertical="center"/>
    </xf>
    <xf numFmtId="0" fontId="149" fillId="2" borderId="8" xfId="10" applyFont="1" applyFill="1" applyBorder="1" applyAlignment="1">
      <alignment horizontal="center" vertical="center" wrapText="1"/>
    </xf>
    <xf numFmtId="165" fontId="148" fillId="2" borderId="8" xfId="10" applyNumberFormat="1" applyFont="1" applyFill="1" applyBorder="1" applyAlignment="1">
      <alignment horizontal="center" vertical="center"/>
    </xf>
    <xf numFmtId="0" fontId="148" fillId="2" borderId="8" xfId="10" applyFont="1" applyFill="1" applyBorder="1" applyAlignment="1">
      <alignment vertical="center"/>
    </xf>
    <xf numFmtId="0" fontId="2" fillId="0" borderId="8" xfId="0" applyFont="1" applyBorder="1" applyAlignment="1">
      <alignment horizontal="center" vertical="center" wrapText="1"/>
    </xf>
    <xf numFmtId="14" fontId="195" fillId="2" borderId="8" xfId="0" applyNumberFormat="1" applyFont="1" applyFill="1" applyBorder="1" applyAlignment="1">
      <alignment horizontal="center" vertical="center" wrapText="1"/>
    </xf>
    <xf numFmtId="14" fontId="148" fillId="2" borderId="8" xfId="10" applyNumberFormat="1" applyFont="1" applyFill="1" applyBorder="1" applyAlignment="1">
      <alignment horizontal="center" vertical="center"/>
    </xf>
    <xf numFmtId="0" fontId="25" fillId="30" borderId="8" xfId="74" applyFill="1" applyBorder="1" applyAlignment="1">
      <alignment horizontal="center" vertical="center"/>
    </xf>
    <xf numFmtId="0" fontId="2" fillId="30" borderId="8" xfId="74" applyFont="1" applyFill="1" applyBorder="1"/>
    <xf numFmtId="0" fontId="3" fillId="30" borderId="8" xfId="74" applyFont="1" applyFill="1" applyBorder="1" applyAlignment="1">
      <alignment horizontal="center" vertical="center"/>
    </xf>
    <xf numFmtId="0" fontId="25" fillId="30" borderId="8" xfId="74" applyFill="1" applyBorder="1" applyAlignment="1">
      <alignment horizontal="center"/>
    </xf>
    <xf numFmtId="0" fontId="195" fillId="5" borderId="7" xfId="0" applyFont="1" applyFill="1" applyBorder="1" applyAlignment="1">
      <alignment horizontal="center" vertical="center"/>
    </xf>
    <xf numFmtId="0" fontId="195" fillId="5" borderId="33" xfId="0" applyFont="1" applyFill="1" applyBorder="1" applyAlignment="1">
      <alignment horizontal="center" vertical="center"/>
    </xf>
    <xf numFmtId="0" fontId="196" fillId="3" borderId="7" xfId="0" applyFont="1" applyFill="1" applyBorder="1" applyAlignment="1">
      <alignment horizontal="center" vertical="center"/>
    </xf>
    <xf numFmtId="0" fontId="196" fillId="3" borderId="33" xfId="0" applyFont="1" applyFill="1" applyBorder="1" applyAlignment="1">
      <alignment horizontal="center" vertical="center"/>
    </xf>
    <xf numFmtId="0" fontId="196" fillId="3" borderId="11" xfId="0" applyFont="1" applyFill="1" applyBorder="1" applyAlignment="1">
      <alignment horizontal="center" vertical="center"/>
    </xf>
    <xf numFmtId="0" fontId="196" fillId="3" borderId="12" xfId="0" applyFont="1" applyFill="1" applyBorder="1" applyAlignment="1">
      <alignment horizontal="center" vertical="center"/>
    </xf>
    <xf numFmtId="0" fontId="196" fillId="3" borderId="15" xfId="0" applyFont="1" applyFill="1" applyBorder="1" applyAlignment="1">
      <alignment horizontal="center" vertical="center"/>
    </xf>
    <xf numFmtId="0" fontId="160" fillId="27" borderId="8" xfId="0" applyFont="1" applyFill="1" applyBorder="1" applyAlignment="1">
      <alignment horizontal="left" vertical="center" wrapText="1"/>
    </xf>
    <xf numFmtId="0" fontId="161" fillId="0" borderId="8" xfId="0" applyFont="1" applyBorder="1" applyAlignment="1">
      <alignment horizontal="left" vertical="center" wrapText="1"/>
    </xf>
    <xf numFmtId="0" fontId="160" fillId="27" borderId="11" xfId="0" applyFont="1" applyFill="1" applyBorder="1" applyAlignment="1">
      <alignment horizontal="center" vertical="center" wrapText="1"/>
    </xf>
    <xf numFmtId="0" fontId="160" fillId="27" borderId="15" xfId="0" applyFont="1" applyFill="1" applyBorder="1" applyAlignment="1">
      <alignment horizontal="center" vertical="center" wrapText="1"/>
    </xf>
    <xf numFmtId="0" fontId="160" fillId="27" borderId="12" xfId="0" applyFont="1" applyFill="1" applyBorder="1" applyAlignment="1">
      <alignment horizontal="center" vertical="center" wrapText="1"/>
    </xf>
    <xf numFmtId="0" fontId="160" fillId="27" borderId="11" xfId="0" applyFont="1" applyFill="1" applyBorder="1" applyAlignment="1">
      <alignment horizontal="left" vertical="center" wrapText="1"/>
    </xf>
    <xf numFmtId="0" fontId="160" fillId="27" borderId="12" xfId="0" applyFont="1" applyFill="1" applyBorder="1" applyAlignment="1">
      <alignment horizontal="left" vertical="center" wrapText="1"/>
    </xf>
    <xf numFmtId="0" fontId="160" fillId="27" borderId="15" xfId="0" applyFont="1" applyFill="1" applyBorder="1" applyAlignment="1">
      <alignment horizontal="left" vertical="center" wrapText="1"/>
    </xf>
    <xf numFmtId="0" fontId="162" fillId="0" borderId="8" xfId="0" quotePrefix="1" applyFont="1" applyBorder="1" applyAlignment="1">
      <alignment horizontal="left" vertical="center" wrapText="1"/>
    </xf>
    <xf numFmtId="0" fontId="162" fillId="0" borderId="8" xfId="0" applyFont="1" applyBorder="1" applyAlignment="1">
      <alignment horizontal="left" vertical="center" wrapText="1"/>
    </xf>
    <xf numFmtId="0" fontId="170" fillId="2" borderId="8" xfId="0" applyFont="1" applyFill="1" applyBorder="1" applyAlignment="1">
      <alignment horizontal="left" vertical="center" wrapText="1"/>
    </xf>
    <xf numFmtId="0" fontId="170" fillId="2" borderId="19" xfId="0" applyFont="1" applyFill="1" applyBorder="1" applyAlignment="1">
      <alignment horizontal="left" vertical="center" wrapText="1"/>
    </xf>
    <xf numFmtId="0" fontId="163" fillId="0" borderId="8" xfId="0" applyFont="1" applyBorder="1" applyAlignment="1">
      <alignment horizontal="center" wrapText="1"/>
    </xf>
    <xf numFmtId="0" fontId="163" fillId="0" borderId="19" xfId="0" applyFont="1" applyBorder="1" applyAlignment="1">
      <alignment horizontal="center" wrapText="1"/>
    </xf>
    <xf numFmtId="0" fontId="131" fillId="0" borderId="7" xfId="0" applyFont="1" applyBorder="1" applyAlignment="1">
      <alignment horizontal="center" vertical="center" wrapText="1"/>
    </xf>
    <xf numFmtId="0" fontId="131" fillId="0" borderId="44" xfId="0" applyFont="1" applyBorder="1" applyAlignment="1">
      <alignment horizontal="center" vertical="center" wrapText="1"/>
    </xf>
    <xf numFmtId="0" fontId="131" fillId="0" borderId="33" xfId="0" applyFont="1" applyBorder="1" applyAlignment="1">
      <alignment horizontal="center" vertical="center" wrapText="1"/>
    </xf>
    <xf numFmtId="0" fontId="160" fillId="28" borderId="46" xfId="0" applyFont="1" applyFill="1" applyBorder="1" applyAlignment="1">
      <alignment horizontal="center" vertical="center" wrapText="1"/>
    </xf>
    <xf numFmtId="0" fontId="160" fillId="28" borderId="53" xfId="0" applyFont="1" applyFill="1" applyBorder="1" applyAlignment="1">
      <alignment horizontal="center" vertical="center" wrapText="1"/>
    </xf>
    <xf numFmtId="0" fontId="167" fillId="2" borderId="8" xfId="0" applyFont="1" applyFill="1" applyBorder="1" applyAlignment="1">
      <alignment horizontal="left" vertical="center" wrapText="1"/>
    </xf>
    <xf numFmtId="0" fontId="167" fillId="2" borderId="19" xfId="0" applyFont="1" applyFill="1" applyBorder="1" applyAlignment="1">
      <alignment horizontal="left" vertical="center" wrapText="1"/>
    </xf>
    <xf numFmtId="0" fontId="164" fillId="2" borderId="8" xfId="0" applyFont="1" applyFill="1" applyBorder="1" applyAlignment="1">
      <alignment horizontal="left" vertical="center" wrapText="1"/>
    </xf>
    <xf numFmtId="0" fontId="164" fillId="2" borderId="19" xfId="0" applyFont="1" applyFill="1" applyBorder="1" applyAlignment="1">
      <alignment horizontal="left" vertical="center" wrapText="1"/>
    </xf>
    <xf numFmtId="0" fontId="169" fillId="2" borderId="11" xfId="0" applyFont="1" applyFill="1" applyBorder="1" applyAlignment="1">
      <alignment horizontal="left" vertical="center" wrapText="1"/>
    </xf>
    <xf numFmtId="0" fontId="164" fillId="2" borderId="23" xfId="0" applyFont="1" applyFill="1" applyBorder="1" applyAlignment="1">
      <alignment horizontal="left" vertical="center" wrapText="1"/>
    </xf>
    <xf numFmtId="0" fontId="141" fillId="0" borderId="8" xfId="0" applyFont="1" applyBorder="1" applyAlignment="1">
      <alignment horizontal="center" vertical="center" wrapText="1" readingOrder="1"/>
    </xf>
    <xf numFmtId="16" fontId="141" fillId="0" borderId="8" xfId="0" applyNumberFormat="1" applyFont="1" applyBorder="1" applyAlignment="1">
      <alignment horizontal="center" vertical="center" wrapText="1" readingOrder="1"/>
    </xf>
    <xf numFmtId="0" fontId="141" fillId="5" borderId="8" xfId="0" applyFont="1" applyFill="1" applyBorder="1" applyAlignment="1">
      <alignment horizontal="center" vertical="center" wrapText="1" readingOrder="1"/>
    </xf>
    <xf numFmtId="0" fontId="141" fillId="5" borderId="7" xfId="0" applyFont="1" applyFill="1" applyBorder="1" applyAlignment="1">
      <alignment horizontal="center" vertical="center" wrapText="1" readingOrder="1"/>
    </xf>
    <xf numFmtId="0" fontId="141" fillId="5" borderId="33" xfId="0" applyFont="1" applyFill="1" applyBorder="1" applyAlignment="1">
      <alignment horizontal="center" vertical="center" wrapText="1" readingOrder="1"/>
    </xf>
    <xf numFmtId="0" fontId="155" fillId="25" borderId="8" xfId="0" applyFont="1" applyFill="1" applyBorder="1" applyAlignment="1">
      <alignment horizontal="center" vertical="center" wrapText="1" readingOrder="1"/>
    </xf>
    <xf numFmtId="1" fontId="122" fillId="0" borderId="8" xfId="10" applyNumberFormat="1" applyFont="1" applyBorder="1" applyAlignment="1">
      <alignment horizontal="center" vertical="center" wrapText="1"/>
    </xf>
    <xf numFmtId="49" fontId="122" fillId="0" borderId="8" xfId="10" applyNumberFormat="1" applyFont="1" applyBorder="1" applyAlignment="1">
      <alignment horizontal="center" vertical="center" wrapText="1"/>
    </xf>
    <xf numFmtId="167" fontId="122" fillId="0" borderId="8" xfId="10" applyNumberFormat="1" applyFont="1" applyBorder="1" applyAlignment="1">
      <alignment horizontal="center" vertical="center" wrapText="1"/>
    </xf>
    <xf numFmtId="0" fontId="136" fillId="0" borderId="8" xfId="10" applyFont="1" applyBorder="1" applyAlignment="1">
      <alignment horizontal="center" vertical="center" wrapText="1"/>
    </xf>
    <xf numFmtId="167" fontId="122" fillId="0" borderId="7" xfId="10" applyNumberFormat="1" applyFont="1" applyBorder="1" applyAlignment="1">
      <alignment horizontal="center" vertical="center" wrapText="1"/>
    </xf>
    <xf numFmtId="167" fontId="122" fillId="0" borderId="33" xfId="10" applyNumberFormat="1" applyFont="1" applyBorder="1" applyAlignment="1">
      <alignment horizontal="center" vertical="center" wrapText="1"/>
    </xf>
    <xf numFmtId="168" fontId="122" fillId="0" borderId="8" xfId="10" applyNumberFormat="1" applyFont="1" applyBorder="1" applyAlignment="1">
      <alignment horizontal="center" vertical="center" wrapText="1"/>
    </xf>
    <xf numFmtId="0" fontId="125" fillId="0" borderId="8" xfId="0" applyFont="1" applyBorder="1" applyAlignment="1">
      <alignment horizontal="center" vertical="center"/>
    </xf>
    <xf numFmtId="0" fontId="125"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80" fillId="0" borderId="8" xfId="0" applyFont="1" applyBorder="1" applyAlignment="1">
      <alignment horizontal="center" vertical="center" wrapText="1"/>
    </xf>
    <xf numFmtId="0" fontId="80" fillId="0" borderId="8" xfId="0" applyFont="1" applyBorder="1" applyAlignment="1">
      <alignment horizontal="center" vertical="center"/>
    </xf>
    <xf numFmtId="0" fontId="219" fillId="42" borderId="71" xfId="0" applyFont="1" applyFill="1" applyBorder="1" applyAlignment="1">
      <alignment horizontal="left" vertical="center" wrapText="1" readingOrder="1"/>
    </xf>
    <xf numFmtId="0" fontId="219" fillId="42" borderId="73" xfId="0" applyFont="1" applyFill="1" applyBorder="1" applyAlignment="1">
      <alignment horizontal="left" vertical="center" readingOrder="1"/>
    </xf>
    <xf numFmtId="0" fontId="219" fillId="42" borderId="71" xfId="0" applyFont="1" applyFill="1" applyBorder="1" applyAlignment="1">
      <alignment horizontal="center" vertical="center" readingOrder="1"/>
    </xf>
    <xf numFmtId="0" fontId="219" fillId="42" borderId="73" xfId="0" applyFont="1" applyFill="1" applyBorder="1" applyAlignment="1">
      <alignment horizontal="center" vertical="center" readingOrder="1"/>
    </xf>
    <xf numFmtId="0" fontId="217" fillId="42" borderId="71" xfId="0" applyFont="1" applyFill="1" applyBorder="1" applyAlignment="1">
      <alignment horizontal="center" vertical="center" readingOrder="1"/>
    </xf>
    <xf numFmtId="0" fontId="217" fillId="42" borderId="72" xfId="0" applyFont="1" applyFill="1" applyBorder="1" applyAlignment="1">
      <alignment horizontal="center" vertical="center" readingOrder="1"/>
    </xf>
    <xf numFmtId="0" fontId="219" fillId="42" borderId="71" xfId="0" applyFont="1" applyFill="1" applyBorder="1" applyAlignment="1">
      <alignment horizontal="center" vertical="center" wrapText="1" readingOrder="1"/>
    </xf>
    <xf numFmtId="0" fontId="219" fillId="42" borderId="72" xfId="0" applyFont="1" applyFill="1" applyBorder="1" applyAlignment="1">
      <alignment horizontal="center" vertical="center" readingOrder="1"/>
    </xf>
    <xf numFmtId="0" fontId="92" fillId="0" borderId="21" xfId="26" applyBorder="1" applyAlignment="1">
      <alignment horizontal="center"/>
    </xf>
    <xf numFmtId="0" fontId="92" fillId="0" borderId="0" xfId="26" applyAlignment="1">
      <alignment horizontal="center"/>
    </xf>
    <xf numFmtId="0" fontId="92" fillId="0" borderId="17" xfId="26" applyBorder="1" applyAlignment="1">
      <alignment horizontal="center"/>
    </xf>
    <xf numFmtId="0" fontId="92" fillId="0" borderId="14" xfId="26" applyBorder="1" applyAlignment="1">
      <alignment horizontal="center"/>
    </xf>
    <xf numFmtId="0" fontId="92" fillId="0" borderId="32" xfId="26" applyBorder="1" applyAlignment="1">
      <alignment horizontal="center"/>
    </xf>
    <xf numFmtId="0" fontId="92" fillId="0" borderId="25" xfId="26" applyBorder="1" applyAlignment="1">
      <alignment horizontal="center"/>
    </xf>
    <xf numFmtId="0" fontId="196" fillId="0" borderId="8" xfId="26" applyFont="1" applyBorder="1" applyAlignment="1">
      <alignment horizontal="left" vertical="center" wrapText="1"/>
    </xf>
    <xf numFmtId="0" fontId="195" fillId="0" borderId="8" xfId="26" applyFont="1" applyBorder="1" applyAlignment="1">
      <alignment horizontal="left" vertical="center" wrapText="1"/>
    </xf>
    <xf numFmtId="0" fontId="166" fillId="0" borderId="8" xfId="26" applyFont="1" applyBorder="1" applyAlignment="1">
      <alignment horizontal="center" wrapText="1"/>
    </xf>
    <xf numFmtId="0" fontId="193" fillId="31" borderId="8" xfId="26" applyFont="1" applyFill="1" applyBorder="1" applyAlignment="1">
      <alignment horizontal="center" vertical="center" wrapText="1"/>
    </xf>
    <xf numFmtId="0" fontId="237" fillId="0" borderId="8" xfId="26" applyFont="1" applyBorder="1" applyAlignment="1">
      <alignment horizontal="left" vertical="center" wrapText="1"/>
    </xf>
    <xf numFmtId="0" fontId="195" fillId="0" borderId="8" xfId="26" applyFont="1" applyBorder="1" applyAlignment="1">
      <alignment horizontal="left" vertical="center"/>
    </xf>
    <xf numFmtId="0" fontId="166" fillId="0" borderId="8" xfId="26" applyFont="1" applyBorder="1" applyAlignment="1">
      <alignment horizontal="left" vertical="center" wrapText="1"/>
    </xf>
    <xf numFmtId="0" fontId="166" fillId="0" borderId="8" xfId="26" applyFont="1" applyBorder="1" applyAlignment="1">
      <alignment horizontal="center" vertical="center" wrapText="1"/>
    </xf>
    <xf numFmtId="0" fontId="125" fillId="6" borderId="8" xfId="26" applyFont="1" applyFill="1" applyBorder="1" applyAlignment="1">
      <alignment horizontal="center"/>
    </xf>
    <xf numFmtId="0" fontId="236" fillId="0" borderId="8" xfId="26" applyFont="1" applyBorder="1" applyAlignment="1">
      <alignment horizontal="left" vertical="center" wrapText="1"/>
    </xf>
    <xf numFmtId="0" fontId="166" fillId="0" borderId="7" xfId="26" applyFont="1" applyBorder="1" applyAlignment="1">
      <alignment horizontal="center" vertical="center" wrapText="1"/>
    </xf>
    <xf numFmtId="0" fontId="166" fillId="0" borderId="33" xfId="26" applyFont="1" applyBorder="1" applyAlignment="1">
      <alignment horizontal="center" vertical="center" wrapText="1"/>
    </xf>
    <xf numFmtId="0" fontId="166" fillId="0" borderId="8" xfId="26" applyFont="1" applyBorder="1" applyAlignment="1">
      <alignment horizontal="left" wrapText="1"/>
    </xf>
    <xf numFmtId="0" fontId="235" fillId="0" borderId="7" xfId="26" applyFont="1" applyBorder="1" applyAlignment="1">
      <alignment horizontal="center" vertical="center" wrapText="1"/>
    </xf>
    <xf numFmtId="0" fontId="235" fillId="0" borderId="33" xfId="26" applyFont="1" applyBorder="1" applyAlignment="1">
      <alignment horizontal="center" vertical="center" wrapText="1"/>
    </xf>
    <xf numFmtId="0" fontId="192" fillId="0" borderId="8" xfId="26" applyFont="1" applyBorder="1" applyAlignment="1">
      <alignment vertical="center" wrapText="1"/>
    </xf>
    <xf numFmtId="0" fontId="166" fillId="0" borderId="11" xfId="26" quotePrefix="1" applyFont="1" applyBorder="1" applyAlignment="1">
      <alignment horizontal="left" vertical="center" wrapText="1"/>
    </xf>
    <xf numFmtId="0" fontId="166" fillId="0" borderId="12" xfId="26" quotePrefix="1" applyFont="1" applyBorder="1" applyAlignment="1">
      <alignment horizontal="left" vertical="center" wrapText="1"/>
    </xf>
    <xf numFmtId="0" fontId="166" fillId="0" borderId="15" xfId="26" quotePrefix="1" applyFont="1" applyBorder="1" applyAlignment="1">
      <alignment horizontal="left" vertical="center" wrapText="1"/>
    </xf>
    <xf numFmtId="0" fontId="166" fillId="0" borderId="8" xfId="26" quotePrefix="1" applyFont="1" applyBorder="1" applyAlignment="1">
      <alignment horizontal="center" vertical="center" wrapText="1"/>
    </xf>
    <xf numFmtId="0" fontId="195" fillId="0" borderId="11" xfId="26" applyFont="1" applyBorder="1" applyAlignment="1">
      <alignment horizontal="left" vertical="center" wrapText="1"/>
    </xf>
    <xf numFmtId="0" fontId="195" fillId="0" borderId="15" xfId="26" applyFont="1" applyBorder="1" applyAlignment="1">
      <alignment horizontal="left" vertical="center" wrapText="1"/>
    </xf>
    <xf numFmtId="0" fontId="92" fillId="0" borderId="8" xfId="26" applyBorder="1" applyAlignment="1">
      <alignment horizontal="center"/>
    </xf>
    <xf numFmtId="1" fontId="166" fillId="0" borderId="8" xfId="26" applyNumberFormat="1" applyFont="1" applyBorder="1" applyAlignment="1">
      <alignment horizontal="center" vertical="center" wrapText="1"/>
    </xf>
    <xf numFmtId="0" fontId="125" fillId="6" borderId="8" xfId="0" applyFont="1" applyFill="1" applyBorder="1" applyAlignment="1">
      <alignment horizontal="center"/>
    </xf>
    <xf numFmtId="0" fontId="125" fillId="6" borderId="8" xfId="0" applyFont="1" applyFill="1" applyBorder="1" applyAlignment="1">
      <alignment horizontal="center" vertical="center"/>
    </xf>
    <xf numFmtId="0" fontId="0" fillId="0" borderId="8" xfId="0" applyBorder="1" applyAlignment="1">
      <alignment horizontal="center"/>
    </xf>
    <xf numFmtId="0" fontId="0" fillId="0" borderId="14" xfId="0" applyBorder="1" applyAlignment="1">
      <alignment horizontal="center" vertical="center"/>
    </xf>
    <xf numFmtId="0" fontId="0" fillId="0" borderId="32" xfId="0" applyBorder="1" applyAlignment="1">
      <alignment horizontal="center" vertical="center"/>
    </xf>
    <xf numFmtId="0" fontId="125" fillId="0" borderId="11" xfId="0" applyFont="1" applyBorder="1" applyAlignment="1">
      <alignment horizontal="center" vertical="center"/>
    </xf>
    <xf numFmtId="0" fontId="125" fillId="0" borderId="15" xfId="0" applyFont="1" applyBorder="1" applyAlignment="1">
      <alignment horizontal="center" vertical="center"/>
    </xf>
    <xf numFmtId="0" fontId="174" fillId="21" borderId="9" xfId="0" applyFont="1" applyFill="1" applyBorder="1" applyAlignment="1">
      <alignment horizontal="center" vertical="center" wrapText="1"/>
    </xf>
    <xf numFmtId="0" fontId="174" fillId="21" borderId="10" xfId="0" applyFont="1" applyFill="1" applyBorder="1" applyAlignment="1">
      <alignment horizontal="center" vertical="center" wrapText="1"/>
    </xf>
    <xf numFmtId="0" fontId="174" fillId="21" borderId="29" xfId="0" applyFont="1" applyFill="1" applyBorder="1" applyAlignment="1">
      <alignment horizontal="center" vertical="center" wrapText="1"/>
    </xf>
    <xf numFmtId="15" fontId="175" fillId="2" borderId="8" xfId="0" applyNumberFormat="1" applyFont="1" applyFill="1" applyBorder="1" applyAlignment="1">
      <alignment horizontal="left" vertical="center"/>
    </xf>
    <xf numFmtId="15" fontId="175" fillId="2" borderId="11" xfId="0" applyNumberFormat="1" applyFont="1" applyFill="1" applyBorder="1" applyAlignment="1">
      <alignment horizontal="left" vertical="center" wrapText="1"/>
    </xf>
    <xf numFmtId="15" fontId="175" fillId="2" borderId="12" xfId="0" applyNumberFormat="1" applyFont="1" applyFill="1" applyBorder="1" applyAlignment="1">
      <alignment horizontal="left" vertical="center" wrapText="1"/>
    </xf>
    <xf numFmtId="15" fontId="175" fillId="2" borderId="15" xfId="0" applyNumberFormat="1" applyFont="1" applyFill="1" applyBorder="1" applyAlignment="1">
      <alignment horizontal="left" vertical="center" wrapText="1"/>
    </xf>
    <xf numFmtId="0" fontId="175" fillId="0" borderId="8" xfId="0" applyFont="1" applyBorder="1" applyAlignment="1">
      <alignment horizontal="center" vertical="center" wrapText="1"/>
    </xf>
    <xf numFmtId="16" fontId="175" fillId="0" borderId="8" xfId="0" quotePrefix="1" applyNumberFormat="1" applyFont="1" applyBorder="1" applyAlignment="1">
      <alignment horizontal="center" vertical="center" wrapText="1"/>
    </xf>
    <xf numFmtId="16" fontId="175" fillId="0" borderId="8" xfId="0" applyNumberFormat="1" applyFont="1" applyBorder="1" applyAlignment="1">
      <alignment horizontal="center" vertical="center" wrapText="1"/>
    </xf>
    <xf numFmtId="0" fontId="175" fillId="11" borderId="8" xfId="0" applyFont="1" applyFill="1" applyBorder="1" applyAlignment="1">
      <alignment horizontal="center" vertical="center" wrapText="1"/>
    </xf>
    <xf numFmtId="0" fontId="175" fillId="2" borderId="11" xfId="0" applyFont="1" applyFill="1" applyBorder="1" applyAlignment="1">
      <alignment horizontal="center" vertical="center" wrapText="1"/>
    </xf>
    <xf numFmtId="0" fontId="175" fillId="2" borderId="23" xfId="0" applyFont="1" applyFill="1" applyBorder="1" applyAlignment="1">
      <alignment horizontal="center" vertical="center" wrapText="1"/>
    </xf>
    <xf numFmtId="0" fontId="175" fillId="11" borderId="46" xfId="0" applyFont="1" applyFill="1" applyBorder="1" applyAlignment="1">
      <alignment horizontal="left" vertical="center" wrapText="1"/>
    </xf>
    <xf numFmtId="0" fontId="175" fillId="11" borderId="53" xfId="0" applyFont="1" applyFill="1" applyBorder="1" applyAlignment="1">
      <alignment horizontal="left" vertical="center" wrapText="1"/>
    </xf>
    <xf numFmtId="1" fontId="175" fillId="2" borderId="11" xfId="0" applyNumberFormat="1" applyFont="1" applyFill="1" applyBorder="1" applyAlignment="1">
      <alignment horizontal="left" vertical="center" wrapText="1"/>
    </xf>
    <xf numFmtId="1" fontId="175" fillId="2" borderId="23" xfId="0" applyNumberFormat="1" applyFont="1" applyFill="1" applyBorder="1" applyAlignment="1">
      <alignment horizontal="left" vertical="center" wrapText="1"/>
    </xf>
    <xf numFmtId="0" fontId="175" fillId="2" borderId="23" xfId="0" applyFont="1" applyFill="1" applyBorder="1" applyAlignment="1">
      <alignment horizontal="left" vertical="center" wrapText="1"/>
    </xf>
    <xf numFmtId="0" fontId="175" fillId="0" borderId="7" xfId="0" applyFont="1" applyBorder="1" applyAlignment="1">
      <alignment horizontal="center" vertical="center" wrapText="1"/>
    </xf>
    <xf numFmtId="0" fontId="175" fillId="0" borderId="50" xfId="0" applyFont="1" applyBorder="1" applyAlignment="1">
      <alignment horizontal="center" vertical="center" wrapText="1"/>
    </xf>
    <xf numFmtId="0" fontId="175" fillId="11" borderId="46" xfId="0" applyFont="1" applyFill="1" applyBorder="1" applyAlignment="1">
      <alignment horizontal="center" vertical="center" wrapText="1"/>
    </xf>
    <xf numFmtId="0" fontId="175" fillId="11" borderId="53" xfId="0" applyFont="1" applyFill="1" applyBorder="1" applyAlignment="1">
      <alignment horizontal="center" vertical="center" wrapText="1"/>
    </xf>
    <xf numFmtId="0" fontId="175" fillId="2" borderId="11" xfId="0" applyFont="1" applyFill="1" applyBorder="1" applyAlignment="1">
      <alignment horizontal="left" vertical="center" wrapText="1"/>
    </xf>
    <xf numFmtId="0" fontId="180" fillId="0" borderId="11" xfId="0" applyFont="1" applyBorder="1" applyAlignment="1">
      <alignment horizontal="left" vertical="center" wrapText="1"/>
    </xf>
    <xf numFmtId="0" fontId="180" fillId="0" borderId="23" xfId="0" applyFont="1" applyBorder="1" applyAlignment="1">
      <alignment horizontal="left" vertical="center" wrapText="1"/>
    </xf>
    <xf numFmtId="0" fontId="175" fillId="0" borderId="16" xfId="0" applyFont="1" applyBorder="1" applyAlignment="1">
      <alignment horizontal="center" vertical="center" wrapText="1"/>
    </xf>
    <xf numFmtId="0" fontId="175" fillId="0" borderId="47" xfId="0" applyFont="1" applyBorder="1" applyAlignment="1">
      <alignment horizontal="center" vertical="center" wrapText="1"/>
    </xf>
    <xf numFmtId="0" fontId="0" fillId="0" borderId="10" xfId="0" applyBorder="1" applyAlignment="1">
      <alignment horizontal="center" vertical="center" wrapText="1"/>
    </xf>
    <xf numFmtId="0" fontId="175" fillId="2" borderId="64" xfId="0" applyFont="1" applyFill="1" applyBorder="1" applyAlignment="1">
      <alignment horizontal="center" vertical="center" wrapText="1"/>
    </xf>
    <xf numFmtId="0" fontId="175" fillId="2" borderId="14" xfId="0" applyFont="1" applyFill="1" applyBorder="1" applyAlignment="1">
      <alignment horizontal="center" vertical="center" wrapText="1"/>
    </xf>
    <xf numFmtId="0" fontId="175" fillId="2" borderId="7" xfId="0" applyFont="1" applyFill="1" applyBorder="1" applyAlignment="1">
      <alignment horizontal="center" vertical="center" wrapText="1"/>
    </xf>
    <xf numFmtId="0" fontId="175" fillId="2" borderId="33" xfId="0" applyFont="1" applyFill="1" applyBorder="1" applyAlignment="1">
      <alignment horizontal="center" vertical="center" wrapText="1"/>
    </xf>
    <xf numFmtId="15" fontId="175" fillId="2" borderId="7" xfId="0" applyNumberFormat="1" applyFont="1" applyFill="1" applyBorder="1" applyAlignment="1">
      <alignment horizontal="center" vertical="center" wrapText="1"/>
    </xf>
    <xf numFmtId="15" fontId="175" fillId="2" borderId="33" xfId="0" applyNumberFormat="1" applyFont="1" applyFill="1" applyBorder="1" applyAlignment="1">
      <alignment horizontal="center" vertical="center" wrapText="1"/>
    </xf>
    <xf numFmtId="15" fontId="175" fillId="2" borderId="50" xfId="0" applyNumberFormat="1" applyFont="1" applyFill="1" applyBorder="1" applyAlignment="1">
      <alignment horizontal="center" vertical="center" wrapText="1"/>
    </xf>
    <xf numFmtId="15" fontId="175" fillId="2" borderId="41" xfId="0" applyNumberFormat="1" applyFont="1" applyFill="1" applyBorder="1" applyAlignment="1">
      <alignment horizontal="center" vertical="center" wrapText="1"/>
    </xf>
    <xf numFmtId="0" fontId="175" fillId="0" borderId="19" xfId="0" applyFont="1" applyBorder="1" applyAlignment="1">
      <alignment horizontal="center" vertical="center" wrapText="1"/>
    </xf>
    <xf numFmtId="0" fontId="215" fillId="0" borderId="8" xfId="0" applyFont="1" applyBorder="1" applyAlignment="1">
      <alignment horizontal="center" vertical="center"/>
    </xf>
    <xf numFmtId="0" fontId="215" fillId="0" borderId="8" xfId="0" applyFont="1" applyBorder="1" applyAlignment="1">
      <alignment horizontal="center" vertical="center" wrapText="1"/>
    </xf>
    <xf numFmtId="0" fontId="220" fillId="0" borderId="8" xfId="27" applyFont="1" applyBorder="1" applyAlignment="1">
      <alignment horizontal="center" vertical="center"/>
    </xf>
    <xf numFmtId="0" fontId="205" fillId="35" borderId="1" xfId="27" applyFont="1" applyFill="1" applyBorder="1" applyAlignment="1">
      <alignment horizontal="center" vertical="center"/>
    </xf>
    <xf numFmtId="0" fontId="205" fillId="35" borderId="2" xfId="27" applyFont="1" applyFill="1" applyBorder="1" applyAlignment="1">
      <alignment horizontal="center" vertical="center"/>
    </xf>
    <xf numFmtId="0" fontId="205" fillId="35" borderId="18" xfId="27" applyFont="1" applyFill="1" applyBorder="1" applyAlignment="1">
      <alignment horizontal="center" vertical="center"/>
    </xf>
    <xf numFmtId="0" fontId="201" fillId="33" borderId="46" xfId="27" applyFont="1" applyFill="1" applyBorder="1" applyAlignment="1">
      <alignment horizontal="center" vertical="center" wrapText="1"/>
    </xf>
    <xf numFmtId="0" fontId="201" fillId="33" borderId="53" xfId="27" applyFont="1" applyFill="1" applyBorder="1" applyAlignment="1">
      <alignment horizontal="center" vertical="center" wrapText="1"/>
    </xf>
    <xf numFmtId="0" fontId="201" fillId="33" borderId="8" xfId="27" applyFont="1" applyFill="1" applyBorder="1" applyAlignment="1">
      <alignment horizontal="center" vertical="center" wrapText="1"/>
    </xf>
    <xf numFmtId="0" fontId="201" fillId="33" borderId="19" xfId="27" applyFont="1" applyFill="1" applyBorder="1" applyAlignment="1">
      <alignment horizontal="center" vertical="center" wrapText="1"/>
    </xf>
    <xf numFmtId="0" fontId="201" fillId="33" borderId="11" xfId="27" applyFont="1" applyFill="1" applyBorder="1" applyAlignment="1">
      <alignment horizontal="center" vertical="center"/>
    </xf>
    <xf numFmtId="0" fontId="201" fillId="33" borderId="12" xfId="27" applyFont="1" applyFill="1" applyBorder="1" applyAlignment="1">
      <alignment horizontal="center" vertical="center"/>
    </xf>
    <xf numFmtId="0" fontId="201" fillId="33" borderId="23" xfId="27" applyFont="1" applyFill="1" applyBorder="1" applyAlignment="1">
      <alignment horizontal="center" vertical="center"/>
    </xf>
    <xf numFmtId="0" fontId="201" fillId="33" borderId="26" xfId="27" applyFont="1" applyFill="1" applyBorder="1" applyAlignment="1">
      <alignment horizontal="center" vertical="center"/>
    </xf>
    <xf numFmtId="0" fontId="201" fillId="33" borderId="48" xfId="27" applyFont="1" applyFill="1" applyBorder="1" applyAlignment="1">
      <alignment horizontal="center" vertical="center"/>
    </xf>
    <xf numFmtId="0" fontId="201" fillId="33" borderId="27" xfId="27" applyFont="1" applyFill="1" applyBorder="1" applyAlignment="1">
      <alignment horizontal="center" vertical="center"/>
    </xf>
    <xf numFmtId="0" fontId="200" fillId="38" borderId="19" xfId="27" applyFont="1" applyFill="1" applyBorder="1" applyAlignment="1">
      <alignment horizontal="left" vertical="center" wrapText="1"/>
    </xf>
    <xf numFmtId="0" fontId="206" fillId="0" borderId="0" xfId="27" applyFont="1" applyAlignment="1">
      <alignment horizontal="center" wrapText="1"/>
    </xf>
    <xf numFmtId="0" fontId="200" fillId="0" borderId="30" xfId="27" applyFont="1" applyBorder="1" applyAlignment="1">
      <alignment horizontal="center" vertical="center"/>
    </xf>
    <xf numFmtId="0" fontId="200" fillId="0" borderId="8" xfId="27" applyFont="1" applyBorder="1" applyAlignment="1">
      <alignment horizontal="center" vertical="center" wrapText="1"/>
    </xf>
    <xf numFmtId="0" fontId="200" fillId="38" borderId="7" xfId="27" applyFont="1" applyFill="1" applyBorder="1" applyAlignment="1">
      <alignment horizontal="center" vertical="center"/>
    </xf>
    <xf numFmtId="0" fontId="200" fillId="38" borderId="33" xfId="27" applyFont="1" applyFill="1" applyBorder="1" applyAlignment="1">
      <alignment horizontal="center" vertical="center"/>
    </xf>
    <xf numFmtId="176" fontId="200" fillId="38" borderId="8" xfId="28" applyFont="1" applyFill="1" applyBorder="1" applyAlignment="1">
      <alignment horizontal="center" vertical="center"/>
    </xf>
    <xf numFmtId="176" fontId="200" fillId="38" borderId="7" xfId="28" applyFont="1" applyFill="1" applyBorder="1" applyAlignment="1">
      <alignment horizontal="center" vertical="center"/>
    </xf>
    <xf numFmtId="176" fontId="200" fillId="38" borderId="33" xfId="28" applyFont="1" applyFill="1" applyBorder="1" applyAlignment="1">
      <alignment horizontal="center" vertical="center"/>
    </xf>
    <xf numFmtId="176" fontId="200" fillId="36" borderId="8" xfId="28" applyFont="1" applyFill="1" applyBorder="1" applyAlignment="1">
      <alignment horizontal="center" vertical="center"/>
    </xf>
    <xf numFmtId="0" fontId="200" fillId="36" borderId="8" xfId="27" applyFont="1" applyFill="1" applyBorder="1" applyAlignment="1">
      <alignment horizontal="center" vertical="center" wrapText="1"/>
    </xf>
    <xf numFmtId="176" fontId="200" fillId="36" borderId="7" xfId="28" applyFont="1" applyFill="1" applyBorder="1" applyAlignment="1">
      <alignment horizontal="center" vertical="center"/>
    </xf>
    <xf numFmtId="176" fontId="200" fillId="36" borderId="44" xfId="28" applyFont="1" applyFill="1" applyBorder="1" applyAlignment="1">
      <alignment horizontal="center" vertical="center"/>
    </xf>
    <xf numFmtId="176" fontId="200" fillId="36" borderId="40" xfId="28" applyFont="1" applyFill="1" applyBorder="1" applyAlignment="1">
      <alignment horizontal="center" vertical="center"/>
    </xf>
    <xf numFmtId="0" fontId="200" fillId="36" borderId="50" xfId="27" applyFont="1" applyFill="1" applyBorder="1" applyAlignment="1">
      <alignment horizontal="left" vertical="center" wrapText="1"/>
    </xf>
    <xf numFmtId="0" fontId="200" fillId="36" borderId="52" xfId="27" applyFont="1" applyFill="1" applyBorder="1" applyAlignment="1">
      <alignment horizontal="left" vertical="center"/>
    </xf>
    <xf numFmtId="0" fontId="200" fillId="36" borderId="49" xfId="27" applyFont="1" applyFill="1" applyBorder="1" applyAlignment="1">
      <alignment horizontal="left" vertical="center"/>
    </xf>
    <xf numFmtId="0" fontId="200" fillId="36" borderId="41" xfId="27" applyFont="1" applyFill="1" applyBorder="1" applyAlignment="1">
      <alignment horizontal="left" vertical="center"/>
    </xf>
    <xf numFmtId="0" fontId="207" fillId="39" borderId="35" xfId="27" applyFont="1" applyFill="1" applyBorder="1" applyAlignment="1">
      <alignment horizontal="center" vertical="center"/>
    </xf>
    <xf numFmtId="0" fontId="207" fillId="39" borderId="36" xfId="27" applyFont="1" applyFill="1" applyBorder="1" applyAlignment="1">
      <alignment horizontal="center" vertical="center"/>
    </xf>
    <xf numFmtId="0" fontId="200" fillId="0" borderId="38" xfId="27" applyFont="1" applyBorder="1" applyAlignment="1">
      <alignment horizontal="center" vertical="center"/>
    </xf>
    <xf numFmtId="0" fontId="200" fillId="0" borderId="8" xfId="27" applyFont="1" applyBorder="1" applyAlignment="1">
      <alignment horizontal="center" vertical="center"/>
    </xf>
    <xf numFmtId="0" fontId="200" fillId="0" borderId="16" xfId="27" applyFont="1" applyBorder="1" applyAlignment="1">
      <alignment horizontal="center" vertical="center"/>
    </xf>
    <xf numFmtId="0" fontId="200" fillId="0" borderId="16" xfId="27" applyFont="1" applyBorder="1" applyAlignment="1">
      <alignment horizontal="center" vertical="center" wrapText="1"/>
    </xf>
    <xf numFmtId="0" fontId="200" fillId="36" borderId="16" xfId="27" applyFont="1" applyFill="1" applyBorder="1" applyAlignment="1">
      <alignment horizontal="center" vertical="center" wrapText="1"/>
    </xf>
    <xf numFmtId="176" fontId="200" fillId="36" borderId="16" xfId="28" applyFont="1" applyFill="1" applyBorder="1" applyAlignment="1">
      <alignment horizontal="center" vertical="center"/>
    </xf>
    <xf numFmtId="0" fontId="125" fillId="0" borderId="11" xfId="0" applyFont="1" applyBorder="1" applyAlignment="1">
      <alignment horizontal="center"/>
    </xf>
    <xf numFmtId="0" fontId="125" fillId="0" borderId="15" xfId="0" applyFont="1" applyBorder="1" applyAlignment="1">
      <alignment horizontal="center"/>
    </xf>
    <xf numFmtId="0" fontId="125" fillId="0" borderId="32" xfId="0" applyFont="1" applyBorder="1" applyAlignment="1">
      <alignment horizontal="center"/>
    </xf>
    <xf numFmtId="0" fontId="125" fillId="0" borderId="8" xfId="0" applyFont="1" applyBorder="1" applyAlignment="1">
      <alignment horizontal="center"/>
    </xf>
    <xf numFmtId="166" fontId="76" fillId="0" borderId="8" xfId="0" applyNumberFormat="1" applyFont="1" applyBorder="1" applyAlignment="1">
      <alignment horizontal="center" vertical="center" wrapText="1"/>
    </xf>
    <xf numFmtId="0" fontId="76" fillId="0" borderId="8" xfId="0" applyFont="1" applyBorder="1" applyAlignment="1">
      <alignment horizontal="center" vertical="center" wrapText="1"/>
    </xf>
    <xf numFmtId="166" fontId="126" fillId="0" borderId="8" xfId="13" applyNumberFormat="1" applyFont="1" applyBorder="1" applyAlignment="1">
      <alignment horizontal="center" vertical="center" wrapText="1"/>
    </xf>
    <xf numFmtId="166" fontId="126" fillId="0" borderId="8" xfId="0" applyNumberFormat="1" applyFont="1" applyBorder="1" applyAlignment="1">
      <alignment horizontal="center" vertical="center" wrapText="1"/>
    </xf>
    <xf numFmtId="2" fontId="76" fillId="0" borderId="8" xfId="0" applyNumberFormat="1" applyFont="1" applyBorder="1" applyAlignment="1">
      <alignment horizontal="center" vertical="center" wrapText="1"/>
    </xf>
    <xf numFmtId="2" fontId="126" fillId="0" borderId="8" xfId="13" applyNumberFormat="1" applyFont="1" applyBorder="1" applyAlignment="1">
      <alignment horizontal="center" vertical="center" wrapText="1"/>
    </xf>
    <xf numFmtId="2" fontId="126" fillId="0" borderId="8" xfId="0" applyNumberFormat="1" applyFont="1" applyBorder="1" applyAlignment="1">
      <alignment horizontal="center" vertical="center"/>
    </xf>
    <xf numFmtId="0" fontId="126" fillId="0" borderId="8" xfId="0" applyFont="1" applyBorder="1" applyAlignment="1">
      <alignment horizontal="center" vertical="center"/>
    </xf>
    <xf numFmtId="166" fontId="126" fillId="0" borderId="8" xfId="0" applyNumberFormat="1" applyFont="1" applyBorder="1" applyAlignment="1">
      <alignment horizontal="center" vertical="center"/>
    </xf>
    <xf numFmtId="0" fontId="76" fillId="0" borderId="8" xfId="0" applyFont="1" applyBorder="1" applyAlignment="1">
      <alignment horizontal="center" vertical="center"/>
    </xf>
    <xf numFmtId="0" fontId="125" fillId="34" borderId="8" xfId="33" applyFont="1" applyFill="1" applyBorder="1" applyAlignment="1">
      <alignment horizontal="center" vertical="center" wrapText="1"/>
    </xf>
    <xf numFmtId="166" fontId="125" fillId="34" borderId="8" xfId="33" applyNumberFormat="1" applyFont="1" applyFill="1" applyBorder="1" applyAlignment="1">
      <alignment horizontal="center" vertical="center" wrapText="1"/>
    </xf>
    <xf numFmtId="0" fontId="130" fillId="6" borderId="8" xfId="33" applyFont="1" applyFill="1" applyBorder="1" applyAlignment="1">
      <alignment horizontal="center" vertical="center" wrapText="1"/>
    </xf>
    <xf numFmtId="2" fontId="125" fillId="34" borderId="8" xfId="33" applyNumberFormat="1" applyFont="1" applyFill="1" applyBorder="1" applyAlignment="1">
      <alignment horizontal="center" vertical="center" wrapText="1"/>
    </xf>
    <xf numFmtId="2" fontId="76" fillId="0" borderId="7" xfId="33" applyNumberFormat="1" applyFont="1" applyBorder="1" applyAlignment="1">
      <alignment horizontal="center" vertical="center"/>
    </xf>
    <xf numFmtId="0" fontId="76" fillId="0" borderId="33" xfId="33" applyFont="1" applyBorder="1" applyAlignment="1">
      <alignment horizontal="center" vertical="center"/>
    </xf>
    <xf numFmtId="166" fontId="76" fillId="0" borderId="8" xfId="0" applyNumberFormat="1" applyFont="1" applyBorder="1" applyAlignment="1">
      <alignment horizontal="center" vertical="center"/>
    </xf>
    <xf numFmtId="0" fontId="196" fillId="3" borderId="7" xfId="0" applyFont="1" applyFill="1" applyBorder="1" applyAlignment="1">
      <alignment horizontal="center" vertical="center" wrapText="1"/>
    </xf>
    <xf numFmtId="0" fontId="196" fillId="3" borderId="33" xfId="0" applyFont="1" applyFill="1" applyBorder="1" applyAlignment="1">
      <alignment horizontal="center" vertical="center" wrapText="1"/>
    </xf>
    <xf numFmtId="0" fontId="223" fillId="2" borderId="8" xfId="7" applyFont="1" applyFill="1" applyBorder="1" applyAlignment="1">
      <alignment horizontal="center" vertical="center"/>
    </xf>
    <xf numFmtId="166" fontId="225" fillId="34" borderId="8" xfId="7" applyNumberFormat="1" applyFont="1" applyFill="1" applyBorder="1" applyAlignment="1">
      <alignment horizontal="center" vertical="center" wrapText="1"/>
    </xf>
    <xf numFmtId="166" fontId="223" fillId="2" borderId="8" xfId="7" applyNumberFormat="1" applyFont="1" applyFill="1" applyBorder="1" applyAlignment="1">
      <alignment horizontal="center" vertical="center" wrapText="1"/>
    </xf>
    <xf numFmtId="166" fontId="223" fillId="2" borderId="8" xfId="7" applyNumberFormat="1" applyFont="1" applyFill="1" applyBorder="1" applyAlignment="1">
      <alignment horizontal="center" vertical="center"/>
    </xf>
    <xf numFmtId="0" fontId="225" fillId="34" borderId="8" xfId="7" applyFont="1" applyFill="1" applyBorder="1" applyAlignment="1">
      <alignment horizontal="center" vertical="center" wrapText="1"/>
    </xf>
    <xf numFmtId="0" fontId="225" fillId="2" borderId="8" xfId="7" applyFont="1" applyFill="1" applyBorder="1" applyAlignment="1">
      <alignment horizontal="center" vertical="center" wrapText="1"/>
    </xf>
    <xf numFmtId="0" fontId="126" fillId="0" borderId="8" xfId="0" applyFont="1" applyBorder="1" applyAlignment="1">
      <alignment horizontal="center" vertical="center" wrapText="1"/>
    </xf>
    <xf numFmtId="0" fontId="125" fillId="45" borderId="8" xfId="0" applyFont="1" applyFill="1" applyBorder="1" applyAlignment="1">
      <alignment horizontal="center"/>
    </xf>
    <xf numFmtId="0" fontId="197" fillId="0" borderId="0" xfId="10" applyFont="1" applyAlignment="1">
      <alignment horizontal="left" vertical="center"/>
    </xf>
    <xf numFmtId="0" fontId="223" fillId="0" borderId="7" xfId="7" applyFont="1" applyBorder="1" applyAlignment="1">
      <alignment horizontal="center" vertical="center"/>
    </xf>
    <xf numFmtId="0" fontId="223" fillId="0" borderId="44" xfId="7" applyFont="1" applyBorder="1" applyAlignment="1">
      <alignment horizontal="center" vertical="center"/>
    </xf>
    <xf numFmtId="0" fontId="223" fillId="0" borderId="33" xfId="7" applyFont="1" applyBorder="1" applyAlignment="1">
      <alignment horizontal="center" vertical="center"/>
    </xf>
    <xf numFmtId="0" fontId="223" fillId="2" borderId="44" xfId="7" applyFont="1" applyFill="1" applyBorder="1" applyAlignment="1">
      <alignment horizontal="center" vertical="center"/>
    </xf>
    <xf numFmtId="0" fontId="196" fillId="3" borderId="8" xfId="0" applyFont="1" applyFill="1" applyBorder="1" applyAlignment="1">
      <alignment horizontal="center" vertical="center"/>
    </xf>
    <xf numFmtId="0" fontId="196" fillId="3" borderId="8" xfId="0" applyFont="1" applyFill="1" applyBorder="1" applyAlignment="1">
      <alignment horizontal="center" vertical="center" wrapText="1"/>
    </xf>
    <xf numFmtId="0" fontId="195" fillId="2" borderId="8" xfId="0" applyFont="1" applyFill="1" applyBorder="1" applyAlignment="1">
      <alignment horizontal="center" vertical="center"/>
    </xf>
    <xf numFmtId="16" fontId="195" fillId="2" borderId="8" xfId="0" quotePrefix="1" applyNumberFormat="1" applyFont="1" applyFill="1" applyBorder="1" applyAlignment="1">
      <alignment horizontal="center" vertical="center"/>
    </xf>
    <xf numFmtId="0" fontId="195" fillId="2" borderId="8" xfId="0" applyFont="1" applyFill="1" applyBorder="1" applyAlignment="1">
      <alignment horizontal="center" vertical="center" wrapText="1"/>
    </xf>
    <xf numFmtId="14" fontId="195" fillId="2" borderId="8" xfId="32" applyNumberFormat="1" applyFont="1" applyFill="1" applyBorder="1" applyAlignment="1">
      <alignment horizontal="center" vertical="center"/>
    </xf>
    <xf numFmtId="0" fontId="148" fillId="0" borderId="8" xfId="10" applyFont="1" applyBorder="1" applyAlignment="1">
      <alignment horizontal="center" vertical="center"/>
    </xf>
    <xf numFmtId="0" fontId="118" fillId="6" borderId="8" xfId="34" applyFont="1" applyFill="1" applyBorder="1" applyAlignment="1">
      <alignment horizontal="center" vertical="top"/>
    </xf>
    <xf numFmtId="0" fontId="196" fillId="6" borderId="7" xfId="0" applyFont="1" applyFill="1" applyBorder="1" applyAlignment="1">
      <alignment horizontal="center" vertical="center" wrapText="1"/>
    </xf>
    <xf numFmtId="0" fontId="196" fillId="6" borderId="33" xfId="0" applyFont="1" applyFill="1" applyBorder="1" applyAlignment="1">
      <alignment horizontal="center" vertical="center" wrapText="1"/>
    </xf>
    <xf numFmtId="0" fontId="125" fillId="2" borderId="8" xfId="35" applyFont="1" applyFill="1" applyBorder="1" applyAlignment="1">
      <alignment horizontal="center"/>
    </xf>
    <xf numFmtId="0" fontId="125" fillId="6" borderId="8" xfId="35" applyFont="1" applyFill="1" applyBorder="1" applyAlignment="1">
      <alignment horizontal="center" vertical="center"/>
    </xf>
    <xf numFmtId="0" fontId="125" fillId="2" borderId="11" xfId="35" applyFont="1" applyFill="1" applyBorder="1" applyAlignment="1">
      <alignment horizontal="center"/>
    </xf>
    <xf numFmtId="0" fontId="125" fillId="2" borderId="12" xfId="35" applyFont="1" applyFill="1" applyBorder="1" applyAlignment="1">
      <alignment horizontal="center"/>
    </xf>
    <xf numFmtId="0" fontId="125" fillId="2" borderId="15" xfId="35" applyFont="1" applyFill="1" applyBorder="1" applyAlignment="1">
      <alignment horizontal="center"/>
    </xf>
    <xf numFmtId="0" fontId="125" fillId="6" borderId="11" xfId="35" applyFont="1" applyFill="1" applyBorder="1" applyAlignment="1">
      <alignment horizontal="center" vertical="center"/>
    </xf>
    <xf numFmtId="0" fontId="125" fillId="6" borderId="15" xfId="35" applyFont="1" applyFill="1" applyBorder="1" applyAlignment="1">
      <alignment horizontal="center" vertical="center"/>
    </xf>
    <xf numFmtId="0" fontId="125" fillId="0" borderId="8" xfId="82" applyFont="1" applyBorder="1" applyAlignment="1">
      <alignment horizontal="center"/>
    </xf>
    <xf numFmtId="0" fontId="234" fillId="5" borderId="8" xfId="43" applyFont="1" applyFill="1" applyBorder="1" applyAlignment="1">
      <alignment horizontal="center" vertical="center"/>
    </xf>
    <xf numFmtId="0" fontId="234" fillId="6" borderId="8" xfId="43" applyFont="1" applyFill="1" applyBorder="1" applyAlignment="1">
      <alignment horizontal="center" vertical="center"/>
    </xf>
    <xf numFmtId="0" fontId="234" fillId="0" borderId="8" xfId="43" applyFont="1" applyBorder="1" applyAlignment="1">
      <alignment horizontal="center" vertical="center"/>
    </xf>
    <xf numFmtId="0" fontId="234" fillId="0" borderId="7" xfId="43" applyFont="1" applyBorder="1" applyAlignment="1">
      <alignment horizontal="center" vertical="center"/>
    </xf>
    <xf numFmtId="0" fontId="234" fillId="0" borderId="44" xfId="43" applyFont="1" applyBorder="1" applyAlignment="1">
      <alignment horizontal="center" vertical="center"/>
    </xf>
    <xf numFmtId="0" fontId="234" fillId="0" borderId="33" xfId="43" applyFont="1" applyBorder="1" applyAlignment="1">
      <alignment horizontal="center" vertical="center"/>
    </xf>
    <xf numFmtId="0" fontId="160" fillId="5" borderId="8" xfId="43" applyFont="1" applyFill="1" applyBorder="1" applyAlignment="1">
      <alignment horizontal="center" vertical="center"/>
    </xf>
    <xf numFmtId="0" fontId="234" fillId="6" borderId="14" xfId="43" applyFont="1" applyFill="1" applyBorder="1" applyAlignment="1">
      <alignment horizontal="center" vertical="center"/>
    </xf>
    <xf numFmtId="0" fontId="234" fillId="6" borderId="32" xfId="43" applyFont="1" applyFill="1" applyBorder="1" applyAlignment="1">
      <alignment horizontal="center" vertical="center"/>
    </xf>
    <xf numFmtId="0" fontId="234" fillId="45" borderId="11" xfId="43" applyFont="1" applyFill="1" applyBorder="1" applyAlignment="1">
      <alignment horizontal="center" vertical="center" wrapText="1"/>
    </xf>
    <xf numFmtId="0" fontId="234" fillId="45" borderId="15" xfId="43" applyFont="1" applyFill="1" applyBorder="1" applyAlignment="1">
      <alignment horizontal="center" vertical="center" wrapText="1"/>
    </xf>
    <xf numFmtId="0" fontId="125" fillId="6" borderId="7" xfId="0" applyFont="1" applyFill="1" applyBorder="1" applyAlignment="1">
      <alignment horizontal="center" vertical="center" wrapText="1"/>
    </xf>
    <xf numFmtId="0" fontId="125" fillId="6" borderId="33" xfId="0" applyFont="1" applyFill="1" applyBorder="1" applyAlignment="1">
      <alignment horizontal="center" vertical="center" wrapText="1"/>
    </xf>
    <xf numFmtId="0" fontId="125" fillId="6" borderId="11" xfId="0" applyFont="1" applyFill="1" applyBorder="1" applyAlignment="1">
      <alignment horizontal="center"/>
    </xf>
    <xf numFmtId="0" fontId="125" fillId="6" borderId="15" xfId="0" applyFont="1" applyFill="1" applyBorder="1" applyAlignment="1">
      <alignment horizontal="center"/>
    </xf>
    <xf numFmtId="0" fontId="125" fillId="6" borderId="7" xfId="0" applyFont="1" applyFill="1" applyBorder="1" applyAlignment="1">
      <alignment horizontal="center" vertical="center"/>
    </xf>
    <xf numFmtId="0" fontId="125" fillId="6" borderId="33" xfId="0" applyFont="1" applyFill="1" applyBorder="1" applyAlignment="1">
      <alignment horizontal="center" vertical="center"/>
    </xf>
    <xf numFmtId="0" fontId="125" fillId="45" borderId="0" xfId="0" applyFont="1" applyFill="1" applyAlignment="1">
      <alignment horizontal="center"/>
    </xf>
    <xf numFmtId="0" fontId="0" fillId="0" borderId="8" xfId="0" applyBorder="1" applyAlignment="1">
      <alignment horizontal="left" vertical="center"/>
    </xf>
    <xf numFmtId="0" fontId="39" fillId="0" borderId="8" xfId="0" applyFont="1" applyBorder="1" applyAlignment="1">
      <alignment horizontal="center"/>
    </xf>
    <xf numFmtId="0" fontId="76" fillId="0" borderId="7" xfId="0" applyFont="1" applyBorder="1" applyAlignment="1">
      <alignment horizontal="left" vertical="center" wrapText="1"/>
    </xf>
    <xf numFmtId="0" fontId="84" fillId="0" borderId="44" xfId="0" applyFont="1" applyBorder="1" applyAlignment="1">
      <alignment horizontal="left" vertical="center" wrapText="1"/>
    </xf>
    <xf numFmtId="0" fontId="84" fillId="0" borderId="33" xfId="0" applyFont="1" applyBorder="1" applyAlignment="1">
      <alignment horizontal="left" vertical="center" wrapText="1"/>
    </xf>
    <xf numFmtId="0" fontId="125" fillId="0" borderId="12" xfId="0" applyFont="1" applyBorder="1" applyAlignment="1">
      <alignment horizontal="center"/>
    </xf>
    <xf numFmtId="0" fontId="125" fillId="0" borderId="7" xfId="0" applyFont="1" applyBorder="1" applyAlignment="1">
      <alignment horizontal="center" vertical="center" wrapText="1"/>
    </xf>
    <xf numFmtId="0" fontId="125" fillId="0" borderId="33" xfId="0" applyFont="1" applyBorder="1" applyAlignment="1">
      <alignment horizontal="center" vertical="center" wrapText="1"/>
    </xf>
    <xf numFmtId="0" fontId="125" fillId="0" borderId="7" xfId="0" applyFont="1" applyBorder="1" applyAlignment="1">
      <alignment horizontal="center" vertical="center"/>
    </xf>
    <xf numFmtId="0" fontId="125" fillId="0" borderId="33" xfId="0" applyFont="1" applyBorder="1" applyAlignment="1">
      <alignment horizontal="center" vertical="center"/>
    </xf>
    <xf numFmtId="0" fontId="125" fillId="6" borderId="8" xfId="39" applyFont="1" applyFill="1" applyBorder="1" applyAlignment="1">
      <alignment horizontal="center"/>
    </xf>
    <xf numFmtId="0" fontId="125" fillId="6" borderId="8" xfId="39" applyFont="1" applyFill="1" applyBorder="1" applyAlignment="1">
      <alignment horizontal="center" vertical="center"/>
    </xf>
    <xf numFmtId="0" fontId="125" fillId="6" borderId="8" xfId="39" applyFont="1" applyFill="1" applyBorder="1" applyAlignment="1">
      <alignment horizontal="center" vertical="center" wrapText="1"/>
    </xf>
    <xf numFmtId="0" fontId="72" fillId="0" borderId="8" xfId="39" applyBorder="1" applyAlignment="1">
      <alignment horizontal="center" vertical="center"/>
    </xf>
    <xf numFmtId="0" fontId="125" fillId="45" borderId="8" xfId="39" applyFont="1" applyFill="1" applyBorder="1" applyAlignment="1">
      <alignment horizontal="center"/>
    </xf>
    <xf numFmtId="0" fontId="125" fillId="45" borderId="8" xfId="39" applyFont="1" applyFill="1" applyBorder="1" applyAlignment="1">
      <alignment horizontal="center" vertical="center"/>
    </xf>
    <xf numFmtId="0" fontId="125" fillId="6" borderId="11" xfId="39" applyFont="1" applyFill="1" applyBorder="1" applyAlignment="1">
      <alignment horizontal="center"/>
    </xf>
    <xf numFmtId="0" fontId="125" fillId="6" borderId="12" xfId="39" applyFont="1" applyFill="1" applyBorder="1" applyAlignment="1">
      <alignment horizontal="center"/>
    </xf>
    <xf numFmtId="0" fontId="125" fillId="6" borderId="15" xfId="39" applyFont="1" applyFill="1" applyBorder="1" applyAlignment="1">
      <alignment horizontal="center"/>
    </xf>
    <xf numFmtId="0" fontId="72" fillId="0" borderId="7" xfId="39" applyBorder="1" applyAlignment="1">
      <alignment horizontal="center" vertical="center"/>
    </xf>
    <xf numFmtId="0" fontId="72" fillId="0" borderId="44" xfId="39" applyBorder="1" applyAlignment="1">
      <alignment horizontal="center" vertical="center"/>
    </xf>
    <xf numFmtId="0" fontId="72" fillId="0" borderId="33" xfId="39" applyBorder="1" applyAlignment="1">
      <alignment horizontal="center" vertical="center"/>
    </xf>
    <xf numFmtId="0" fontId="149" fillId="6" borderId="8" xfId="29" applyFont="1" applyFill="1" applyBorder="1" applyAlignment="1">
      <alignment horizontal="center" vertical="center"/>
    </xf>
    <xf numFmtId="0" fontId="149" fillId="0" borderId="8" xfId="29" applyFont="1" applyBorder="1" applyAlignment="1">
      <alignment horizontal="center" vertical="center" wrapText="1"/>
    </xf>
    <xf numFmtId="0" fontId="149" fillId="6" borderId="8" xfId="29" applyFont="1" applyFill="1" applyBorder="1" applyAlignment="1">
      <alignment horizontal="center" vertical="center" wrapText="1"/>
    </xf>
    <xf numFmtId="0" fontId="118" fillId="6" borderId="8" xfId="30" applyFont="1" applyFill="1" applyBorder="1" applyAlignment="1">
      <alignment horizontal="center"/>
    </xf>
    <xf numFmtId="0" fontId="209" fillId="6" borderId="8" xfId="29" applyFont="1" applyFill="1" applyBorder="1" applyAlignment="1">
      <alignment horizontal="center" vertical="center"/>
    </xf>
    <xf numFmtId="0" fontId="149" fillId="0" borderId="8" xfId="29" applyFont="1" applyBorder="1" applyAlignment="1">
      <alignment horizontal="center" vertical="center"/>
    </xf>
    <xf numFmtId="0" fontId="122" fillId="0" borderId="8" xfId="10" applyFont="1" applyBorder="1" applyAlignment="1">
      <alignment horizontal="center" vertical="center"/>
    </xf>
    <xf numFmtId="0" fontId="136" fillId="0" borderId="21" xfId="10" applyFont="1" applyBorder="1" applyAlignment="1">
      <alignment horizontal="center" vertical="center" wrapText="1"/>
    </xf>
    <xf numFmtId="1" fontId="122" fillId="0" borderId="7" xfId="10" applyNumberFormat="1" applyFont="1" applyBorder="1" applyAlignment="1">
      <alignment horizontal="center" vertical="center" wrapText="1"/>
    </xf>
    <xf numFmtId="1" fontId="122" fillId="0" borderId="33" xfId="10" applyNumberFormat="1" applyFont="1" applyBorder="1" applyAlignment="1">
      <alignment horizontal="center" vertical="center" wrapText="1"/>
    </xf>
    <xf numFmtId="0" fontId="136" fillId="0" borderId="0" xfId="10" applyFont="1" applyAlignment="1">
      <alignment horizontal="center" vertical="center" wrapText="1"/>
    </xf>
    <xf numFmtId="0" fontId="149" fillId="0" borderId="8" xfId="0" applyFont="1" applyBorder="1" applyAlignment="1">
      <alignment horizontal="center"/>
    </xf>
    <xf numFmtId="0" fontId="149" fillId="0" borderId="11" xfId="0" applyFont="1" applyBorder="1" applyAlignment="1">
      <alignment horizontal="right" vertical="center"/>
    </xf>
    <xf numFmtId="0" fontId="149" fillId="0" borderId="12" xfId="0" applyFont="1" applyBorder="1" applyAlignment="1">
      <alignment horizontal="right" vertical="center"/>
    </xf>
    <xf numFmtId="0" fontId="149" fillId="0" borderId="15" xfId="0" applyFont="1" applyBorder="1" applyAlignment="1">
      <alignment horizontal="right" vertical="center"/>
    </xf>
    <xf numFmtId="0" fontId="118" fillId="0" borderId="1" xfId="0" applyFont="1" applyBorder="1" applyAlignment="1">
      <alignment horizontal="center"/>
    </xf>
    <xf numFmtId="0" fontId="118" fillId="0" borderId="2" xfId="0" applyFont="1" applyBorder="1" applyAlignment="1">
      <alignment horizontal="center"/>
    </xf>
    <xf numFmtId="0" fontId="0" fillId="0" borderId="0" xfId="0" applyAlignment="1">
      <alignment horizontal="center" vertical="center"/>
    </xf>
    <xf numFmtId="49" fontId="142" fillId="19" borderId="34" xfId="0" applyNumberFormat="1" applyFont="1" applyFill="1" applyBorder="1" applyAlignment="1">
      <alignment horizontal="center" vertical="center" wrapText="1"/>
    </xf>
    <xf numFmtId="49" fontId="142" fillId="19" borderId="30" xfId="0" applyNumberFormat="1" applyFont="1" applyFill="1" applyBorder="1" applyAlignment="1">
      <alignment horizontal="center" vertical="center" wrapText="1"/>
    </xf>
    <xf numFmtId="49" fontId="142" fillId="19" borderId="42" xfId="0" applyNumberFormat="1" applyFont="1" applyFill="1" applyBorder="1" applyAlignment="1">
      <alignment horizontal="center" vertical="center" wrapText="1"/>
    </xf>
    <xf numFmtId="49" fontId="142" fillId="19" borderId="63" xfId="0" applyNumberFormat="1" applyFont="1" applyFill="1" applyBorder="1" applyAlignment="1">
      <alignment horizontal="center" vertical="center" wrapText="1"/>
    </xf>
    <xf numFmtId="49" fontId="142" fillId="19" borderId="44" xfId="0" applyNumberFormat="1" applyFont="1" applyFill="1" applyBorder="1" applyAlignment="1">
      <alignment horizontal="center" vertical="center" wrapText="1"/>
    </xf>
    <xf numFmtId="49" fontId="142" fillId="19" borderId="46" xfId="0" applyNumberFormat="1" applyFont="1" applyFill="1" applyBorder="1" applyAlignment="1">
      <alignment horizontal="center" vertical="center" wrapText="1"/>
    </xf>
    <xf numFmtId="49" fontId="142" fillId="19" borderId="8" xfId="0" applyNumberFormat="1" applyFont="1" applyFill="1" applyBorder="1" applyAlignment="1">
      <alignment horizontal="center" vertical="center" wrapText="1"/>
    </xf>
    <xf numFmtId="49" fontId="142" fillId="19" borderId="7" xfId="0" applyNumberFormat="1" applyFont="1" applyFill="1" applyBorder="1" applyAlignment="1">
      <alignment horizontal="center" vertical="center" wrapText="1"/>
    </xf>
    <xf numFmtId="1" fontId="142" fillId="19" borderId="46" xfId="0" applyNumberFormat="1" applyFont="1" applyFill="1" applyBorder="1" applyAlignment="1">
      <alignment horizontal="center" vertical="center" wrapText="1"/>
    </xf>
    <xf numFmtId="1" fontId="142" fillId="19" borderId="8" xfId="0" applyNumberFormat="1" applyFont="1" applyFill="1" applyBorder="1" applyAlignment="1">
      <alignment horizontal="center" vertical="center" wrapText="1"/>
    </xf>
    <xf numFmtId="1" fontId="142" fillId="19" borderId="7" xfId="0" applyNumberFormat="1" applyFont="1" applyFill="1" applyBorder="1" applyAlignment="1">
      <alignment horizontal="center" vertical="center" wrapText="1"/>
    </xf>
    <xf numFmtId="49" fontId="142" fillId="19" borderId="33" xfId="0" applyNumberFormat="1" applyFont="1" applyFill="1" applyBorder="1" applyAlignment="1">
      <alignment horizontal="center" vertical="center" wrapText="1"/>
    </xf>
    <xf numFmtId="49" fontId="142" fillId="19" borderId="64" xfId="0" applyNumberFormat="1" applyFont="1" applyFill="1" applyBorder="1" applyAlignment="1">
      <alignment horizontal="center" vertical="center" wrapText="1"/>
    </xf>
    <xf numFmtId="49" fontId="142" fillId="19" borderId="65" xfId="0" applyNumberFormat="1" applyFont="1" applyFill="1" applyBorder="1" applyAlignment="1">
      <alignment horizontal="center" vertical="center" wrapText="1"/>
    </xf>
    <xf numFmtId="49" fontId="142" fillId="19" borderId="14" xfId="0" applyNumberFormat="1" applyFont="1" applyFill="1" applyBorder="1" applyAlignment="1">
      <alignment horizontal="center" vertical="center" wrapText="1"/>
    </xf>
    <xf numFmtId="49" fontId="142" fillId="19" borderId="25" xfId="0" applyNumberFormat="1" applyFont="1" applyFill="1" applyBorder="1" applyAlignment="1">
      <alignment horizontal="center" vertical="center" wrapText="1"/>
    </xf>
    <xf numFmtId="49" fontId="142" fillId="19" borderId="38" xfId="0" applyNumberFormat="1" applyFont="1" applyFill="1" applyBorder="1" applyAlignment="1">
      <alignment horizontal="center" vertical="center" wrapText="1"/>
    </xf>
    <xf numFmtId="49" fontId="142" fillId="19" borderId="40" xfId="0" applyNumberFormat="1" applyFont="1" applyFill="1" applyBorder="1" applyAlignment="1">
      <alignment horizontal="center" vertical="center" wrapText="1"/>
    </xf>
    <xf numFmtId="49" fontId="142" fillId="19" borderId="16" xfId="0" applyNumberFormat="1" applyFont="1" applyFill="1" applyBorder="1" applyAlignment="1">
      <alignment horizontal="center" vertical="center" wrapText="1"/>
    </xf>
    <xf numFmtId="1" fontId="142" fillId="19" borderId="16" xfId="0" applyNumberFormat="1" applyFont="1" applyFill="1" applyBorder="1" applyAlignment="1">
      <alignment horizontal="center" vertical="center" wrapText="1"/>
    </xf>
    <xf numFmtId="0" fontId="183" fillId="0" borderId="56" xfId="0" applyFont="1" applyBorder="1" applyAlignment="1">
      <alignment horizontal="left"/>
    </xf>
    <xf numFmtId="0" fontId="183" fillId="0" borderId="32" xfId="0" applyFont="1" applyBorder="1" applyAlignment="1">
      <alignment horizontal="left"/>
    </xf>
    <xf numFmtId="0" fontId="183" fillId="0" borderId="8" xfId="0" applyFont="1" applyBorder="1" applyAlignment="1">
      <alignment horizontal="center"/>
    </xf>
    <xf numFmtId="0" fontId="183" fillId="15" borderId="8" xfId="0" applyFont="1" applyFill="1" applyBorder="1" applyAlignment="1">
      <alignment horizontal="center"/>
    </xf>
    <xf numFmtId="0" fontId="183" fillId="15" borderId="8" xfId="0" applyFont="1" applyFill="1" applyBorder="1" applyAlignment="1">
      <alignment horizontal="center" vertical="center" wrapText="1"/>
    </xf>
    <xf numFmtId="0" fontId="183" fillId="15" borderId="8" xfId="0" applyFont="1" applyFill="1" applyBorder="1" applyAlignment="1">
      <alignment horizontal="center" vertical="center"/>
    </xf>
    <xf numFmtId="0" fontId="118" fillId="0" borderId="56" xfId="0" applyFont="1" applyBorder="1" applyAlignment="1">
      <alignment horizontal="center"/>
    </xf>
    <xf numFmtId="0" fontId="118" fillId="0" borderId="32" xfId="0" applyFont="1" applyBorder="1" applyAlignment="1">
      <alignment horizontal="center"/>
    </xf>
    <xf numFmtId="0" fontId="118" fillId="15" borderId="8" xfId="0" applyFont="1" applyFill="1" applyBorder="1" applyAlignment="1">
      <alignment horizontal="center"/>
    </xf>
    <xf numFmtId="0" fontId="118" fillId="15" borderId="8" xfId="0" applyFont="1" applyFill="1" applyBorder="1" applyAlignment="1">
      <alignment horizontal="center" vertical="center" wrapText="1"/>
    </xf>
    <xf numFmtId="0" fontId="118" fillId="15" borderId="8" xfId="0" applyFont="1" applyFill="1" applyBorder="1" applyAlignment="1">
      <alignment horizontal="center" vertical="center"/>
    </xf>
    <xf numFmtId="0" fontId="187" fillId="0" borderId="38" xfId="22" applyFont="1" applyBorder="1" applyAlignment="1">
      <alignment horizontal="center" vertical="center"/>
    </xf>
    <xf numFmtId="0" fontId="187" fillId="0" borderId="16" xfId="22" applyFont="1" applyBorder="1" applyAlignment="1">
      <alignment horizontal="center" vertical="center"/>
    </xf>
    <xf numFmtId="0" fontId="183" fillId="0" borderId="0" xfId="22" applyFont="1" applyAlignment="1">
      <alignment horizontal="center" vertical="center"/>
    </xf>
    <xf numFmtId="0" fontId="183" fillId="0" borderId="0" xfId="22" applyFont="1" applyAlignment="1">
      <alignment horizontal="left" vertical="center"/>
    </xf>
    <xf numFmtId="0" fontId="183" fillId="0" borderId="0" xfId="22" applyFont="1" applyAlignment="1">
      <alignment horizontal="center" vertical="center" wrapText="1"/>
    </xf>
    <xf numFmtId="0" fontId="183" fillId="0" borderId="0" xfId="22" applyFont="1" applyAlignment="1">
      <alignment horizontal="left" vertical="center" wrapText="1"/>
    </xf>
    <xf numFmtId="0" fontId="186" fillId="0" borderId="0" xfId="22" applyFont="1" applyAlignment="1">
      <alignment horizontal="center" vertical="center"/>
    </xf>
    <xf numFmtId="0" fontId="187" fillId="0" borderId="36" xfId="10" applyFont="1" applyBorder="1" applyAlignment="1">
      <alignment horizontal="center" vertical="center" wrapText="1"/>
    </xf>
    <xf numFmtId="0" fontId="187" fillId="0" borderId="34" xfId="22" applyFont="1" applyBorder="1" applyAlignment="1">
      <alignment horizontal="center" vertical="center"/>
    </xf>
    <xf numFmtId="0" fontId="187" fillId="0" borderId="46" xfId="22" applyFont="1" applyBorder="1" applyAlignment="1">
      <alignment horizontal="center" vertical="center"/>
    </xf>
    <xf numFmtId="0" fontId="117" fillId="10" borderId="9" xfId="0" applyFont="1" applyFill="1" applyBorder="1" applyAlignment="1">
      <alignment horizontal="center" vertical="center"/>
    </xf>
    <xf numFmtId="0" fontId="117" fillId="10" borderId="10" xfId="0" applyFont="1" applyFill="1" applyBorder="1" applyAlignment="1">
      <alignment horizontal="center" vertical="center"/>
    </xf>
    <xf numFmtId="0" fontId="117" fillId="10" borderId="29" xfId="0" applyFont="1" applyFill="1" applyBorder="1" applyAlignment="1">
      <alignment horizontal="center" vertical="center"/>
    </xf>
    <xf numFmtId="0" fontId="117" fillId="11" borderId="35" xfId="0" applyFont="1" applyFill="1" applyBorder="1" applyAlignment="1">
      <alignment horizontal="center" vertical="center"/>
    </xf>
    <xf numFmtId="0" fontId="117" fillId="11" borderId="36" xfId="0" applyFont="1" applyFill="1" applyBorder="1" applyAlignment="1">
      <alignment horizontal="center" vertical="center"/>
    </xf>
    <xf numFmtId="0" fontId="117" fillId="11" borderId="45" xfId="0" applyFont="1" applyFill="1" applyBorder="1" applyAlignment="1">
      <alignment horizontal="center" vertical="center"/>
    </xf>
    <xf numFmtId="0" fontId="117" fillId="11" borderId="1" xfId="0" applyFont="1" applyFill="1" applyBorder="1" applyAlignment="1">
      <alignment horizontal="center" vertical="center"/>
    </xf>
    <xf numFmtId="0" fontId="117" fillId="11" borderId="2" xfId="0" applyFont="1" applyFill="1" applyBorder="1" applyAlignment="1">
      <alignment horizontal="center" vertical="center"/>
    </xf>
    <xf numFmtId="0" fontId="117" fillId="11" borderId="18" xfId="0" applyFont="1" applyFill="1" applyBorder="1" applyAlignment="1">
      <alignment horizontal="center" vertical="center"/>
    </xf>
    <xf numFmtId="0" fontId="125" fillId="0" borderId="37" xfId="0" applyFont="1" applyBorder="1" applyAlignment="1">
      <alignment horizontal="center" vertical="center"/>
    </xf>
    <xf numFmtId="0" fontId="125" fillId="0" borderId="34" xfId="0" applyFont="1" applyBorder="1" applyAlignment="1">
      <alignment horizontal="center" vertical="center"/>
    </xf>
    <xf numFmtId="0" fontId="125" fillId="0" borderId="46" xfId="0" applyFont="1" applyBorder="1" applyAlignment="1">
      <alignment horizontal="center" vertical="center"/>
    </xf>
    <xf numFmtId="0" fontId="125" fillId="0" borderId="16" xfId="0" applyFont="1" applyBorder="1" applyAlignment="1">
      <alignment horizontal="center" vertical="center" wrapText="1"/>
    </xf>
    <xf numFmtId="0" fontId="130" fillId="0" borderId="33" xfId="0" applyFont="1" applyBorder="1" applyAlignment="1">
      <alignment horizontal="center" vertical="center" wrapText="1"/>
    </xf>
    <xf numFmtId="0" fontId="130" fillId="0" borderId="16" xfId="0" applyFont="1" applyBorder="1" applyAlignment="1">
      <alignment horizontal="center" vertical="center" wrapText="1"/>
    </xf>
    <xf numFmtId="0" fontId="125" fillId="0" borderId="41" xfId="0" applyFont="1" applyBorder="1" applyAlignment="1">
      <alignment horizontal="center" vertical="center"/>
    </xf>
    <xf numFmtId="0" fontId="125" fillId="0" borderId="47" xfId="0" applyFont="1" applyBorder="1" applyAlignment="1">
      <alignment horizontal="center" vertical="center"/>
    </xf>
    <xf numFmtId="0" fontId="125" fillId="0" borderId="53" xfId="0" applyFont="1" applyBorder="1" applyAlignment="1">
      <alignment horizontal="center" vertical="center"/>
    </xf>
    <xf numFmtId="0" fontId="125" fillId="6" borderId="4" xfId="0" applyFont="1" applyFill="1" applyBorder="1" applyAlignment="1">
      <alignment horizontal="left" vertical="center"/>
    </xf>
    <xf numFmtId="0" fontId="125" fillId="6" borderId="5" xfId="0" applyFont="1" applyFill="1" applyBorder="1" applyAlignment="1">
      <alignment horizontal="left" vertical="center"/>
    </xf>
    <xf numFmtId="0" fontId="125" fillId="6" borderId="1" xfId="0" applyFont="1" applyFill="1" applyBorder="1" applyAlignment="1">
      <alignment horizontal="left" vertical="center"/>
    </xf>
    <xf numFmtId="0" fontId="125" fillId="6" borderId="43" xfId="0" applyFont="1" applyFill="1" applyBorder="1" applyAlignment="1">
      <alignment horizontal="left" vertical="center"/>
    </xf>
    <xf numFmtId="0" fontId="125" fillId="6" borderId="2" xfId="0" applyFont="1" applyFill="1" applyBorder="1" applyAlignment="1">
      <alignment horizontal="left" vertical="center"/>
    </xf>
    <xf numFmtId="0" fontId="125" fillId="0" borderId="34" xfId="0" applyFont="1" applyBorder="1" applyAlignment="1">
      <alignment horizontal="center" vertical="center" wrapText="1"/>
    </xf>
    <xf numFmtId="0" fontId="125" fillId="0" borderId="30" xfId="0" applyFont="1" applyBorder="1" applyAlignment="1">
      <alignment horizontal="center" vertical="center" wrapText="1"/>
    </xf>
    <xf numFmtId="0" fontId="125" fillId="0" borderId="38" xfId="0" applyFont="1" applyBorder="1" applyAlignment="1">
      <alignment horizontal="center" vertical="center" wrapText="1"/>
    </xf>
    <xf numFmtId="0" fontId="125" fillId="0" borderId="29" xfId="0" applyFont="1" applyBorder="1" applyAlignment="1">
      <alignment horizontal="center" vertical="center"/>
    </xf>
    <xf numFmtId="0" fontId="125" fillId="0" borderId="22" xfId="0" applyFont="1" applyBorder="1" applyAlignment="1">
      <alignment horizontal="center" vertical="center"/>
    </xf>
    <xf numFmtId="0" fontId="125"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25" fillId="0" borderId="46" xfId="0" applyFont="1" applyBorder="1" applyAlignment="1">
      <alignment horizontal="center" vertical="center" wrapText="1"/>
    </xf>
    <xf numFmtId="0" fontId="130" fillId="0" borderId="46" xfId="0" applyFont="1" applyBorder="1" applyAlignment="1">
      <alignment horizontal="center" vertical="center" wrapText="1"/>
    </xf>
    <xf numFmtId="0" fontId="127" fillId="7" borderId="8" xfId="13" applyFont="1" applyFill="1" applyBorder="1" applyAlignment="1">
      <alignment horizontal="center" vertical="top" wrapText="1"/>
    </xf>
    <xf numFmtId="0" fontId="128" fillId="9" borderId="8" xfId="13" applyFill="1" applyBorder="1" applyAlignment="1">
      <alignment horizontal="left" vertical="top" wrapText="1"/>
    </xf>
    <xf numFmtId="0" fontId="1" fillId="0" borderId="8" xfId="0" applyFont="1" applyBorder="1" applyAlignment="1">
      <alignment horizontal="center" vertical="center" wrapText="1"/>
    </xf>
    <xf numFmtId="0" fontId="1" fillId="6" borderId="8" xfId="35" applyFont="1" applyFill="1" applyBorder="1"/>
  </cellXfs>
  <cellStyles count="83">
    <cellStyle name="Comma" xfId="32" builtinId="3"/>
    <cellStyle name="Comma 2" xfId="28" xr:uid="{AFACC62D-A60B-4384-B74D-1E412197205C}"/>
    <cellStyle name="Comma 2 2" xfId="31" xr:uid="{DDC5C2DD-4703-40E6-8E32-A602E66A48BC}"/>
    <cellStyle name="Comma 2 3" xfId="70" xr:uid="{6A9B4232-89BD-481D-AD93-8F69BE917455}"/>
    <cellStyle name="Comma 3" xfId="38" xr:uid="{2E2CEB8D-167A-4EFB-B2B4-54B853C00EE7}"/>
    <cellStyle name="Comma 3 2" xfId="76" xr:uid="{6BCD43E9-A6A5-4DC6-88FC-7AACF4FB22B6}"/>
    <cellStyle name="Comma 4" xfId="44" xr:uid="{00A04DA2-3CA5-4CC8-9D7F-4C76DB3F4D25}"/>
    <cellStyle name="Comma 5" xfId="46" xr:uid="{0C2BB5EE-B627-4CE1-B337-764ABD0D1D63}"/>
    <cellStyle name="Comma 8" xfId="41" xr:uid="{CB4A145F-2718-4CDD-AE2D-37626E8026B0}"/>
    <cellStyle name="Comma 8 2" xfId="79" xr:uid="{A35F9D35-25EF-4102-834D-F42CE15CD23B}"/>
    <cellStyle name="Good" xfId="37" builtinId="26"/>
    <cellStyle name="Normal" xfId="0" builtinId="0"/>
    <cellStyle name="Normal 10" xfId="34" xr:uid="{89308E1C-26A4-4837-9D4E-5A5462CFF11F}"/>
    <cellStyle name="Normal 10 2" xfId="73" xr:uid="{FB8B05E3-68AA-4A13-8BAA-92669BE9B1E8}"/>
    <cellStyle name="Normal 11" xfId="2" xr:uid="{00000000-0005-0000-0000-000031000000}"/>
    <cellStyle name="Normal 11 2" xfId="49" xr:uid="{F82D04C3-AA53-4842-B92E-6558B28DA1E3}"/>
    <cellStyle name="Normal 12" xfId="35" xr:uid="{0D589681-5CC0-4F3D-918E-307501826298}"/>
    <cellStyle name="Normal 12 2" xfId="74" xr:uid="{27199D17-B2E2-40BB-87A6-714012FDDDA5}"/>
    <cellStyle name="Normal 13" xfId="3" xr:uid="{00000000-0005-0000-0000-000032000000}"/>
    <cellStyle name="Normal 13 2" xfId="4" xr:uid="{00000000-0005-0000-0000-000033000000}"/>
    <cellStyle name="Normal 13 2 2" xfId="5" xr:uid="{00000000-0005-0000-0000-000034000000}"/>
    <cellStyle name="Normal 13 2 2 2" xfId="52" xr:uid="{0B4E56C6-77C3-4AB5-82CA-D6773BDDC294}"/>
    <cellStyle name="Normal 13 2 3" xfId="51" xr:uid="{43B5F434-EC58-415D-9857-87F0EBA1D2A4}"/>
    <cellStyle name="Normal 13 3" xfId="6" xr:uid="{00000000-0005-0000-0000-000035000000}"/>
    <cellStyle name="Normal 13 3 2" xfId="53" xr:uid="{172D9471-3EA9-44DF-A511-A94CCD0DCFEA}"/>
    <cellStyle name="Normal 13 4" xfId="50" xr:uid="{B4A16703-3613-4774-919D-8B2D5A4BB3E7}"/>
    <cellStyle name="Normal 14" xfId="36" xr:uid="{276A2423-123F-4A80-ACB7-DF552ABEF3DF}"/>
    <cellStyle name="Normal 14 2" xfId="75" xr:uid="{C1FAC0E4-C06A-4E7A-9683-D3F4DA993224}"/>
    <cellStyle name="Normal 14 2 2" xfId="7" xr:uid="{00000000-0005-0000-0000-000036000000}"/>
    <cellStyle name="Normal 15" xfId="39" xr:uid="{A5D64676-CE37-4F3F-850C-3955BBC9D043}"/>
    <cellStyle name="Normal 15 2" xfId="77" xr:uid="{9704951C-12F3-4FF1-9EF3-62E8626B4C03}"/>
    <cellStyle name="Normal 16" xfId="43" xr:uid="{AA28529A-C7C8-4197-9376-F10B9D2A2266}"/>
    <cellStyle name="Normal 16 2" xfId="81" xr:uid="{6990AE25-1E4E-405E-A35F-96CCE8A895D8}"/>
    <cellStyle name="Normal 16 3" xfId="47" xr:uid="{77020CE8-A72C-4453-AD39-90458F3C187B}"/>
    <cellStyle name="Normal 17" xfId="45" xr:uid="{996236FF-08F8-4C9D-BD5E-39FE800B786F}"/>
    <cellStyle name="Normal 18" xfId="82" xr:uid="{379622A3-695B-4159-9DF6-75DDC39C8881}"/>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4 2" xfId="55" xr:uid="{E0E0CA78-1500-4775-9CF0-05B33C2F487E}"/>
    <cellStyle name="Normal 2 5" xfId="27" xr:uid="{42452ABE-7F50-4EAB-8191-0CFE0979C73B}"/>
    <cellStyle name="Normal 2 5 2" xfId="69" xr:uid="{EEA8BE0F-6B6F-4FA0-8830-468E0510C8D8}"/>
    <cellStyle name="Normal 2 6" xfId="54" xr:uid="{29A6A451-4165-449D-B8C0-2298F04F4F12}"/>
    <cellStyle name="Normal 2 7" xfId="48" xr:uid="{915AD0D3-5516-4A60-BF38-ACB1636547D4}"/>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2 2 2" xfId="58" xr:uid="{E08BC191-6D18-4A0E-8612-52B4B04BA987}"/>
    <cellStyle name="Normal 4 2 2 3" xfId="57" xr:uid="{33A3E93F-09A5-4735-8EA1-569CA24C39C2}"/>
    <cellStyle name="Normal 4 2 3" xfId="17" xr:uid="{00000000-0005-0000-0000-000040000000}"/>
    <cellStyle name="Normal 4 2 3 2" xfId="59" xr:uid="{1A951FE0-2FA0-498F-9AEA-A176B073F7E5}"/>
    <cellStyle name="Normal 4 2 4" xfId="56" xr:uid="{C6215C30-3F24-4E10-AE48-A14B2AF71A01}"/>
    <cellStyle name="Normal 4 2 6" xfId="40" xr:uid="{1031F284-E008-481F-BAE1-051A1F606C7B}"/>
    <cellStyle name="Normal 4 2 6 2" xfId="78" xr:uid="{FF2860F0-BC6B-46E2-8A39-528E3A25B66E}"/>
    <cellStyle name="Normal 4 3" xfId="68" xr:uid="{1312DFF4-8BFF-4487-9D62-05BC63B5954E}"/>
    <cellStyle name="Normal 5" xfId="18" xr:uid="{00000000-0005-0000-0000-000041000000}"/>
    <cellStyle name="Normal 5 2" xfId="19" xr:uid="{00000000-0005-0000-0000-000042000000}"/>
    <cellStyle name="Normal 5 2 2" xfId="20" xr:uid="{00000000-0005-0000-0000-000043000000}"/>
    <cellStyle name="Normal 5 2 2 2" xfId="62" xr:uid="{FCF26F0F-0EAB-46EA-AA7E-8227D8A6BEE6}"/>
    <cellStyle name="Normal 5 2 3" xfId="61" xr:uid="{2EBDDD08-8EA2-4AAC-86E8-C3974BACC935}"/>
    <cellStyle name="Normal 5 3" xfId="21" xr:uid="{00000000-0005-0000-0000-000044000000}"/>
    <cellStyle name="Normal 5 3 2" xfId="63" xr:uid="{D2EDCA8A-F11D-4178-B44F-71DEF3277812}"/>
    <cellStyle name="Normal 5 4" xfId="60" xr:uid="{19D1B75F-D048-4542-9B72-62409E277585}"/>
    <cellStyle name="Normal 6" xfId="29" xr:uid="{A8039F9D-E664-4114-8AFD-3368A974DB06}"/>
    <cellStyle name="Normal 7" xfId="22" xr:uid="{00000000-0005-0000-0000-000045000000}"/>
    <cellStyle name="Normal 7 2" xfId="64" xr:uid="{6EE0D253-3ECC-44A9-965C-C719FD101C7D}"/>
    <cellStyle name="Normal 8" xfId="30" xr:uid="{A2C16767-D281-43E7-BD38-E220569E8EEF}"/>
    <cellStyle name="Normal 8 2" xfId="71" xr:uid="{5FD0E961-BCAE-45B4-BA04-1F147C7589F8}"/>
    <cellStyle name="Normal 9" xfId="33" xr:uid="{BEFA135D-196E-474D-9CB0-BB7F9824CEEC}"/>
    <cellStyle name="Normal 9 2" xfId="72" xr:uid="{E2D56D48-4EB1-4DBA-BA79-376AA35652A7}"/>
    <cellStyle name="Percent" xfId="1" builtinId="5"/>
    <cellStyle name="Percent 2" xfId="23" xr:uid="{00000000-0005-0000-0000-000046000000}"/>
    <cellStyle name="Percent 2 2" xfId="24" xr:uid="{00000000-0005-0000-0000-000047000000}"/>
    <cellStyle name="Percent 2 2 2" xfId="66" xr:uid="{6F0413D0-991A-4CB6-BFCC-633B34650544}"/>
    <cellStyle name="Percent 2 3" xfId="65" xr:uid="{AC5411BB-EF22-4B2E-95E5-48068B6CA575}"/>
    <cellStyle name="Percent 3" xfId="25" xr:uid="{00000000-0005-0000-0000-000048000000}"/>
    <cellStyle name="Percent 3 2" xfId="67" xr:uid="{E956DE85-2741-4057-BDF9-B4C1885C985E}"/>
    <cellStyle name="Percent 4" xfId="42" xr:uid="{EE5CE6F0-3E65-4130-A9BA-1FADAE406D72}"/>
    <cellStyle name="Percent 4 2" xfId="80" xr:uid="{5D8FE5CC-1C75-4577-9413-F53C391E7FD9}"/>
  </cellStyles>
  <dxfs count="3609">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none">
          <fgColor indexed="64"/>
          <bgColor indexed="65"/>
        </patternFill>
      </fill>
    </dxf>
  </dxfs>
  <tableStyles count="0" defaultTableStyle="TableStyleMedium9" defaultPivotStyle="PivotStyleLight16"/>
  <colors>
    <mruColors>
      <color rgb="FFFFFF00"/>
      <color rgb="FF92D050"/>
      <color rgb="FFCBBD55"/>
      <color rgb="FFFFFFCC"/>
      <color rgb="FFFFCC00"/>
      <color rgb="FFFFCC66"/>
      <color rgb="FFC9A235"/>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35.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externalLink" Target="externalLinks/externalLink2.xml"/><Relationship Id="rId138" Type="http://schemas.openxmlformats.org/officeDocument/2006/relationships/externalLink" Target="externalLinks/externalLink56.xml"/><Relationship Id="rId107" Type="http://schemas.openxmlformats.org/officeDocument/2006/relationships/externalLink" Target="externalLinks/externalLink25.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externalLink" Target="externalLinks/externalLink46.xml"/><Relationship Id="rId149" Type="http://schemas.openxmlformats.org/officeDocument/2006/relationships/externalLink" Target="externalLinks/externalLink67.xml"/><Relationship Id="rId5" Type="http://schemas.openxmlformats.org/officeDocument/2006/relationships/worksheet" Target="worksheets/sheet5.xml"/><Relationship Id="rId95" Type="http://schemas.openxmlformats.org/officeDocument/2006/relationships/externalLink" Target="externalLinks/externalLink13.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externalLink" Target="externalLinks/externalLink31.xml"/><Relationship Id="rId118" Type="http://schemas.openxmlformats.org/officeDocument/2006/relationships/externalLink" Target="externalLinks/externalLink36.xml"/><Relationship Id="rId134" Type="http://schemas.openxmlformats.org/officeDocument/2006/relationships/externalLink" Target="externalLinks/externalLink52.xml"/><Relationship Id="rId139" Type="http://schemas.openxmlformats.org/officeDocument/2006/relationships/externalLink" Target="externalLinks/externalLink57.xml"/><Relationship Id="rId80" Type="http://schemas.openxmlformats.org/officeDocument/2006/relationships/worksheet" Target="worksheets/sheet80.xml"/><Relationship Id="rId85" Type="http://schemas.openxmlformats.org/officeDocument/2006/relationships/externalLink" Target="externalLinks/externalLink3.xml"/><Relationship Id="rId150" Type="http://schemas.openxmlformats.org/officeDocument/2006/relationships/theme" Target="theme/theme1.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21.xml"/><Relationship Id="rId108" Type="http://schemas.openxmlformats.org/officeDocument/2006/relationships/externalLink" Target="externalLinks/externalLink26.xml"/><Relationship Id="rId124" Type="http://schemas.openxmlformats.org/officeDocument/2006/relationships/externalLink" Target="externalLinks/externalLink42.xml"/><Relationship Id="rId129" Type="http://schemas.openxmlformats.org/officeDocument/2006/relationships/externalLink" Target="externalLinks/externalLink47.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externalLink" Target="externalLinks/externalLink9.xml"/><Relationship Id="rId96" Type="http://schemas.openxmlformats.org/officeDocument/2006/relationships/externalLink" Target="externalLinks/externalLink14.xml"/><Relationship Id="rId140" Type="http://schemas.openxmlformats.org/officeDocument/2006/relationships/externalLink" Target="externalLinks/externalLink58.xml"/><Relationship Id="rId145" Type="http://schemas.openxmlformats.org/officeDocument/2006/relationships/externalLink" Target="externalLinks/externalLink63.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32.xml"/><Relationship Id="rId119" Type="http://schemas.openxmlformats.org/officeDocument/2006/relationships/externalLink" Target="externalLinks/externalLink37.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externalLink" Target="externalLinks/externalLink4.xml"/><Relationship Id="rId130" Type="http://schemas.openxmlformats.org/officeDocument/2006/relationships/externalLink" Target="externalLinks/externalLink48.xml"/><Relationship Id="rId135" Type="http://schemas.openxmlformats.org/officeDocument/2006/relationships/externalLink" Target="externalLinks/externalLink53.xml"/><Relationship Id="rId151" Type="http://schemas.openxmlformats.org/officeDocument/2006/relationships/styles" Target="styles.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27.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5.xml"/><Relationship Id="rId104" Type="http://schemas.openxmlformats.org/officeDocument/2006/relationships/externalLink" Target="externalLinks/externalLink22.xml"/><Relationship Id="rId120" Type="http://schemas.openxmlformats.org/officeDocument/2006/relationships/externalLink" Target="externalLinks/externalLink38.xml"/><Relationship Id="rId125" Type="http://schemas.openxmlformats.org/officeDocument/2006/relationships/externalLink" Target="externalLinks/externalLink43.xml"/><Relationship Id="rId141" Type="http://schemas.openxmlformats.org/officeDocument/2006/relationships/externalLink" Target="externalLinks/externalLink59.xml"/><Relationship Id="rId146" Type="http://schemas.openxmlformats.org/officeDocument/2006/relationships/externalLink" Target="externalLinks/externalLink6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externalLink" Target="externalLinks/externalLink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externalLink" Target="externalLinks/externalLink5.xml"/><Relationship Id="rId110" Type="http://schemas.openxmlformats.org/officeDocument/2006/relationships/externalLink" Target="externalLinks/externalLink28.xml"/><Relationship Id="rId115" Type="http://schemas.openxmlformats.org/officeDocument/2006/relationships/externalLink" Target="externalLinks/externalLink33.xml"/><Relationship Id="rId131" Type="http://schemas.openxmlformats.org/officeDocument/2006/relationships/externalLink" Target="externalLinks/externalLink49.xml"/><Relationship Id="rId136" Type="http://schemas.openxmlformats.org/officeDocument/2006/relationships/externalLink" Target="externalLinks/externalLink54.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18.xml"/><Relationship Id="rId105" Type="http://schemas.openxmlformats.org/officeDocument/2006/relationships/externalLink" Target="externalLinks/externalLink23.xml"/><Relationship Id="rId126" Type="http://schemas.openxmlformats.org/officeDocument/2006/relationships/externalLink" Target="externalLinks/externalLink44.xml"/><Relationship Id="rId147" Type="http://schemas.openxmlformats.org/officeDocument/2006/relationships/externalLink" Target="externalLinks/externalLink6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externalLink" Target="externalLinks/externalLink11.xml"/><Relationship Id="rId98" Type="http://schemas.openxmlformats.org/officeDocument/2006/relationships/externalLink" Target="externalLinks/externalLink16.xml"/><Relationship Id="rId121" Type="http://schemas.openxmlformats.org/officeDocument/2006/relationships/externalLink" Target="externalLinks/externalLink39.xml"/><Relationship Id="rId142" Type="http://schemas.openxmlformats.org/officeDocument/2006/relationships/externalLink" Target="externalLinks/externalLink60.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externalLink" Target="externalLinks/externalLink34.xml"/><Relationship Id="rId137" Type="http://schemas.openxmlformats.org/officeDocument/2006/relationships/externalLink" Target="externalLinks/externalLink55.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externalLink" Target="externalLinks/externalLink1.xml"/><Relationship Id="rId88" Type="http://schemas.openxmlformats.org/officeDocument/2006/relationships/externalLink" Target="externalLinks/externalLink6.xml"/><Relationship Id="rId111" Type="http://schemas.openxmlformats.org/officeDocument/2006/relationships/externalLink" Target="externalLinks/externalLink29.xml"/><Relationship Id="rId132" Type="http://schemas.openxmlformats.org/officeDocument/2006/relationships/externalLink" Target="externalLinks/externalLink50.xml"/><Relationship Id="rId153" Type="http://schemas.openxmlformats.org/officeDocument/2006/relationships/calcChain" Target="calcChain.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24.xml"/><Relationship Id="rId127" Type="http://schemas.openxmlformats.org/officeDocument/2006/relationships/externalLink" Target="externalLinks/externalLink45.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externalLink" Target="externalLinks/externalLink12.xml"/><Relationship Id="rId99" Type="http://schemas.openxmlformats.org/officeDocument/2006/relationships/externalLink" Target="externalLinks/externalLink17.xml"/><Relationship Id="rId101" Type="http://schemas.openxmlformats.org/officeDocument/2006/relationships/externalLink" Target="externalLinks/externalLink19.xml"/><Relationship Id="rId122" Type="http://schemas.openxmlformats.org/officeDocument/2006/relationships/externalLink" Target="externalLinks/externalLink40.xml"/><Relationship Id="rId143" Type="http://schemas.openxmlformats.org/officeDocument/2006/relationships/externalLink" Target="externalLinks/externalLink61.xml"/><Relationship Id="rId148" Type="http://schemas.openxmlformats.org/officeDocument/2006/relationships/externalLink" Target="externalLinks/externalLink66.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externalLink" Target="externalLinks/externalLink7.xml"/><Relationship Id="rId112" Type="http://schemas.openxmlformats.org/officeDocument/2006/relationships/externalLink" Target="externalLinks/externalLink30.xml"/><Relationship Id="rId133" Type="http://schemas.openxmlformats.org/officeDocument/2006/relationships/externalLink" Target="externalLinks/externalLink51.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externalLink" Target="externalLinks/externalLink20.xml"/><Relationship Id="rId123" Type="http://schemas.openxmlformats.org/officeDocument/2006/relationships/externalLink" Target="externalLinks/externalLink41.xml"/><Relationship Id="rId144" Type="http://schemas.openxmlformats.org/officeDocument/2006/relationships/externalLink" Target="externalLinks/externalLink62.xml"/><Relationship Id="rId90" Type="http://schemas.openxmlformats.org/officeDocument/2006/relationships/externalLink" Target="externalLinks/externalLink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sz="1800" b="1" i="0" u="none" strike="noStrike" baseline="0"/>
              <a:t>Transmission Line Route Profile: Plains vs Hilly Terrain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2-F279-4213-93FF-713081771F20}"/>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F279-4213-93FF-713081771F20}"/>
              </c:ext>
            </c:extLst>
          </c:dPt>
          <c:dLbls>
            <c:dLbl>
              <c:idx val="0"/>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Plain Terrain
79%</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2-F279-4213-93FF-713081771F20}"/>
                </c:ext>
              </c:extLst>
            </c:dLbl>
            <c:dLbl>
              <c:idx val="1"/>
              <c:layout>
                <c:manualLayout>
                  <c:x val="-1.9444444444444445E-2"/>
                  <c:y val="4.1666666666666664E-2"/>
                </c:manualLayout>
              </c:layout>
              <c:tx>
                <c:rich>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r>
                      <a:rPr lang="en-US" sz="1200"/>
                      <a:t>Hilly Terrain
36 KM , 21 %</a:t>
                    </a:r>
                  </a:p>
                </c:rich>
              </c:tx>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279-4213-93FF-713081771F2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extLst>
          </c:dLbls>
          <c:cat>
            <c:multiLvlStrRef>
              <c:f>'Sheet13 (2)'!$D$2:$E$3</c:f>
              <c:multiLvlStrCache>
                <c:ptCount val="2"/>
                <c:lvl>
                  <c:pt idx="0">
                    <c:v>137 KM</c:v>
                  </c:pt>
                  <c:pt idx="1">
                    <c:v>36 KM</c:v>
                  </c:pt>
                </c:lvl>
                <c:lvl>
                  <c:pt idx="0">
                    <c:v>Plain Terrain</c:v>
                  </c:pt>
                  <c:pt idx="1">
                    <c:v>Hilly Terrain</c:v>
                  </c:pt>
                </c:lvl>
              </c:multiLvlStrCache>
            </c:multiLvlStrRef>
          </c:cat>
          <c:val>
            <c:numRef>
              <c:f>'Sheet13 (2)'!$D$4:$E$4</c:f>
              <c:numCache>
                <c:formatCode>0%</c:formatCode>
                <c:ptCount val="2"/>
                <c:pt idx="0">
                  <c:v>0.79190751445086704</c:v>
                </c:pt>
                <c:pt idx="1">
                  <c:v>0.20809248554913296</c:v>
                </c:pt>
              </c:numCache>
            </c:numRef>
          </c:val>
          <c:extLst>
            <c:ext xmlns:c16="http://schemas.microsoft.com/office/drawing/2014/chart" uri="{C3380CC4-5D6E-409C-BE32-E72D297353CC}">
              <c16:uniqueId val="{00000000-F279-4213-93FF-713081771F20}"/>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State</a:t>
            </a:r>
            <a:r>
              <a:rPr lang="en-US" baseline="0"/>
              <a:t> Wise Segmentation of Tranmission Line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1D3-4CDA-84BE-C15101A7354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4-41D3-4CDA-84BE-C15101A73542}"/>
              </c:ext>
            </c:extLst>
          </c:dPt>
          <c:dLbls>
            <c:dLbl>
              <c:idx val="0"/>
              <c:layout>
                <c:manualLayout>
                  <c:x val="0"/>
                  <c:y val="0.12962962962962954"/>
                </c:manualLayout>
              </c:layout>
              <c:tx>
                <c:rich>
                  <a:bodyPr/>
                  <a:lstStyle/>
                  <a:p>
                    <a:r>
                      <a:rPr lang="en-US"/>
                      <a:t>Jammu Portion
83 KM , 48 %</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41D3-4CDA-84BE-C15101A73542}"/>
                </c:ext>
              </c:extLst>
            </c:dLbl>
            <c:dLbl>
              <c:idx val="1"/>
              <c:layout>
                <c:manualLayout>
                  <c:x val="-1.410586176727909E-2"/>
                  <c:y val="-8.9438976377952756E-2"/>
                </c:manualLayout>
              </c:layout>
              <c:tx>
                <c:rich>
                  <a:bodyPr/>
                  <a:lstStyle/>
                  <a:p>
                    <a:r>
                      <a:rPr lang="en-US"/>
                      <a:t>Punjab Portion
90 KM, 52%</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41D3-4CDA-84BE-C15101A7354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extLst>
          </c:dLbls>
          <c:cat>
            <c:multiLvlStrRef>
              <c:f>Sheet13!$D$2:$E$3</c:f>
              <c:multiLvlStrCache>
                <c:ptCount val="2"/>
                <c:lvl>
                  <c:pt idx="0">
                    <c:v>83 KM</c:v>
                  </c:pt>
                  <c:pt idx="1">
                    <c:v>90 KM</c:v>
                  </c:pt>
                </c:lvl>
                <c:lvl>
                  <c:pt idx="0">
                    <c:v>Jammu Portion</c:v>
                  </c:pt>
                  <c:pt idx="1">
                    <c:v>Punjab Portion</c:v>
                  </c:pt>
                </c:lvl>
              </c:multiLvlStrCache>
            </c:multiLvlStrRef>
          </c:cat>
          <c:val>
            <c:numRef>
              <c:f>Sheet13!$D$4:$E$4</c:f>
              <c:numCache>
                <c:formatCode>0%</c:formatCode>
                <c:ptCount val="2"/>
                <c:pt idx="0">
                  <c:v>0.47976878612716761</c:v>
                </c:pt>
                <c:pt idx="1">
                  <c:v>0.52023121387283233</c:v>
                </c:pt>
              </c:numCache>
            </c:numRef>
          </c:val>
          <c:extLst>
            <c:ext xmlns:c16="http://schemas.microsoft.com/office/drawing/2014/chart" uri="{C3380CC4-5D6E-409C-BE32-E72D297353CC}">
              <c16:uniqueId val="{00000000-41D3-4CDA-84BE-C15101A73542}"/>
            </c:ext>
          </c:extLst>
        </c:ser>
        <c:dLbls>
          <c:dLblPos val="out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3" name="Chart 2">
          <a:extLst>
            <a:ext uri="{FF2B5EF4-FFF2-40B4-BE49-F238E27FC236}">
              <a16:creationId xmlns:a16="http://schemas.microsoft.com/office/drawing/2014/main" id="{5928725D-713B-6095-A99B-E19F17CDF6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202848</xdr:colOff>
      <xdr:row>1</xdr:row>
      <xdr:rowOff>31045</xdr:rowOff>
    </xdr:from>
    <xdr:to>
      <xdr:col>0</xdr:col>
      <xdr:colOff>1224384</xdr:colOff>
      <xdr:row>2</xdr:row>
      <xdr:rowOff>288220</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2848" y="313267"/>
          <a:ext cx="1021536" cy="927453"/>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396875</xdr:colOff>
      <xdr:row>4</xdr:row>
      <xdr:rowOff>3175</xdr:rowOff>
    </xdr:from>
    <xdr:to>
      <xdr:col>11</xdr:col>
      <xdr:colOff>390525</xdr:colOff>
      <xdr:row>18</xdr:row>
      <xdr:rowOff>168275</xdr:rowOff>
    </xdr:to>
    <xdr:graphicFrame macro="">
      <xdr:nvGraphicFramePr>
        <xdr:cNvPr id="12" name="Chart 11">
          <a:extLst>
            <a:ext uri="{FF2B5EF4-FFF2-40B4-BE49-F238E27FC236}">
              <a16:creationId xmlns:a16="http://schemas.microsoft.com/office/drawing/2014/main" id="{9AEAD3A9-3ED3-4AD4-E3AA-3F9D0E6A6A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75EBB732-5FDA-4F44-92AC-E7DA998B048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7052F6E1-9D88-4953-A022-460FB0E7805C}"/>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AAB4B6E4-83E4-4630-B753-1A3BC12AF1A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A2D3DB3E-36CE-4711-848F-2379CA056FF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F228C09-4EF7-41E4-A657-D5C8E2FA8D0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1BDC830E-9A63-4405-9502-065A19720ECD}"/>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89E4D9C6-4B61-466A-AF3B-5A0FF43BC3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7271CA4-7C7C-44A5-A208-496B24243A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E7B41222-75A4-4563-973D-492F5950CB7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23A7318F-4280-4A3B-AEDD-FE0234E2F28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7442DDCF-D49D-455B-8745-BD95E4FD493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C6B49E5-8847-41CD-8C91-CD59DE7D37C2}"/>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4C020659-CC95-4904-A0E9-9868630CD86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261056B-30E4-4754-9012-0515886BE67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1FD89CC3-A794-470B-B695-6BC9590CE9F3}"/>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4AD374A4-D6BE-497F-8BFE-59EAA56CFA2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8FBEC7BD-C3F8-412E-803B-EBA77C69E06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4730F058-B92C-46FF-ABAA-DF50D3BDD3BE}"/>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A783A1-E1F7-4DF9-BAC2-562AF5B113C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151F6936-0DFC-4D83-8390-3168D2628CF8}"/>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EB5164C-C7D4-40C3-9050-29242BDEAD7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F63B438-13F1-46F4-AF8F-F41F1C5ECBD9}"/>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5CEC06E5-8EFE-4B35-84EC-095782F77C3D}"/>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CC9DFE5C-1236-4D6B-A4E0-E5E1E11EA60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56FF5813-5B9F-429E-9C0D-47781972A28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89943973-2033-4036-AFB3-C0186031940E}"/>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2819934F-041A-4F94-9152-1EB1CE27E50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45A18089-A9EA-4C48-88FF-227EE6A829A6}"/>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DC512989-0BD6-4D8A-B48C-20F5F145DF8F}"/>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82DFB334-9ADE-4405-83C0-9A98A8A519E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3AED49D-F818-4E4F-B12E-68AC06990CD8}"/>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7DA6C73-257F-4B41-ACA8-AE22850D88F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D9650EAF-BB65-4D7F-9FC1-33B4224B9D22}"/>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784C9801-0553-4E20-B915-BF1254685FD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DF4DDC15-E91B-4276-853B-C7532F52709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D2B8BA43-42E6-40A2-8679-4EF44041A96C}"/>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DAB749A-96E2-42B4-A17D-F06145EAE710}"/>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40ED8D0B-E0FC-40AA-9853-66E9380866B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D388122-8E4C-4B81-BAC1-B980B4FA344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32050F50-5FC9-46C3-B60A-701A23D29A3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768A01E-A18B-4E1F-8DDC-2B8CEDEF595F}"/>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D9F0E90E-C66E-4F5F-805D-42C6CFA740A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D9D7B41-6391-4939-9E0C-846ACCFD0070}"/>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35800FF0-45BC-438E-AE26-07753F9A1B3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49E8990F-7D93-4A58-B98C-0AF2F69F39B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3ED43A-971E-4A54-BC1C-76D30ACD7E3E}"/>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D02F2BED-C0C9-4391-8B85-DC021DC9604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E1BED2A2-B904-41F4-9BDD-B56F3655C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66C10E1B-2B05-43FA-B4A6-41ADF7EEFB70}"/>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91FB6C4F-C768-475C-B183-40CDEF1A227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C552861C-073B-4C04-90AD-F5BD208F6D4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B9BD1EC2-E5AC-4941-8540-F688022595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D93C7D6C-4F8F-48D2-858A-14405421F8C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E6F61C08-EA83-40ED-8FFC-7E2B08930FA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BC98AB6-A18A-4B4B-BADC-C124FAC8F093}"/>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DB2A4E4-4968-40D8-A877-0FB90EF0294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7D9AA127-27C3-4192-A816-2D33351CFED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B023B83-449E-4926-9604-F477341A822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99BA9B-C6E5-46BC-8456-D7F8CD61A66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8E990DC1-1710-4F3F-AD32-7E33F6B0DFEA}"/>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17FDAA11-4ED4-43FE-8F91-FCECB17DE557}"/>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78D8817-A4D4-48B1-8743-6B5EA10DD5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28B8A3A3-0CCD-45D0-A97D-7E1A83BD5C16}"/>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343C9CC-3C18-438B-AEB3-70103521158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87C12FEF-A6A6-4336-821D-7FCECC8AC51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E7A75A1-1AB0-4645-A69E-DB10D92FC66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F88205C-E92B-45D7-A25F-C59C59B9016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6845508B-A9B0-4E6D-96B9-A03B09CF54C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B773C19-54A0-49B2-AB01-517FB6BEF337}"/>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AA3AE938-B1F1-44A0-B89E-16D5ACE42C0A}"/>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B7F2C00C-3B4E-4C75-AE5A-570DE84A98F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927CD259-781F-431E-80F7-E22BCC68593B}"/>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 val="PACK_(B)23"/>
      <sheetName val="PACK_(D)23"/>
      <sheetName val="_PACK_(C)23"/>
      <sheetName val="_PACK_(A)23"/>
      <sheetName val="Over_All_(3)17"/>
      <sheetName val="SPT_vs_PHI17"/>
      <sheetName val="BREAKUP_OF_OIL17"/>
      <sheetName val="Synopsis_16"/>
      <sheetName val="PACK__B_16"/>
      <sheetName val="Elect_10"/>
      <sheetName val="PACK_(B)24"/>
      <sheetName val="PACK_(D)24"/>
      <sheetName val="_PACK_(C)24"/>
      <sheetName val="_PACK_(A)24"/>
      <sheetName val="Over_All_(3)18"/>
      <sheetName val="SPT_vs_PHI18"/>
      <sheetName val="BREAKUP_OF_OIL18"/>
      <sheetName val="Synopsis_17"/>
      <sheetName val="PACK__B_17"/>
      <sheetName val="Elect_11"/>
      <sheetName val="PACK_(B)25"/>
      <sheetName val="PACK_(D)25"/>
      <sheetName val="_PACK_(C)25"/>
      <sheetName val="_PACK_(A)25"/>
      <sheetName val="Over_All_(3)19"/>
      <sheetName val="SPT_vs_PHI19"/>
      <sheetName val="BREAKUP_OF_OIL19"/>
      <sheetName val="Synopsis_18"/>
      <sheetName val="PACK__B_18"/>
      <sheetName val="Elect_12"/>
      <sheetName val="PACK_(B)30"/>
      <sheetName val="PACK_(D)30"/>
      <sheetName val="_PACK_(C)30"/>
      <sheetName val="_PACK_(A)30"/>
      <sheetName val="Over_All_(3)24"/>
      <sheetName val="SPT_vs_PHI24"/>
      <sheetName val="BREAKUP_OF_OIL24"/>
      <sheetName val="Synopsis_23"/>
      <sheetName val="PACK__B_23"/>
      <sheetName val="Elect_17"/>
      <sheetName val="PACK_(B)29"/>
      <sheetName val="PACK_(D)29"/>
      <sheetName val="_PACK_(C)29"/>
      <sheetName val="_PACK_(A)29"/>
      <sheetName val="Over_All_(3)23"/>
      <sheetName val="SPT_vs_PHI23"/>
      <sheetName val="BREAKUP_OF_OIL23"/>
      <sheetName val="Synopsis_22"/>
      <sheetName val="PACK__B_22"/>
      <sheetName val="Elect_16"/>
      <sheetName val="PACK_(B)26"/>
      <sheetName val="PACK_(D)26"/>
      <sheetName val="_PACK_(C)26"/>
      <sheetName val="_PACK_(A)26"/>
      <sheetName val="Over_All_(3)20"/>
      <sheetName val="SPT_vs_PHI20"/>
      <sheetName val="BREAKUP_OF_OIL20"/>
      <sheetName val="Synopsis_19"/>
      <sheetName val="PACK__B_19"/>
      <sheetName val="Elect_13"/>
      <sheetName val="PACK_(B)27"/>
      <sheetName val="PACK_(D)27"/>
      <sheetName val="_PACK_(C)27"/>
      <sheetName val="_PACK_(A)27"/>
      <sheetName val="Over_All_(3)21"/>
      <sheetName val="SPT_vs_PHI21"/>
      <sheetName val="BREAKUP_OF_OIL21"/>
      <sheetName val="Synopsis_20"/>
      <sheetName val="PACK__B_20"/>
      <sheetName val="Elect_14"/>
      <sheetName val="PACK_(B)28"/>
      <sheetName val="PACK_(D)28"/>
      <sheetName val="_PACK_(C)28"/>
      <sheetName val="_PACK_(A)28"/>
      <sheetName val="Over_All_(3)22"/>
      <sheetName val="SPT_vs_PHI22"/>
      <sheetName val="BREAKUP_OF_OIL22"/>
      <sheetName val="Synopsis_21"/>
      <sheetName val="PACK__B_21"/>
      <sheetName val="Elect_15"/>
      <sheetName val="PACK_(B)31"/>
      <sheetName val="PACK_(D)31"/>
      <sheetName val="_PACK_(C)31"/>
      <sheetName val="_PACK_(A)31"/>
      <sheetName val="Over_All_(3)25"/>
      <sheetName val="SPT_vs_PHI25"/>
      <sheetName val="BREAKUP_OF_OIL25"/>
      <sheetName val="Synopsis_24"/>
      <sheetName val="PACK__B_24"/>
      <sheetName val="Elect_18"/>
      <sheetName val="PACK_(B)34"/>
      <sheetName val="PACK_(D)34"/>
      <sheetName val="_PACK_(C)34"/>
      <sheetName val="_PACK_(A)34"/>
      <sheetName val="Over_All_(3)28"/>
      <sheetName val="SPT_vs_PHI28"/>
      <sheetName val="BREAKUP_OF_OIL28"/>
      <sheetName val="Synopsis_27"/>
      <sheetName val="PACK__B_27"/>
      <sheetName val="Elect_21"/>
      <sheetName val="Load_Details(B1)1"/>
      <sheetName val="bs_BP_04_SA1"/>
      <sheetName val="Basic_Rate1"/>
      <sheetName val="INFLUENCES_ON_GM1"/>
      <sheetName val="acevsSp_(ABC)1"/>
      <sheetName val="PACK_(B)32"/>
      <sheetName val="PACK_(D)32"/>
      <sheetName val="_PACK_(C)32"/>
      <sheetName val="_PACK_(A)32"/>
      <sheetName val="Over_All_(3)26"/>
      <sheetName val="SPT_vs_PHI26"/>
      <sheetName val="BREAKUP_OF_OIL26"/>
      <sheetName val="Synopsis_25"/>
      <sheetName val="PACK__B_25"/>
      <sheetName val="Elect_19"/>
      <sheetName val="PACK_(B)33"/>
      <sheetName val="PACK_(D)33"/>
      <sheetName val="_PACK_(C)33"/>
      <sheetName val="_PACK_(A)33"/>
      <sheetName val="Over_All_(3)27"/>
      <sheetName val="SPT_vs_PHI27"/>
      <sheetName val="BREAKUP_OF_OIL27"/>
      <sheetName val="Synopsis_26"/>
      <sheetName val="PACK__B_26"/>
      <sheetName val="Elect_20"/>
      <sheetName val="Load_Details(B1)"/>
      <sheetName val="bs_BP_04_SA"/>
      <sheetName val="Basic_Rate"/>
      <sheetName val="INFLUENCES_ON_GM"/>
      <sheetName val="acevsSp_(ABC)"/>
      <sheetName val="Ring wise Block Summary "/>
      <sheetName val="Ring_wise_Block_Summary_"/>
      <sheetName val="Load_Details(B1)4"/>
      <sheetName val="bs_BP_04_SA4"/>
      <sheetName val="Ring_wise_Block_Summary_1"/>
      <sheetName val="Load_Details(B1)2"/>
      <sheetName val="bs_BP_04_SA2"/>
      <sheetName val="Drop_Down_List1"/>
      <sheetName val="Load_Details(B1)3"/>
      <sheetName val="bs_BP_04_SA3"/>
      <sheetName val="Drop_Down_List"/>
      <sheetName val="Load_Details(B1)5"/>
      <sheetName val="bs_BP_04_SA5"/>
      <sheetName val="Basic_Rate2"/>
      <sheetName val="INFLUENCES_ON_GM2"/>
      <sheetName val="acevsSp_(ABC)2"/>
      <sheetName val="Ring_wise_Block_Summary_2"/>
      <sheetName val="sag-ten"/>
      <sheetName val="PDT(L)1"/>
      <sheetName val="PACK_(B)35"/>
      <sheetName val="PACK_(D)35"/>
      <sheetName val="_PACK_(C)35"/>
      <sheetName val="_PACK_(A)35"/>
      <sheetName val="Over_All_(3)29"/>
      <sheetName val="SPT_vs_PHI29"/>
      <sheetName val="BREAKUP_OF_OIL29"/>
      <sheetName val="Synopsis_28"/>
      <sheetName val="PACK__B_28"/>
      <sheetName val="Elect_22"/>
      <sheetName val="Load_Details(B1)6"/>
      <sheetName val="bs_BP_04_SA6"/>
      <sheetName val="Basic_Rate3"/>
      <sheetName val="INFLUENCES_ON_GM3"/>
      <sheetName val="acevsSp_(ABC)3"/>
      <sheetName val="Ring_wise_Block_Summary_3"/>
      <sheetName val="PACK_(B)36"/>
      <sheetName val="PACK_(D)36"/>
      <sheetName val="_PACK_(C)36"/>
      <sheetName val="_PACK_(A)36"/>
      <sheetName val="Over_All_(3)30"/>
      <sheetName val="SPT_vs_PHI30"/>
      <sheetName val="BREAKUP_OF_OIL30"/>
      <sheetName val="Synopsis_29"/>
      <sheetName val="PACK__B_29"/>
      <sheetName val="Elect_23"/>
      <sheetName val="Load_Details(B1)7"/>
      <sheetName val="bs_BP_04_SA7"/>
      <sheetName val="Basic_Rate4"/>
      <sheetName val="INFLUENCES_ON_GM4"/>
      <sheetName val="acevsSp_(ABC)4"/>
      <sheetName val="Ring_wise_Block_Summary_4"/>
      <sheetName val="PACK_(B)37"/>
      <sheetName val="PACK_(D)37"/>
      <sheetName val="_PACK_(C)37"/>
      <sheetName val="_PACK_(A)37"/>
      <sheetName val="Over_All_(3)31"/>
      <sheetName val="SPT_vs_PHI31"/>
      <sheetName val="BREAKUP_OF_OIL31"/>
      <sheetName val="Synopsis_30"/>
      <sheetName val="PACK__B_30"/>
      <sheetName val="Elect_24"/>
      <sheetName val="Load_Details(B1)8"/>
      <sheetName val="bs_BP_04_SA8"/>
      <sheetName val="Basic_Rate5"/>
      <sheetName val="INFLUENCES_ON_GM5"/>
      <sheetName val="acevsSp_(ABC)5"/>
      <sheetName val="Ring_wise_Block_Summary_5"/>
      <sheetName val="PACK_(B)38"/>
      <sheetName val="PACK_(D)38"/>
      <sheetName val="_PACK_(C)38"/>
      <sheetName val="_PACK_(A)38"/>
      <sheetName val="Over_All_(3)32"/>
      <sheetName val="SPT_vs_PHI32"/>
      <sheetName val="BREAKUP_OF_OIL32"/>
      <sheetName val="Synopsis_31"/>
      <sheetName val="PACK__B_31"/>
      <sheetName val="Elect_25"/>
      <sheetName val="Load_Details(B1)9"/>
      <sheetName val="bs_BP_04_SA9"/>
      <sheetName val="Basic_Rate6"/>
      <sheetName val="INFLUENCES_ON_GM6"/>
      <sheetName val="acevsSp_(ABC)6"/>
      <sheetName val="Ring_wise_Block_Summary_6"/>
      <sheetName val="PACK_(B)39"/>
      <sheetName val="PACK_(D)39"/>
      <sheetName val="_PACK_(C)39"/>
      <sheetName val="_PACK_(A)39"/>
      <sheetName val="Over_All_(3)33"/>
      <sheetName val="SPT_vs_PHI33"/>
      <sheetName val="BREAKUP_OF_OIL33"/>
      <sheetName val="Synopsis_32"/>
      <sheetName val="PACK__B_32"/>
      <sheetName val="Elect_26"/>
      <sheetName val="Load_Details(B1)10"/>
      <sheetName val="bs_BP_04_SA10"/>
      <sheetName val="Basic_Rate7"/>
      <sheetName val="INFLUENCES_ON_GM7"/>
      <sheetName val="acevsSp_(ABC)7"/>
      <sheetName val="Ring_wise_Block_Summary_7"/>
      <sheetName val="Drop Down List"/>
      <sheetName val="PACK_(B)40"/>
      <sheetName val="PACK_(D)40"/>
      <sheetName val="_PACK_(C)40"/>
      <sheetName val="_PACK_(A)40"/>
      <sheetName val="Over_All_(3)34"/>
      <sheetName val="SPT_vs_PHI34"/>
      <sheetName val="BREAKUP_OF_OIL34"/>
      <sheetName val="Synopsis_33"/>
      <sheetName val="PACK__B_33"/>
      <sheetName val="Elect_27"/>
      <sheetName val="Load_Details(B1)11"/>
      <sheetName val="bs_BP_04_SA11"/>
      <sheetName val="Basic_Rate8"/>
      <sheetName val="INFLUENCES_ON_GM8"/>
      <sheetName val="acevsSp_(ABC)8"/>
      <sheetName val="Ring_wise_Block_Summary_8"/>
      <sheetName val="Scheme Area Details_Block__ C2"/>
      <sheetName val="New33KVSS_E3"/>
      <sheetName val="Prop aug of Ex 33KVSS_E3a"/>
      <sheetName val="P-Ins &amp; Bonds"/>
      <sheetName val="SUPPORT1"/>
      <sheetName val="SUMMARY"/>
      <sheetName val="BOQ (2)"/>
      <sheetName val="REGIONWISE POPULATION"/>
      <sheetName val="eoudes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refreshError="1"/>
      <sheetData sheetId="384" refreshError="1"/>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refreshError="1"/>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strain"/>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 val="ANAL"/>
      <sheetName val="DESBAST"/>
      <sheetName val="장비"/>
      <sheetName val="Rates"/>
      <sheetName val="costi"/>
      <sheetName val="DSLP_CALCULATION"/>
      <sheetName val="SPT_vs_PHI"/>
      <sheetName val="Form_6"/>
      <sheetName val="Elect_"/>
      <sheetName val="SUMMERY"/>
      <sheetName val="DSLP_CALCULATION2"/>
      <sheetName val="SPT_vs_PHI1"/>
      <sheetName val="Form_61"/>
      <sheetName val="Elect_1"/>
      <sheetName val="A_3_72"/>
      <sheetName val="A_3_7"/>
      <sheetName val="Executive_Summary_-Thermal1"/>
      <sheetName val="Stationwise_Thermal_&amp;_Hydel_Ge1"/>
      <sheetName val="Scheme_Area_Details_Block___C21"/>
      <sheetName val="Prop_aug_of_Ex_33KVSS_E3a1"/>
      <sheetName val="Valve_Cl1"/>
      <sheetName val="DSLP_CALCULATION1"/>
      <sheetName val="A_3_71"/>
      <sheetName val="Executive_Summary_-Thermal"/>
      <sheetName val="Stationwise_Thermal_&amp;_Hydel_Gen"/>
      <sheetName val="Scheme_Area_Details_Block___C2"/>
      <sheetName val="Prop_aug_of_Ex_33KVSS_E3a"/>
      <sheetName val="Valve_Cl"/>
      <sheetName val="DSLP_CALCULATION3"/>
      <sheetName val="SPT_vs_PHI2"/>
      <sheetName val="Form_62"/>
      <sheetName val="SC_Cost_FEB_03"/>
      <sheetName val="MOS_suivi_hebdomadaire"/>
      <sheetName val="Suivi_roadmap_6_sigma"/>
      <sheetName val="Suivi_roadmap_psd"/>
      <sheetName val="Défauts_FY99"/>
      <sheetName val="Roadmap_psd"/>
      <sheetName val="2_Pile_capacity_Calculations"/>
      <sheetName val="A_3_73"/>
      <sheetName val="OLS_1_6T"/>
      <sheetName val="consl_bs"/>
      <sheetName val="explanation_"/>
      <sheetName val="Conductor_Parameter"/>
      <sheetName val="Elect_2"/>
      <sheetName val="p_&amp;_l_"/>
      <sheetName val="Executive_Summary_-Thermal2"/>
      <sheetName val="Stationwise_Thermal_&amp;_Hydel_Ge2"/>
      <sheetName val="Scheme_Area_Details_Block___C22"/>
      <sheetName val="Prop_aug_of_Ex_33KVSS_E3a2"/>
      <sheetName val="Valve_Cl2"/>
      <sheetName val="REVENUES_&amp;_BS"/>
      <sheetName val="_E2_Shop_sub_st_"/>
      <sheetName val="_Ar_&amp;_St"/>
      <sheetName val="DSLP_CALCULATION4"/>
      <sheetName val="SPT_vs_PHI3"/>
      <sheetName val="Form_63"/>
      <sheetName val="SC_Cost_FEB_031"/>
      <sheetName val="MOS_suivi_hebdomadaire1"/>
      <sheetName val="Suivi_roadmap_6_sigma1"/>
      <sheetName val="Suivi_roadmap_psd1"/>
      <sheetName val="Défauts_FY991"/>
      <sheetName val="Roadmap_psd1"/>
      <sheetName val="2_Pile_capacity_Calculations1"/>
      <sheetName val="A_3_74"/>
      <sheetName val="OLS_1_6T1"/>
      <sheetName val="consl_bs1"/>
      <sheetName val="explanation_1"/>
      <sheetName val="Conductor_Parameter1"/>
      <sheetName val="Elect_3"/>
      <sheetName val="p_&amp;_l_1"/>
      <sheetName val="Executive_Summary_-Thermal3"/>
      <sheetName val="Stationwise_Thermal_&amp;_Hydel_Ge3"/>
      <sheetName val="Scheme_Area_Details_Block___C23"/>
      <sheetName val="Prop_aug_of_Ex_33KVSS_E3a3"/>
      <sheetName val="Valve_Cl3"/>
      <sheetName val="REVENUES_&amp;_BS1"/>
      <sheetName val="_E2_Shop_sub_st_1"/>
      <sheetName val="_Ar_&amp;_St1"/>
      <sheetName val="PACK_(B)6"/>
      <sheetName val="DSLP_CALCULATION5"/>
      <sheetName val="SPT_vs_PHI4"/>
      <sheetName val="Form_64"/>
      <sheetName val="SC_Cost_FEB_032"/>
      <sheetName val="MOS_suivi_hebdomadaire2"/>
      <sheetName val="Suivi_roadmap_6_sigma2"/>
      <sheetName val="Suivi_roadmap_psd2"/>
      <sheetName val="Défauts_FY992"/>
      <sheetName val="Roadmap_psd2"/>
      <sheetName val="2_Pile_capacity_Calculations2"/>
      <sheetName val="A_3_75"/>
      <sheetName val="OLS_1_6T2"/>
      <sheetName val="consl_bs2"/>
      <sheetName val="explanation_2"/>
      <sheetName val="Conductor_Parameter2"/>
      <sheetName val="Elect_4"/>
      <sheetName val="p_&amp;_l_2"/>
      <sheetName val="Executive_Summary_-Thermal4"/>
      <sheetName val="Stationwise_Thermal_&amp;_Hydel_Ge4"/>
      <sheetName val="Scheme_Area_Details_Block___C24"/>
      <sheetName val="Prop_aug_of_Ex_33KVSS_E3a4"/>
      <sheetName val="Valve_Cl4"/>
      <sheetName val="REVENUES_&amp;_BS2"/>
      <sheetName val="_E2_Shop_sub_st_2"/>
      <sheetName val="_Ar_&amp;_St2"/>
      <sheetName val="PACK_(B)7"/>
      <sheetName val="DSLP_CALCULATION6"/>
      <sheetName val="SPT_vs_PHI5"/>
      <sheetName val="Form_65"/>
      <sheetName val="SC_Cost_FEB_033"/>
      <sheetName val="MOS_suivi_hebdomadaire3"/>
      <sheetName val="Suivi_roadmap_6_sigma3"/>
      <sheetName val="Suivi_roadmap_psd3"/>
      <sheetName val="Défauts_FY993"/>
      <sheetName val="Roadmap_psd3"/>
      <sheetName val="2_Pile_capacity_Calculations3"/>
      <sheetName val="A_3_76"/>
      <sheetName val="OLS_1_6T3"/>
      <sheetName val="consl_bs3"/>
      <sheetName val="explanation_3"/>
      <sheetName val="Conductor_Parameter3"/>
      <sheetName val="Elect_5"/>
      <sheetName val="p_&amp;_l_3"/>
      <sheetName val="Executive_Summary_-Thermal5"/>
      <sheetName val="Stationwise_Thermal_&amp;_Hydel_Ge5"/>
      <sheetName val="Scheme_Area_Details_Block___C25"/>
      <sheetName val="Prop_aug_of_Ex_33KVSS_E3a5"/>
      <sheetName val="Valve_Cl5"/>
      <sheetName val="REVENUES_&amp;_BS3"/>
      <sheetName val="_E2_Shop_sub_st_3"/>
      <sheetName val="_Ar_&amp;_St3"/>
      <sheetName val="PACK_(B)8"/>
      <sheetName val="DSLP_CALCULATION7"/>
      <sheetName val="SPT_vs_PHI6"/>
      <sheetName val="Form_66"/>
      <sheetName val="SC_Cost_FEB_034"/>
      <sheetName val="MOS_suivi_hebdomadaire4"/>
      <sheetName val="Suivi_roadmap_6_sigma4"/>
      <sheetName val="Suivi_roadmap_psd4"/>
      <sheetName val="Défauts_FY994"/>
      <sheetName val="Roadmap_psd4"/>
      <sheetName val="2_Pile_capacity_Calculations4"/>
      <sheetName val="A_3_77"/>
      <sheetName val="OLS_1_6T4"/>
      <sheetName val="consl_bs4"/>
      <sheetName val="explanation_4"/>
      <sheetName val="Conductor_Parameter4"/>
      <sheetName val="Elect_6"/>
      <sheetName val="p_&amp;_l_4"/>
      <sheetName val="Executive_Summary_-Thermal6"/>
      <sheetName val="Stationwise_Thermal_&amp;_Hydel_Ge6"/>
      <sheetName val="Scheme_Area_Details_Block___C26"/>
      <sheetName val="Prop_aug_of_Ex_33KVSS_E3a6"/>
      <sheetName val="Valve_Cl6"/>
      <sheetName val="REVENUES_&amp;_BS4"/>
      <sheetName val="_E2_Shop_sub_st_4"/>
      <sheetName val="_Ar_&amp;_St4"/>
      <sheetName val="P-Ins &amp; Bonds"/>
      <sheetName val="SUPPORT1"/>
      <sheetName val="drg"/>
      <sheetName val="SUMMARY"/>
      <sheetName val="NJP"/>
      <sheetName val="Array"/>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 val="CP_FEB_0321"/>
      <sheetName val="CWCO_FEB_0321"/>
      <sheetName val="OH_FEB_0321"/>
      <sheetName val="MAT_FEB_0321"/>
      <sheetName val="P&amp;M_AFA21"/>
      <sheetName val="P&amp;M_DEPN21"/>
      <sheetName val="LAB_FEB'0321"/>
      <sheetName val="SC_Cost_FEB_0321"/>
      <sheetName val="FEB03_LEDGER21"/>
      <sheetName val="FEB03_LEDGER_(2)21"/>
      <sheetName val="JAN_03_LEDGER_(2)21"/>
      <sheetName val="CP_distribution_for_CEMA21"/>
      <sheetName val="CP_MAR_0321"/>
      <sheetName val="CWCO_MAR_0321"/>
      <sheetName val="MAR03_LEDGER21"/>
      <sheetName val="MAR03_LEDGER_(2)21"/>
      <sheetName val="25_10_16black18"/>
      <sheetName val="Selection_list17"/>
      <sheetName val="PRECAST_lightconc-II17"/>
      <sheetName val="Vendor_Wise17"/>
      <sheetName val="Line_Wise17"/>
      <sheetName val="Overall_Plan-Project17"/>
      <sheetName val="Global_factors16"/>
      <sheetName val="Rate_Analysis16"/>
      <sheetName val="CP_FEB_0322"/>
      <sheetName val="CWCO_FEB_0322"/>
      <sheetName val="OH_FEB_0322"/>
      <sheetName val="MAT_FEB_0322"/>
      <sheetName val="P&amp;M_AFA22"/>
      <sheetName val="P&amp;M_DEPN22"/>
      <sheetName val="LAB_FEB'0322"/>
      <sheetName val="SC_Cost_FEB_0322"/>
      <sheetName val="FEB03_LEDGER22"/>
      <sheetName val="FEB03_LEDGER_(2)22"/>
      <sheetName val="JAN_03_LEDGER_(2)22"/>
      <sheetName val="CP_distribution_for_CEMA22"/>
      <sheetName val="CP_MAR_0322"/>
      <sheetName val="CWCO_MAR_0322"/>
      <sheetName val="MAR03_LEDGER22"/>
      <sheetName val="MAR03_LEDGER_(2)22"/>
      <sheetName val="25_10_16black19"/>
      <sheetName val="Selection_list18"/>
      <sheetName val="PRECAST_lightconc-II18"/>
      <sheetName val="Vendor_Wise18"/>
      <sheetName val="Line_Wise18"/>
      <sheetName val="Overall_Plan-Project18"/>
      <sheetName val="Global_factors17"/>
      <sheetName val="Rate_Analysis17"/>
      <sheetName val="CP_FEB_0323"/>
      <sheetName val="CWCO_FEB_0323"/>
      <sheetName val="OH_FEB_0323"/>
      <sheetName val="MAT_FEB_0323"/>
      <sheetName val="P&amp;M_AFA23"/>
      <sheetName val="P&amp;M_DEPN23"/>
      <sheetName val="LAB_FEB'0323"/>
      <sheetName val="SC_Cost_FEB_0323"/>
      <sheetName val="FEB03_LEDGER23"/>
      <sheetName val="FEB03_LEDGER_(2)23"/>
      <sheetName val="JAN_03_LEDGER_(2)23"/>
      <sheetName val="CP_distribution_for_CEMA23"/>
      <sheetName val="CP_MAR_0323"/>
      <sheetName val="CWCO_MAR_0323"/>
      <sheetName val="MAR03_LEDGER23"/>
      <sheetName val="MAR03_LEDGER_(2)23"/>
      <sheetName val="25_10_16black20"/>
      <sheetName val="Selection_list19"/>
      <sheetName val="PRECAST_lightconc-II19"/>
      <sheetName val="Vendor_Wise19"/>
      <sheetName val="Line_Wise19"/>
      <sheetName val="Overall_Plan-Project19"/>
      <sheetName val="Global_factors18"/>
      <sheetName val="Rate_Analysis18"/>
      <sheetName val="CP_FEB_0328"/>
      <sheetName val="CWCO_FEB_0328"/>
      <sheetName val="OH_FEB_0328"/>
      <sheetName val="MAT_FEB_0328"/>
      <sheetName val="P&amp;M_AFA28"/>
      <sheetName val="P&amp;M_DEPN28"/>
      <sheetName val="LAB_FEB'0328"/>
      <sheetName val="SC_Cost_FEB_0328"/>
      <sheetName val="FEB03_LEDGER28"/>
      <sheetName val="FEB03_LEDGER_(2)28"/>
      <sheetName val="JAN_03_LEDGER_(2)28"/>
      <sheetName val="CP_distribution_for_CEMA28"/>
      <sheetName val="CP_MAR_0328"/>
      <sheetName val="CWCO_MAR_0328"/>
      <sheetName val="MAR03_LEDGER28"/>
      <sheetName val="MAR03_LEDGER_(2)28"/>
      <sheetName val="25_10_16black25"/>
      <sheetName val="Selection_list24"/>
      <sheetName val="PRECAST_lightconc-II24"/>
      <sheetName val="Vendor_Wise24"/>
      <sheetName val="Line_Wise24"/>
      <sheetName val="Overall_Plan-Project24"/>
      <sheetName val="Global_factors23"/>
      <sheetName val="Rate_Analysis23"/>
      <sheetName val="CP_FEB_0327"/>
      <sheetName val="CWCO_FEB_0327"/>
      <sheetName val="OH_FEB_0327"/>
      <sheetName val="MAT_FEB_0327"/>
      <sheetName val="P&amp;M_AFA27"/>
      <sheetName val="P&amp;M_DEPN27"/>
      <sheetName val="LAB_FEB'0327"/>
      <sheetName val="SC_Cost_FEB_0327"/>
      <sheetName val="FEB03_LEDGER27"/>
      <sheetName val="FEB03_LEDGER_(2)27"/>
      <sheetName val="JAN_03_LEDGER_(2)27"/>
      <sheetName val="CP_distribution_for_CEMA27"/>
      <sheetName val="CP_MAR_0327"/>
      <sheetName val="CWCO_MAR_0327"/>
      <sheetName val="MAR03_LEDGER27"/>
      <sheetName val="MAR03_LEDGER_(2)27"/>
      <sheetName val="25_10_16black24"/>
      <sheetName val="Selection_list23"/>
      <sheetName val="PRECAST_lightconc-II23"/>
      <sheetName val="Vendor_Wise23"/>
      <sheetName val="Line_Wise23"/>
      <sheetName val="Overall_Plan-Project23"/>
      <sheetName val="Global_factors22"/>
      <sheetName val="Rate_Analysis22"/>
      <sheetName val="CP_FEB_0324"/>
      <sheetName val="CWCO_FEB_0324"/>
      <sheetName val="OH_FEB_0324"/>
      <sheetName val="MAT_FEB_0324"/>
      <sheetName val="P&amp;M_AFA24"/>
      <sheetName val="P&amp;M_DEPN24"/>
      <sheetName val="LAB_FEB'0324"/>
      <sheetName val="SC_Cost_FEB_0324"/>
      <sheetName val="FEB03_LEDGER24"/>
      <sheetName val="FEB03_LEDGER_(2)24"/>
      <sheetName val="JAN_03_LEDGER_(2)24"/>
      <sheetName val="CP_distribution_for_CEMA24"/>
      <sheetName val="CP_MAR_0324"/>
      <sheetName val="CWCO_MAR_0324"/>
      <sheetName val="MAR03_LEDGER24"/>
      <sheetName val="MAR03_LEDGER_(2)24"/>
      <sheetName val="25_10_16black21"/>
      <sheetName val="Selection_list20"/>
      <sheetName val="PRECAST_lightconc-II20"/>
      <sheetName val="Vendor_Wise20"/>
      <sheetName val="Line_Wise20"/>
      <sheetName val="Overall_Plan-Project20"/>
      <sheetName val="Global_factors19"/>
      <sheetName val="Rate_Analysis19"/>
      <sheetName val="CP_FEB_0325"/>
      <sheetName val="CWCO_FEB_0325"/>
      <sheetName val="OH_FEB_0325"/>
      <sheetName val="MAT_FEB_0325"/>
      <sheetName val="P&amp;M_AFA25"/>
      <sheetName val="P&amp;M_DEPN25"/>
      <sheetName val="LAB_FEB'0325"/>
      <sheetName val="SC_Cost_FEB_0325"/>
      <sheetName val="FEB03_LEDGER25"/>
      <sheetName val="FEB03_LEDGER_(2)25"/>
      <sheetName val="JAN_03_LEDGER_(2)25"/>
      <sheetName val="CP_distribution_for_CEMA25"/>
      <sheetName val="CP_MAR_0325"/>
      <sheetName val="CWCO_MAR_0325"/>
      <sheetName val="MAR03_LEDGER25"/>
      <sheetName val="MAR03_LEDGER_(2)25"/>
      <sheetName val="25_10_16black22"/>
      <sheetName val="Selection_list21"/>
      <sheetName val="PRECAST_lightconc-II21"/>
      <sheetName val="Vendor_Wise21"/>
      <sheetName val="Line_Wise21"/>
      <sheetName val="Overall_Plan-Project21"/>
      <sheetName val="Global_factors20"/>
      <sheetName val="Rate_Analysis20"/>
      <sheetName val="CP_FEB_0326"/>
      <sheetName val="CWCO_FEB_0326"/>
      <sheetName val="OH_FEB_0326"/>
      <sheetName val="MAT_FEB_0326"/>
      <sheetName val="P&amp;M_AFA26"/>
      <sheetName val="P&amp;M_DEPN26"/>
      <sheetName val="LAB_FEB'0326"/>
      <sheetName val="SC_Cost_FEB_0326"/>
      <sheetName val="FEB03_LEDGER26"/>
      <sheetName val="FEB03_LEDGER_(2)26"/>
      <sheetName val="JAN_03_LEDGER_(2)26"/>
      <sheetName val="CP_distribution_for_CEMA26"/>
      <sheetName val="CP_MAR_0326"/>
      <sheetName val="CWCO_MAR_0326"/>
      <sheetName val="MAR03_LEDGER26"/>
      <sheetName val="MAR03_LEDGER_(2)26"/>
      <sheetName val="25_10_16black23"/>
      <sheetName val="Selection_list22"/>
      <sheetName val="PRECAST_lightconc-II22"/>
      <sheetName val="Vendor_Wise22"/>
      <sheetName val="Line_Wise22"/>
      <sheetName val="Overall_Plan-Project22"/>
      <sheetName val="Global_factors21"/>
      <sheetName val="Rate_Analysis21"/>
      <sheetName val="CP_FEB_0329"/>
      <sheetName val="CWCO_FEB_0329"/>
      <sheetName val="OH_FEB_0329"/>
      <sheetName val="MAT_FEB_0329"/>
      <sheetName val="P&amp;M_AFA29"/>
      <sheetName val="P&amp;M_DEPN29"/>
      <sheetName val="LAB_FEB'0329"/>
      <sheetName val="SC_Cost_FEB_0329"/>
      <sheetName val="FEB03_LEDGER29"/>
      <sheetName val="FEB03_LEDGER_(2)29"/>
      <sheetName val="JAN_03_LEDGER_(2)29"/>
      <sheetName val="CP_distribution_for_CEMA29"/>
      <sheetName val="CP_MAR_0329"/>
      <sheetName val="CWCO_MAR_0329"/>
      <sheetName val="MAR03_LEDGER29"/>
      <sheetName val="MAR03_LEDGER_(2)29"/>
      <sheetName val="25_10_16black26"/>
      <sheetName val="Selection_list25"/>
      <sheetName val="PRECAST_lightconc-II25"/>
      <sheetName val="Vendor_Wise25"/>
      <sheetName val="Line_Wise25"/>
      <sheetName val="Overall_Plan-Project25"/>
      <sheetName val="Global_factors24"/>
      <sheetName val="Rate_Analysis24"/>
      <sheetName val="CP_FEB_0332"/>
      <sheetName val="CWCO_FEB_0332"/>
      <sheetName val="OH_FEB_0332"/>
      <sheetName val="MAT_FEB_0332"/>
      <sheetName val="P&amp;M_AFA32"/>
      <sheetName val="P&amp;M_DEPN32"/>
      <sheetName val="LAB_FEB'0332"/>
      <sheetName val="SC_Cost_FEB_0332"/>
      <sheetName val="FEB03_LEDGER32"/>
      <sheetName val="FEB03_LEDGER_(2)32"/>
      <sheetName val="JAN_03_LEDGER_(2)32"/>
      <sheetName val="CP_distribution_for_CEMA32"/>
      <sheetName val="CP_MAR_0332"/>
      <sheetName val="CWCO_MAR_0332"/>
      <sheetName val="MAR03_LEDGER32"/>
      <sheetName val="MAR03_LEDGER_(2)32"/>
      <sheetName val="25_10_16black29"/>
      <sheetName val="Selection_list28"/>
      <sheetName val="PRECAST_lightconc-II28"/>
      <sheetName val="Vendor_Wise28"/>
      <sheetName val="Line_Wise28"/>
      <sheetName val="Overall_Plan-Project28"/>
      <sheetName val="Global_factors27"/>
      <sheetName val="Rate_Analysis27"/>
      <sheetName val="CP_FEB_0330"/>
      <sheetName val="CWCO_FEB_0330"/>
      <sheetName val="OH_FEB_0330"/>
      <sheetName val="MAT_FEB_0330"/>
      <sheetName val="P&amp;M_AFA30"/>
      <sheetName val="P&amp;M_DEPN30"/>
      <sheetName val="LAB_FEB'0330"/>
      <sheetName val="SC_Cost_FEB_0330"/>
      <sheetName val="FEB03_LEDGER30"/>
      <sheetName val="FEB03_LEDGER_(2)30"/>
      <sheetName val="JAN_03_LEDGER_(2)30"/>
      <sheetName val="CP_distribution_for_CEMA30"/>
      <sheetName val="CP_MAR_0330"/>
      <sheetName val="CWCO_MAR_0330"/>
      <sheetName val="MAR03_LEDGER30"/>
      <sheetName val="MAR03_LEDGER_(2)30"/>
      <sheetName val="25_10_16black27"/>
      <sheetName val="Selection_list26"/>
      <sheetName val="PRECAST_lightconc-II26"/>
      <sheetName val="Vendor_Wise26"/>
      <sheetName val="Line_Wise26"/>
      <sheetName val="Overall_Plan-Project26"/>
      <sheetName val="Global_factors25"/>
      <sheetName val="Rate_Analysis25"/>
      <sheetName val="CP_FEB_0331"/>
      <sheetName val="CWCO_FEB_0331"/>
      <sheetName val="OH_FEB_0331"/>
      <sheetName val="MAT_FEB_0331"/>
      <sheetName val="P&amp;M_AFA31"/>
      <sheetName val="P&amp;M_DEPN31"/>
      <sheetName val="LAB_FEB'0331"/>
      <sheetName val="SC_Cost_FEB_0331"/>
      <sheetName val="FEB03_LEDGER31"/>
      <sheetName val="FEB03_LEDGER_(2)31"/>
      <sheetName val="JAN_03_LEDGER_(2)31"/>
      <sheetName val="CP_distribution_for_CEMA31"/>
      <sheetName val="CP_MAR_0331"/>
      <sheetName val="CWCO_MAR_0331"/>
      <sheetName val="MAR03_LEDGER31"/>
      <sheetName val="MAR03_LEDGER_(2)31"/>
      <sheetName val="25_10_16black28"/>
      <sheetName val="Selection_list27"/>
      <sheetName val="PRECAST_lightconc-II27"/>
      <sheetName val="Vendor_Wise27"/>
      <sheetName val="Line_Wise27"/>
      <sheetName val="Overall_Plan-Project27"/>
      <sheetName val="Global_factors26"/>
      <sheetName val="Rate_Analysis26"/>
      <sheetName val="PACK_(B)"/>
      <sheetName val="Executive_Summary_-Thermal"/>
      <sheetName val="Stationwise_Thermal_&amp;_Hydel_Gen"/>
      <sheetName val="BREAKDOWN(철거설치)"/>
      <sheetName val="PACK_(B)1"/>
      <sheetName val="Executive_Summary_-Thermal1"/>
      <sheetName val="Stationwise_Thermal_&amp;_Hydel_Ge1"/>
      <sheetName val="CP_FEB_0333"/>
      <sheetName val="CWCO_FEB_0333"/>
      <sheetName val="OH_FEB_0333"/>
      <sheetName val="MAT_FEB_0333"/>
      <sheetName val="P&amp;M_AFA33"/>
      <sheetName val="P&amp;M_DEPN33"/>
      <sheetName val="LAB_FEB'0333"/>
      <sheetName val="SC_Cost_FEB_0333"/>
      <sheetName val="FEB03_LEDGER33"/>
      <sheetName val="FEB03_LEDGER_(2)33"/>
      <sheetName val="JAN_03_LEDGER_(2)33"/>
      <sheetName val="CP_distribution_for_CEMA33"/>
      <sheetName val="CP_MAR_0333"/>
      <sheetName val="CWCO_MAR_0333"/>
      <sheetName val="MAR03_LEDGER33"/>
      <sheetName val="MAR03_LEDGER_(2)33"/>
      <sheetName val="25_10_16black30"/>
      <sheetName val="Selection_list29"/>
      <sheetName val="PRECAST_lightconc-II29"/>
      <sheetName val="Vendor_Wise29"/>
      <sheetName val="Line_Wise29"/>
      <sheetName val="Overall_Plan-Project29"/>
      <sheetName val="Global_factors28"/>
      <sheetName val="Rate_Analysis28"/>
      <sheetName val="PACK_(B)2"/>
      <sheetName val="Executive_Summary_-Thermal2"/>
      <sheetName val="Stationwise_Thermal_&amp;_Hydel_Ge2"/>
      <sheetName val="CP_FEB_0334"/>
      <sheetName val="CWCO_FEB_0334"/>
      <sheetName val="OH_FEB_0334"/>
      <sheetName val="MAT_FEB_0334"/>
      <sheetName val="P&amp;M_AFA34"/>
      <sheetName val="P&amp;M_DEPN34"/>
      <sheetName val="LAB_FEB'0334"/>
      <sheetName val="SC_Cost_FEB_0334"/>
      <sheetName val="FEB03_LEDGER34"/>
      <sheetName val="FEB03_LEDGER_(2)34"/>
      <sheetName val="JAN_03_LEDGER_(2)34"/>
      <sheetName val="CP_distribution_for_CEMA34"/>
      <sheetName val="CP_MAR_0334"/>
      <sheetName val="CWCO_MAR_0334"/>
      <sheetName val="MAR03_LEDGER34"/>
      <sheetName val="MAR03_LEDGER_(2)34"/>
      <sheetName val="25_10_16black31"/>
      <sheetName val="Selection_list30"/>
      <sheetName val="PRECAST_lightconc-II30"/>
      <sheetName val="Vendor_Wise30"/>
      <sheetName val="Line_Wise30"/>
      <sheetName val="Overall_Plan-Project30"/>
      <sheetName val="Global_factors29"/>
      <sheetName val="Rate_Analysis29"/>
      <sheetName val="PACK_(B)3"/>
      <sheetName val="Executive_Summary_-Thermal3"/>
      <sheetName val="Stationwise_Thermal_&amp;_Hydel_Ge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efreshError="1"/>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 val="Load Details-220kV"/>
      <sheetName val="PTS-0885_Hard"/>
      <sheetName val="DSLP_CALCULATION"/>
      <sheetName val="BC_&amp;_MNB_"/>
      <sheetName val="Appendix_CC2_04"/>
      <sheetName val="#REF"/>
      <sheetName val="dummy"/>
      <sheetName val="CPIPE"/>
      <sheetName val="REVENUES_&amp;_BS10"/>
      <sheetName val="STAFFSCHED_10"/>
      <sheetName val="vemagiri_grid_earth_cal25"/>
      <sheetName val="PACK_(B)10"/>
      <sheetName val="AutoOpen_Stub_Data6"/>
      <sheetName val="Reco_C-46"/>
      <sheetName val="RATE-ANAY_6"/>
      <sheetName val="11B_6"/>
      <sheetName val="PPA_Summary25"/>
      <sheetName val="RCC,Ret__Wall25"/>
      <sheetName val="DETAILED__BOQ25"/>
      <sheetName val="FITZ_MORT_948"/>
      <sheetName val="Fill_this_out_first___8"/>
      <sheetName val="bs_BP_04_SA2"/>
      <sheetName val="Load_Details(B2)6"/>
      <sheetName val="b_s_chalam1"/>
      <sheetName val="220kv_(2)1"/>
      <sheetName val="SPT_vs_PHI1"/>
      <sheetName val="hydraulical_model1"/>
      <sheetName val="eq_info1"/>
      <sheetName val="Field_Values"/>
      <sheetName val="schedule_nos"/>
      <sheetName val="DM_tANK_Allow"/>
      <sheetName val="Cover_sheet"/>
      <sheetName val="REVENUES_&amp;_BS11"/>
      <sheetName val="STAFFSCHED_11"/>
      <sheetName val="vemagiri_grid_earth_cal26"/>
      <sheetName val="PACK_(B)11"/>
      <sheetName val="AutoOpen_Stub_Data7"/>
      <sheetName val="Reco_C-47"/>
      <sheetName val="RATE-ANAY_7"/>
      <sheetName val="11B_7"/>
      <sheetName val="PPA_Summary26"/>
      <sheetName val="RCC,Ret__Wall26"/>
      <sheetName val="DETAILED__BOQ26"/>
      <sheetName val="FITZ_MORT_949"/>
      <sheetName val="Fill_this_out_first___9"/>
      <sheetName val="bs_BP_04_SA3"/>
      <sheetName val="Load_Details(B2)7"/>
      <sheetName val="b_s_chalam2"/>
      <sheetName val="220kv_(2)2"/>
      <sheetName val="SPT_vs_PHI2"/>
      <sheetName val="DSLP_CALCULATION1"/>
      <sheetName val="PTS-0885_Hard1"/>
      <sheetName val="hydraulical_model2"/>
      <sheetName val="eq_info2"/>
      <sheetName val="BC_&amp;_MNB_1"/>
      <sheetName val="Appendix_CC2_041"/>
      <sheetName val="Field_Values1"/>
      <sheetName val="schedule_nos1"/>
      <sheetName val="DM_tANK_Allow1"/>
      <sheetName val="Cover_sheet1"/>
      <sheetName val="REVENUES_&amp;_BS12"/>
      <sheetName val="STAFFSCHED_12"/>
      <sheetName val="vemagiri_grid_earth_cal27"/>
      <sheetName val="PACK_(B)12"/>
      <sheetName val="AutoOpen_Stub_Data8"/>
      <sheetName val="Reco_C-48"/>
      <sheetName val="RATE-ANAY_8"/>
      <sheetName val="11B_8"/>
      <sheetName val="PPA_Summary27"/>
      <sheetName val="RCC,Ret__Wall27"/>
      <sheetName val="DETAILED__BOQ27"/>
      <sheetName val="FITZ_MORT_9410"/>
      <sheetName val="Fill_this_out_first___10"/>
      <sheetName val="bs_BP_04_SA4"/>
      <sheetName val="Load_Details(B2)8"/>
      <sheetName val="b_s_chalam3"/>
      <sheetName val="220kv_(2)3"/>
      <sheetName val="SPT_vs_PHI3"/>
      <sheetName val="DSLP_CALCULATION2"/>
      <sheetName val="PTS-0885_Hard2"/>
      <sheetName val="hydraulical_model3"/>
      <sheetName val="eq_info3"/>
      <sheetName val="BC_&amp;_MNB_2"/>
      <sheetName val="Appendix_CC2_042"/>
      <sheetName val="Field_Values2"/>
      <sheetName val="schedule_nos2"/>
      <sheetName val="DM_tANK_Allow2"/>
      <sheetName val="Cover_sheet2"/>
      <sheetName val="CO_FORMS"/>
      <sheetName val="Load_Details-220kV"/>
      <sheetName val="REVENUES_&amp;_BS13"/>
      <sheetName val="STAFFSCHED_13"/>
      <sheetName val="vemagiri_grid_earth_cal28"/>
      <sheetName val="PACK_(B)13"/>
      <sheetName val="AutoOpen_Stub_Data9"/>
      <sheetName val="Reco_C-49"/>
      <sheetName val="RATE-ANAY_9"/>
      <sheetName val="11B_9"/>
      <sheetName val="PPA_Summary28"/>
      <sheetName val="RCC,Ret__Wall28"/>
      <sheetName val="DETAILED__BOQ28"/>
      <sheetName val="FITZ_MORT_9411"/>
      <sheetName val="Fill_this_out_first___11"/>
      <sheetName val="bs_BP_04_SA5"/>
      <sheetName val="Load_Details(B2)9"/>
      <sheetName val="b_s_chalam4"/>
      <sheetName val="220kv_(2)4"/>
      <sheetName val="SPT_vs_PHI4"/>
      <sheetName val="DSLP_CALCULATION3"/>
      <sheetName val="PTS-0885_Hard3"/>
      <sheetName val="hydraulical_model4"/>
      <sheetName val="eq_info4"/>
      <sheetName val="BC_&amp;_MNB_3"/>
      <sheetName val="Appendix_CC2_043"/>
      <sheetName val="Field_Values3"/>
      <sheetName val="schedule_nos3"/>
      <sheetName val="DM_tANK_Allow3"/>
      <sheetName val="Cover_sheet3"/>
      <sheetName val="CO_FORMS1"/>
      <sheetName val="Load_Details-220kV1"/>
      <sheetName val="REVENUES_&amp;_BS14"/>
      <sheetName val="STAFFSCHED_14"/>
      <sheetName val="vemagiri_grid_earth_cal29"/>
      <sheetName val="PACK_(B)14"/>
      <sheetName val="AutoOpen_Stub_Data10"/>
      <sheetName val="Reco_C-410"/>
      <sheetName val="RATE-ANAY_10"/>
      <sheetName val="11B_10"/>
      <sheetName val="PPA_Summary29"/>
      <sheetName val="RCC,Ret__Wall29"/>
      <sheetName val="DETAILED__BOQ29"/>
      <sheetName val="FITZ_MORT_9412"/>
      <sheetName val="Fill_this_out_first___12"/>
      <sheetName val="bs_BP_04_SA6"/>
      <sheetName val="Load_Details(B2)10"/>
      <sheetName val="b_s_chalam5"/>
      <sheetName val="220kv_(2)5"/>
      <sheetName val="SPT_vs_PHI5"/>
      <sheetName val="DSLP_CALCULATION4"/>
      <sheetName val="PTS-0885_Hard4"/>
      <sheetName val="hydraulical_model5"/>
      <sheetName val="eq_info5"/>
      <sheetName val="BC_&amp;_MNB_4"/>
      <sheetName val="Appendix_CC2_044"/>
      <sheetName val="Field_Values4"/>
      <sheetName val="schedule_nos4"/>
      <sheetName val="DM_tANK_Allow4"/>
      <sheetName val="Cover_sheet4"/>
      <sheetName val="CO_FORMS2"/>
      <sheetName val="Load_Details-220kV2"/>
      <sheetName val="REVENUES_&amp;_BS15"/>
      <sheetName val="STAFFSCHED_15"/>
      <sheetName val="vemagiri_grid_earth_cal30"/>
      <sheetName val="PACK_(B)15"/>
      <sheetName val="AutoOpen_Stub_Data11"/>
      <sheetName val="Reco_C-411"/>
      <sheetName val="RATE-ANAY_11"/>
      <sheetName val="11B_11"/>
      <sheetName val="PPA_Summary30"/>
      <sheetName val="RCC,Ret__Wall30"/>
      <sheetName val="DETAILED__BOQ30"/>
      <sheetName val="FITZ_MORT_9413"/>
      <sheetName val="Fill_this_out_first___13"/>
      <sheetName val="bs_BP_04_SA7"/>
      <sheetName val="Load_Details(B2)11"/>
      <sheetName val="b_s_chalam6"/>
      <sheetName val="220kv_(2)6"/>
      <sheetName val="SPT_vs_PHI6"/>
      <sheetName val="DSLP_CALCULATION5"/>
      <sheetName val="PTS-0885_Hard5"/>
      <sheetName val="hydraulical_model6"/>
      <sheetName val="eq_info6"/>
      <sheetName val="BC_&amp;_MNB_5"/>
      <sheetName val="Appendix_CC2_045"/>
      <sheetName val="Field_Values5"/>
      <sheetName val="schedule_nos5"/>
      <sheetName val="DM_tANK_Allow5"/>
      <sheetName val="Cover_sheet5"/>
      <sheetName val="CO_FORMS3"/>
      <sheetName val="Load_Details-220kV3"/>
      <sheetName val="REVENUES_&amp;_BS16"/>
      <sheetName val="STAFFSCHED_16"/>
      <sheetName val="vemagiri_grid_earth_cal31"/>
      <sheetName val="PACK_(B)16"/>
      <sheetName val="AutoOpen_Stub_Data12"/>
      <sheetName val="Reco_C-412"/>
      <sheetName val="RATE-ANAY_12"/>
      <sheetName val="11B_12"/>
      <sheetName val="PPA_Summary31"/>
      <sheetName val="RCC,Ret__Wall31"/>
      <sheetName val="DETAILED__BOQ31"/>
      <sheetName val="FITZ_MORT_9414"/>
      <sheetName val="Fill_this_out_first___14"/>
      <sheetName val="bs_BP_04_SA8"/>
      <sheetName val="Load_Details(B2)12"/>
      <sheetName val="b_s_chalam7"/>
      <sheetName val="220kv_(2)7"/>
      <sheetName val="SPT_vs_PHI7"/>
      <sheetName val="DSLP_CALCULATION6"/>
      <sheetName val="PTS-0885_Hard6"/>
      <sheetName val="hydraulical_model7"/>
      <sheetName val="eq_info7"/>
      <sheetName val="BC_&amp;_MNB_6"/>
      <sheetName val="Appendix_CC2_046"/>
      <sheetName val="Field_Values6"/>
      <sheetName val="schedule_nos6"/>
      <sheetName val="DM_tANK_Allow6"/>
      <sheetName val="Cover_sheet6"/>
      <sheetName val="CO_FORMS4"/>
      <sheetName val="Load_Details-220kV4"/>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ow r="27">
          <cell r="F27">
            <v>475</v>
          </cell>
        </row>
      </sheetData>
      <sheetData sheetId="146"/>
      <sheetData sheetId="147"/>
      <sheetData sheetId="148"/>
      <sheetData sheetId="149"/>
      <sheetData sheetId="150">
        <row r="27">
          <cell r="F27">
            <v>475</v>
          </cell>
        </row>
      </sheetData>
      <sheetData sheetId="151"/>
      <sheetData sheetId="152"/>
      <sheetData sheetId="153"/>
      <sheetData sheetId="154"/>
      <sheetData sheetId="155"/>
      <sheetData sheetId="156">
        <row r="27">
          <cell r="F27">
            <v>475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row r="27">
          <cell r="F27">
            <v>475</v>
          </cell>
        </row>
      </sheetData>
      <sheetData sheetId="286">
        <row r="27">
          <cell r="F27">
            <v>475</v>
          </cell>
        </row>
      </sheetData>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 val="Dom"/>
      <sheetName val="Assessment Sheet"/>
      <sheetName val="purpose&amp;input"/>
      <sheetName val="girder"/>
      <sheetName val="장비"/>
      <sheetName val="33628-Rev. A"/>
      <sheetName val="Copy%20of%20Battery%20Sizing%20"/>
      <sheetName val="det_est"/>
      <sheetName val="pvc"/>
      <sheetName val="HDPE"/>
      <sheetName val="DI"/>
      <sheetName val="SPT_vs_PHI"/>
      <sheetName val="Basis"/>
      <sheetName val="Assumptions"/>
      <sheetName val="C.S.GENERATION"/>
      <sheetName val="No__of_cells21"/>
      <sheetName val="Load_Summary21"/>
      <sheetName val="AH_cal21"/>
      <sheetName val="K_factor21"/>
      <sheetName val="PACK_(B)21"/>
      <sheetName val="SC_Cost_FEB_0319"/>
      <sheetName val="Executive_Summary_-Thermal19"/>
      <sheetName val="Stationwise_Thermal_&amp;_Hydel_G19"/>
      <sheetName val="Rate_Analysis17"/>
      <sheetName val="Material_16"/>
      <sheetName val="Labour_&amp;_Plant16"/>
      <sheetName val="Anex-1_Con_Load16"/>
      <sheetName val="DETAILED__BOQ16"/>
      <sheetName val="beam-reinft-machine_rm16"/>
      <sheetName val="Fill_this_out_first___10"/>
      <sheetName val="Copy_of_Battery_Sizing_-_Work10"/>
      <sheetName val="E_&amp;_R10"/>
      <sheetName val="INPUT_SHEET10"/>
      <sheetName val="SPT_vs_PHI1"/>
      <sheetName val="No__of_cells22"/>
      <sheetName val="Load_Summary22"/>
      <sheetName val="AH_cal22"/>
      <sheetName val="K_factor22"/>
      <sheetName val="PACK_(B)22"/>
      <sheetName val="Executive_Summary_-Thermal20"/>
      <sheetName val="Stationwise_Thermal_&amp;_Hydel_G20"/>
      <sheetName val="SC_Cost_FEB_0320"/>
      <sheetName val="Rate_Analysis18"/>
      <sheetName val="Material_17"/>
      <sheetName val="Labour_&amp;_Plant17"/>
      <sheetName val="Anex-1_Con_Load17"/>
      <sheetName val="DETAILED__BOQ17"/>
      <sheetName val="beam-reinft-machine_rm17"/>
      <sheetName val="Fill_this_out_first___11"/>
      <sheetName val="Copy_of_Battery_Sizing_-_Work11"/>
      <sheetName val="E_&amp;_R11"/>
      <sheetName val="INPUT_SHEET11"/>
      <sheetName val="No__of_cells23"/>
      <sheetName val="Load_Summary23"/>
      <sheetName val="AH_cal23"/>
      <sheetName val="K_factor23"/>
      <sheetName val="PACK_(B)23"/>
      <sheetName val="SC_Cost_FEB_0321"/>
      <sheetName val="Executive_Summary_-Thermal21"/>
      <sheetName val="Stationwise_Thermal_&amp;_Hydel_G21"/>
      <sheetName val="Rate_Analysis19"/>
      <sheetName val="Material_18"/>
      <sheetName val="Labour_&amp;_Plant18"/>
      <sheetName val="Anex-1_Con_Load18"/>
      <sheetName val="DETAILED__BOQ18"/>
      <sheetName val="beam-reinft-machine_rm18"/>
      <sheetName val="Fill_this_out_first___12"/>
      <sheetName val="Copy_of_Battery_Sizing_-_Work12"/>
      <sheetName val="E_&amp;_R12"/>
      <sheetName val="INPUT_SHEET12"/>
      <sheetName val="SPT_vs_PHI2"/>
      <sheetName val="No__of_cells28"/>
      <sheetName val="Load_Summary28"/>
      <sheetName val="AH_cal28"/>
      <sheetName val="K_factor28"/>
      <sheetName val="PACK_(B)28"/>
      <sheetName val="SC_Cost_FEB_0326"/>
      <sheetName val="Executive_Summary_-Thermal26"/>
      <sheetName val="Stationwise_Thermal_&amp;_Hydel_G26"/>
      <sheetName val="Rate_Analysis24"/>
      <sheetName val="Material_23"/>
      <sheetName val="Labour_&amp;_Plant23"/>
      <sheetName val="Anex-1_Con_Load23"/>
      <sheetName val="DETAILED__BOQ23"/>
      <sheetName val="beam-reinft-machine_rm23"/>
      <sheetName val="Fill_this_out_first___17"/>
      <sheetName val="Copy_of_Battery_Sizing_-_Work17"/>
      <sheetName val="E_&amp;_R17"/>
      <sheetName val="INPUT_SHEET17"/>
      <sheetName val="SPT_vs_PHI7"/>
      <sheetName val="No__of_cells27"/>
      <sheetName val="Load_Summary27"/>
      <sheetName val="AH_cal27"/>
      <sheetName val="K_factor27"/>
      <sheetName val="PACK_(B)27"/>
      <sheetName val="SC_Cost_FEB_0325"/>
      <sheetName val="Executive_Summary_-Thermal25"/>
      <sheetName val="Stationwise_Thermal_&amp;_Hydel_G25"/>
      <sheetName val="Rate_Analysis23"/>
      <sheetName val="Material_22"/>
      <sheetName val="Labour_&amp;_Plant22"/>
      <sheetName val="Anex-1_Con_Load22"/>
      <sheetName val="DETAILED__BOQ22"/>
      <sheetName val="beam-reinft-machine_rm22"/>
      <sheetName val="Fill_this_out_first___16"/>
      <sheetName val="Copy_of_Battery_Sizing_-_Work16"/>
      <sheetName val="E_&amp;_R16"/>
      <sheetName val="INPUT_SHEET16"/>
      <sheetName val="SPT_vs_PHI6"/>
      <sheetName val="No__of_cells24"/>
      <sheetName val="Load_Summary24"/>
      <sheetName val="AH_cal24"/>
      <sheetName val="K_factor24"/>
      <sheetName val="PACK_(B)24"/>
      <sheetName val="SC_Cost_FEB_0322"/>
      <sheetName val="Executive_Summary_-Thermal22"/>
      <sheetName val="Stationwise_Thermal_&amp;_Hydel_G22"/>
      <sheetName val="Rate_Analysis20"/>
      <sheetName val="Material_19"/>
      <sheetName val="Labour_&amp;_Plant19"/>
      <sheetName val="Anex-1_Con_Load19"/>
      <sheetName val="DETAILED__BOQ19"/>
      <sheetName val="beam-reinft-machine_rm19"/>
      <sheetName val="Fill_this_out_first___13"/>
      <sheetName val="Copy_of_Battery_Sizing_-_Work13"/>
      <sheetName val="E_&amp;_R13"/>
      <sheetName val="INPUT_SHEET13"/>
      <sheetName val="SPT_vs_PHI3"/>
      <sheetName val="No__of_cells25"/>
      <sheetName val="Load_Summary25"/>
      <sheetName val="AH_cal25"/>
      <sheetName val="K_factor25"/>
      <sheetName val="PACK_(B)25"/>
      <sheetName val="SC_Cost_FEB_0323"/>
      <sheetName val="Executive_Summary_-Thermal23"/>
      <sheetName val="Stationwise_Thermal_&amp;_Hydel_G23"/>
      <sheetName val="Rate_Analysis21"/>
      <sheetName val="Material_20"/>
      <sheetName val="Labour_&amp;_Plant20"/>
      <sheetName val="Anex-1_Con_Load20"/>
      <sheetName val="DETAILED__BOQ20"/>
      <sheetName val="beam-reinft-machine_rm20"/>
      <sheetName val="Fill_this_out_first___14"/>
      <sheetName val="Copy_of_Battery_Sizing_-_Work14"/>
      <sheetName val="E_&amp;_R14"/>
      <sheetName val="INPUT_SHEET14"/>
      <sheetName val="SPT_vs_PHI4"/>
      <sheetName val="No__of_cells26"/>
      <sheetName val="Load_Summary26"/>
      <sheetName val="AH_cal26"/>
      <sheetName val="K_factor26"/>
      <sheetName val="PACK_(B)26"/>
      <sheetName val="SC_Cost_FEB_0324"/>
      <sheetName val="Executive_Summary_-Thermal24"/>
      <sheetName val="Stationwise_Thermal_&amp;_Hydel_G24"/>
      <sheetName val="Rate_Analysis22"/>
      <sheetName val="Material_21"/>
      <sheetName val="Labour_&amp;_Plant21"/>
      <sheetName val="Anex-1_Con_Load21"/>
      <sheetName val="DETAILED__BOQ21"/>
      <sheetName val="beam-reinft-machine_rm21"/>
      <sheetName val="Fill_this_out_first___15"/>
      <sheetName val="Copy_of_Battery_Sizing_-_Work15"/>
      <sheetName val="E_&amp;_R15"/>
      <sheetName val="INPUT_SHEET15"/>
      <sheetName val="SPT_vs_PHI5"/>
      <sheetName val="No__of_cells29"/>
      <sheetName val="Load_Summary29"/>
      <sheetName val="AH_cal29"/>
      <sheetName val="K_factor29"/>
      <sheetName val="PACK_(B)29"/>
      <sheetName val="SC_Cost_FEB_0327"/>
      <sheetName val="Executive_Summary_-Thermal27"/>
      <sheetName val="Stationwise_Thermal_&amp;_Hydel_G27"/>
      <sheetName val="Rate_Analysis25"/>
      <sheetName val="Material_24"/>
      <sheetName val="Labour_&amp;_Plant24"/>
      <sheetName val="Anex-1_Con_Load24"/>
      <sheetName val="DETAILED__BOQ24"/>
      <sheetName val="beam-reinft-machine_rm24"/>
      <sheetName val="Fill_this_out_first___18"/>
      <sheetName val="Copy_of_Battery_Sizing_-_Work18"/>
      <sheetName val="E_&amp;_R18"/>
      <sheetName val="INPUT_SHEET18"/>
      <sheetName val="SPT_vs_PHI8"/>
      <sheetName val="No__of_cells32"/>
      <sheetName val="Load_Summary32"/>
      <sheetName val="AH_cal32"/>
      <sheetName val="K_factor32"/>
      <sheetName val="PACK_(B)32"/>
      <sheetName val="SC_Cost_FEB_0330"/>
      <sheetName val="Executive_Summary_-Thermal30"/>
      <sheetName val="Stationwise_Thermal_&amp;_Hydel_G30"/>
      <sheetName val="Rate_Analysis28"/>
      <sheetName val="Material_27"/>
      <sheetName val="Labour_&amp;_Plant27"/>
      <sheetName val="Anex-1_Con_Load27"/>
      <sheetName val="DETAILED__BOQ27"/>
      <sheetName val="beam-reinft-machine_rm27"/>
      <sheetName val="Fill_this_out_first___21"/>
      <sheetName val="Copy_of_Battery_Sizing_-_Work21"/>
      <sheetName val="E_&amp;_R21"/>
      <sheetName val="INPUT_SHEET21"/>
      <sheetName val="SPT_vs_PHI11"/>
      <sheetName val="No__of_cells30"/>
      <sheetName val="Load_Summary30"/>
      <sheetName val="AH_cal30"/>
      <sheetName val="K_factor30"/>
      <sheetName val="PACK_(B)30"/>
      <sheetName val="SC_Cost_FEB_0328"/>
      <sheetName val="Executive_Summary_-Thermal28"/>
      <sheetName val="Stationwise_Thermal_&amp;_Hydel_G28"/>
      <sheetName val="Rate_Analysis26"/>
      <sheetName val="Material_25"/>
      <sheetName val="Labour_&amp;_Plant25"/>
      <sheetName val="Anex-1_Con_Load25"/>
      <sheetName val="DETAILED__BOQ25"/>
      <sheetName val="beam-reinft-machine_rm25"/>
      <sheetName val="Fill_this_out_first___19"/>
      <sheetName val="Copy_of_Battery_Sizing_-_Work19"/>
      <sheetName val="E_&amp;_R19"/>
      <sheetName val="INPUT_SHEET19"/>
      <sheetName val="SPT_vs_PHI9"/>
      <sheetName val="No__of_cells31"/>
      <sheetName val="Load_Summary31"/>
      <sheetName val="AH_cal31"/>
      <sheetName val="K_factor31"/>
      <sheetName val="PACK_(B)31"/>
      <sheetName val="SC_Cost_FEB_0329"/>
      <sheetName val="Executive_Summary_-Thermal29"/>
      <sheetName val="Stationwise_Thermal_&amp;_Hydel_G29"/>
      <sheetName val="Rate_Analysis27"/>
      <sheetName val="Material_26"/>
      <sheetName val="Labour_&amp;_Plant26"/>
      <sheetName val="Anex-1_Con_Load26"/>
      <sheetName val="DETAILED__BOQ26"/>
      <sheetName val="beam-reinft-machine_rm26"/>
      <sheetName val="Fill_this_out_first___20"/>
      <sheetName val="Copy_of_Battery_Sizing_-_Work20"/>
      <sheetName val="E_&amp;_R20"/>
      <sheetName val="INPUT_SHEET20"/>
      <sheetName val="SPT_vs_PHI10"/>
      <sheetName val="MAINBS1"/>
      <sheetName val="No__of_cells33"/>
      <sheetName val="Load_Summary33"/>
      <sheetName val="AH_cal33"/>
      <sheetName val="K_factor33"/>
      <sheetName val="PACK_(B)33"/>
      <sheetName val="SC_Cost_FEB_0331"/>
      <sheetName val="Executive_Summary_-Thermal31"/>
      <sheetName val="Stationwise_Thermal_&amp;_Hydel_G31"/>
      <sheetName val="Rate_Analysis29"/>
      <sheetName val="Material_28"/>
      <sheetName val="Labour_&amp;_Plant28"/>
      <sheetName val="Anex-1_Con_Load28"/>
      <sheetName val="DETAILED__BOQ28"/>
      <sheetName val="beam-reinft-machine_rm28"/>
      <sheetName val="Fill_this_out_first___22"/>
      <sheetName val="Copy_of_Battery_Sizing_-_Work22"/>
      <sheetName val="E_&amp;_R22"/>
      <sheetName val="INPUT_SHEET22"/>
      <sheetName val="SPT_vs_PHI12"/>
      <sheetName val="33628-Rev__A"/>
      <sheetName val="C_S_GENERATION"/>
      <sheetName val="No__of_cells34"/>
      <sheetName val="Load_Summary34"/>
      <sheetName val="AH_cal34"/>
      <sheetName val="K_factor34"/>
      <sheetName val="PACK_(B)34"/>
      <sheetName val="SC_Cost_FEB_0332"/>
      <sheetName val="Executive_Summary_-Thermal32"/>
      <sheetName val="Stationwise_Thermal_&amp;_Hydel_G32"/>
      <sheetName val="Rate_Analysis30"/>
      <sheetName val="Material_29"/>
      <sheetName val="Labour_&amp;_Plant29"/>
      <sheetName val="Anex-1_Con_Load29"/>
      <sheetName val="DETAILED__BOQ29"/>
      <sheetName val="beam-reinft-machine_rm29"/>
      <sheetName val="Fill_this_out_first___23"/>
      <sheetName val="Copy_of_Battery_Sizing_-_Work23"/>
      <sheetName val="E_&amp;_R23"/>
      <sheetName val="INPUT_SHEET23"/>
      <sheetName val="SPT_vs_PHI13"/>
      <sheetName val="33628-Rev__A1"/>
      <sheetName val="C_S_GENERATION1"/>
      <sheetName val="No__of_cells35"/>
      <sheetName val="Load_Summary35"/>
      <sheetName val="AH_cal35"/>
      <sheetName val="K_factor35"/>
      <sheetName val="PACK_(B)35"/>
      <sheetName val="SC_Cost_FEB_0333"/>
      <sheetName val="Executive_Summary_-Thermal33"/>
      <sheetName val="Stationwise_Thermal_&amp;_Hydel_G33"/>
      <sheetName val="Rate_Analysis31"/>
      <sheetName val="Material_30"/>
      <sheetName val="Labour_&amp;_Plant30"/>
      <sheetName val="Anex-1_Con_Load30"/>
      <sheetName val="DETAILED__BOQ30"/>
      <sheetName val="beam-reinft-machine_rm30"/>
      <sheetName val="Fill_this_out_first___24"/>
      <sheetName val="Copy_of_Battery_Sizing_-_Work24"/>
      <sheetName val="E_&amp;_R24"/>
      <sheetName val="INPUT_SHEET24"/>
      <sheetName val="SPT_vs_PHI14"/>
      <sheetName val="33628-Rev__A2"/>
      <sheetName val="C_S_GENERATION2"/>
      <sheetName val="No__of_cells36"/>
      <sheetName val="Load_Summary36"/>
      <sheetName val="AH_cal36"/>
      <sheetName val="K_factor36"/>
      <sheetName val="PACK_(B)36"/>
      <sheetName val="SC_Cost_FEB_0334"/>
      <sheetName val="Executive_Summary_-Thermal34"/>
      <sheetName val="Stationwise_Thermal_&amp;_Hydel_G34"/>
      <sheetName val="Rate_Analysis32"/>
      <sheetName val="Material_31"/>
      <sheetName val="Labour_&amp;_Plant31"/>
      <sheetName val="Anex-1_Con_Load31"/>
      <sheetName val="DETAILED__BOQ31"/>
      <sheetName val="beam-reinft-machine_rm31"/>
      <sheetName val="Fill_this_out_first___25"/>
      <sheetName val="Copy_of_Battery_Sizing_-_Work25"/>
      <sheetName val="E_&amp;_R25"/>
      <sheetName val="INPUT_SHEET25"/>
      <sheetName val="SPT_vs_PHI15"/>
      <sheetName val="33628-Rev__A3"/>
      <sheetName val="C_S_GENERATION3"/>
      <sheetName val="No__of_cells37"/>
      <sheetName val="Load_Summary37"/>
      <sheetName val="AH_cal37"/>
      <sheetName val="K_factor37"/>
      <sheetName val="PACK_(B)37"/>
      <sheetName val="SC_Cost_FEB_0335"/>
      <sheetName val="Executive_Summary_-Thermal35"/>
      <sheetName val="Stationwise_Thermal_&amp;_Hydel_G35"/>
      <sheetName val="Rate_Analysis33"/>
      <sheetName val="Material_32"/>
      <sheetName val="Labour_&amp;_Plant32"/>
      <sheetName val="Anex-1_Con_Load32"/>
      <sheetName val="DETAILED__BOQ32"/>
      <sheetName val="beam-reinft-machine_rm32"/>
      <sheetName val="Fill_this_out_first___26"/>
      <sheetName val="Copy_of_Battery_Sizing_-_Work26"/>
      <sheetName val="E_&amp;_R26"/>
      <sheetName val="INPUT_SHEET26"/>
      <sheetName val="SPT_vs_PHI16"/>
      <sheetName val="33628-Rev__A4"/>
      <sheetName val="C_S_GENERATION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 val="Assessment Sheet"/>
      <sheetName val="N Format-5"/>
      <sheetName val="Masters"/>
      <sheetName val="SOR"/>
      <sheetName val="Database"/>
      <sheetName val="SCHEDULE"/>
      <sheetName val="schedule nos"/>
      <sheetName val="Sheet4"/>
      <sheetName val="schedule_nos"/>
      <sheetName val="schedule_nos1"/>
      <sheetName val="材料库"/>
      <sheetName val="Lead"/>
      <sheetName val="pvc"/>
      <sheetName val="Design basis-C"/>
      <sheetName val="HDPE"/>
      <sheetName val="DI"/>
      <sheetName val="Tees"/>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STN_WISE_EMR18"/>
      <sheetName val="COSTING_(import)18"/>
      <sheetName val="SchA_220kV_Line18"/>
      <sheetName val="Sch_220kV_Line_Telecom18"/>
      <sheetName val="SCH-B_LINE18"/>
      <sheetName val="SCH-B_Civil_Line18"/>
      <sheetName val="Anex-1_Con_Load18"/>
      <sheetName val="Leg_1-118"/>
      <sheetName val="Load_Details(B2)18"/>
      <sheetName val="Scheme_Area_Details_Block___C16"/>
      <sheetName val="Prop_aug_of_Ex_33KVSS_E3a16"/>
      <sheetName val="Form_616"/>
      <sheetName val="SPT_vs_PHI16"/>
      <sheetName val="Executive_Summary_-Thermal16"/>
      <sheetName val="Stationwise_Thermal_&amp;_Hydel_G16"/>
      <sheetName val="Ag_LF16"/>
      <sheetName val="Rate_Analysis10"/>
      <sheetName val="E_&amp;_R10"/>
      <sheetName val="INPUT_SHEET10"/>
      <sheetName val="final_abstract10"/>
      <sheetName val="Material_10"/>
      <sheetName val="Labour_&amp;_Plant10"/>
      <sheetName val="SC_Cost_FEB_0310"/>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STN_WISE_EMR19"/>
      <sheetName val="COSTING_(import)19"/>
      <sheetName val="SchA_220kV_Line19"/>
      <sheetName val="Sch_220kV_Line_Telecom19"/>
      <sheetName val="SCH-B_LINE19"/>
      <sheetName val="SCH-B_Civil_Line19"/>
      <sheetName val="Anex-1_Con_Load19"/>
      <sheetName val="Leg_1-119"/>
      <sheetName val="Load_Details(B2)19"/>
      <sheetName val="Scheme_Area_Details_Block___C17"/>
      <sheetName val="Prop_aug_of_Ex_33KVSS_E3a17"/>
      <sheetName val="Form_617"/>
      <sheetName val="SPT_vs_PHI17"/>
      <sheetName val="Executive_Summary_-Thermal17"/>
      <sheetName val="Stationwise_Thermal_&amp;_Hydel_G17"/>
      <sheetName val="Ag_LF17"/>
      <sheetName val="Rate_Analysis11"/>
      <sheetName val="E_&amp;_R11"/>
      <sheetName val="INPUT_SHEET11"/>
      <sheetName val="final_abstract11"/>
      <sheetName val="Material_11"/>
      <sheetName val="Labour_&amp;_Plant11"/>
      <sheetName val="SC_Cost_FEB_03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STN_WISE_EMR20"/>
      <sheetName val="COSTING_(import)20"/>
      <sheetName val="SchA_220kV_Line20"/>
      <sheetName val="Sch_220kV_Line_Telecom20"/>
      <sheetName val="SCH-B_LINE20"/>
      <sheetName val="SCH-B_Civil_Line20"/>
      <sheetName val="Anex-1_Con_Load20"/>
      <sheetName val="Leg_1-120"/>
      <sheetName val="Load_Details(B2)20"/>
      <sheetName val="Scheme_Area_Details_Block___C18"/>
      <sheetName val="Prop_aug_of_Ex_33KVSS_E3a18"/>
      <sheetName val="Form_618"/>
      <sheetName val="SPT_vs_PHI18"/>
      <sheetName val="Executive_Summary_-Thermal18"/>
      <sheetName val="Stationwise_Thermal_&amp;_Hydel_G18"/>
      <sheetName val="Ag_LF18"/>
      <sheetName val="Rate_Analysis12"/>
      <sheetName val="E_&amp;_R12"/>
      <sheetName val="INPUT_SHEET12"/>
      <sheetName val="final_abstract12"/>
      <sheetName val="Material_12"/>
      <sheetName val="Labour_&amp;_Plant12"/>
      <sheetName val="SC_Cost_FEB_0312"/>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STN_WISE_EMR25"/>
      <sheetName val="COSTING_(import)25"/>
      <sheetName val="SchA_220kV_Line25"/>
      <sheetName val="Sch_220kV_Line_Telecom25"/>
      <sheetName val="SCH-B_LINE25"/>
      <sheetName val="SCH-B_Civil_Line25"/>
      <sheetName val="Anex-1_Con_Load25"/>
      <sheetName val="Leg_1-125"/>
      <sheetName val="Load_Details(B2)25"/>
      <sheetName val="Scheme_Area_Details_Block___C32"/>
      <sheetName val="Prop_aug_of_Ex_33KVSS_E3a23"/>
      <sheetName val="Form_623"/>
      <sheetName val="SPT_vs_PHI23"/>
      <sheetName val="Executive_Summary_-Thermal23"/>
      <sheetName val="Stationwise_Thermal_&amp;_Hydel_G23"/>
      <sheetName val="Ag_LF23"/>
      <sheetName val="Rate_Analysis17"/>
      <sheetName val="E_&amp;_R17"/>
      <sheetName val="INPUT_SHEET17"/>
      <sheetName val="final_abstract17"/>
      <sheetName val="Material_17"/>
      <sheetName val="Labour_&amp;_Plant17"/>
      <sheetName val="SC_Cost_FEB_0317"/>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STN_WISE_EMR24"/>
      <sheetName val="COSTING_(import)24"/>
      <sheetName val="SchA_220kV_Line24"/>
      <sheetName val="Sch_220kV_Line_Telecom24"/>
      <sheetName val="SCH-B_LINE24"/>
      <sheetName val="SCH-B_Civil_Line24"/>
      <sheetName val="Anex-1_Con_Load24"/>
      <sheetName val="Leg_1-124"/>
      <sheetName val="Load_Details(B2)24"/>
      <sheetName val="Scheme_Area_Details_Block___C31"/>
      <sheetName val="Prop_aug_of_Ex_33KVSS_E3a22"/>
      <sheetName val="Form_622"/>
      <sheetName val="SPT_vs_PHI22"/>
      <sheetName val="Executive_Summary_-Thermal22"/>
      <sheetName val="Stationwise_Thermal_&amp;_Hydel_G22"/>
      <sheetName val="Ag_LF22"/>
      <sheetName val="Rate_Analysis16"/>
      <sheetName val="E_&amp;_R16"/>
      <sheetName val="INPUT_SHEET16"/>
      <sheetName val="final_abstract16"/>
      <sheetName val="Material_16"/>
      <sheetName val="Labour_&amp;_Plant16"/>
      <sheetName val="SC_Cost_FEB_0316"/>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STN_WISE_EMR21"/>
      <sheetName val="COSTING_(import)21"/>
      <sheetName val="SchA_220kV_Line21"/>
      <sheetName val="Sch_220kV_Line_Telecom21"/>
      <sheetName val="SCH-B_LINE21"/>
      <sheetName val="SCH-B_Civil_Line21"/>
      <sheetName val="Anex-1_Con_Load21"/>
      <sheetName val="Leg_1-121"/>
      <sheetName val="Load_Details(B2)21"/>
      <sheetName val="Scheme_Area_Details_Block___C19"/>
      <sheetName val="Prop_aug_of_Ex_33KVSS_E3a19"/>
      <sheetName val="Form_619"/>
      <sheetName val="SPT_vs_PHI19"/>
      <sheetName val="Executive_Summary_-Thermal19"/>
      <sheetName val="Stationwise_Thermal_&amp;_Hydel_G19"/>
      <sheetName val="Ag_LF19"/>
      <sheetName val="Rate_Analysis13"/>
      <sheetName val="E_&amp;_R13"/>
      <sheetName val="INPUT_SHEET13"/>
      <sheetName val="final_abstract13"/>
      <sheetName val="Material_13"/>
      <sheetName val="Labour_&amp;_Plant13"/>
      <sheetName val="SC_Cost_FEB_0313"/>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STN_WISE_EMR22"/>
      <sheetName val="COSTING_(import)22"/>
      <sheetName val="SchA_220kV_Line22"/>
      <sheetName val="Sch_220kV_Line_Telecom22"/>
      <sheetName val="SCH-B_LINE22"/>
      <sheetName val="SCH-B_Civil_Line22"/>
      <sheetName val="Anex-1_Con_Load22"/>
      <sheetName val="Leg_1-122"/>
      <sheetName val="Load_Details(B2)22"/>
      <sheetName val="Scheme_Area_Details_Block___C20"/>
      <sheetName val="Prop_aug_of_Ex_33KVSS_E3a20"/>
      <sheetName val="Form_620"/>
      <sheetName val="SPT_vs_PHI20"/>
      <sheetName val="Executive_Summary_-Thermal20"/>
      <sheetName val="Stationwise_Thermal_&amp;_Hydel_G20"/>
      <sheetName val="Ag_LF20"/>
      <sheetName val="Rate_Analysis14"/>
      <sheetName val="E_&amp;_R14"/>
      <sheetName val="INPUT_SHEET14"/>
      <sheetName val="final_abstract14"/>
      <sheetName val="Material_14"/>
      <sheetName val="Labour_&amp;_Plant14"/>
      <sheetName val="SC_Cost_FEB_0314"/>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STN_WISE_EMR23"/>
      <sheetName val="COSTING_(import)23"/>
      <sheetName val="SchA_220kV_Line23"/>
      <sheetName val="Sch_220kV_Line_Telecom23"/>
      <sheetName val="SCH-B_LINE23"/>
      <sheetName val="SCH-B_Civil_Line23"/>
      <sheetName val="Anex-1_Con_Load23"/>
      <sheetName val="Leg_1-123"/>
      <sheetName val="Load_Details(B2)23"/>
      <sheetName val="Scheme_Area_Details_Block___C30"/>
      <sheetName val="Prop_aug_of_Ex_33KVSS_E3a21"/>
      <sheetName val="Form_621"/>
      <sheetName val="SPT_vs_PHI21"/>
      <sheetName val="Executive_Summary_-Thermal21"/>
      <sheetName val="Stationwise_Thermal_&amp;_Hydel_G21"/>
      <sheetName val="Ag_LF21"/>
      <sheetName val="Rate_Analysis15"/>
      <sheetName val="E_&amp;_R15"/>
      <sheetName val="INPUT_SHEET15"/>
      <sheetName val="final_abstract15"/>
      <sheetName val="Material_15"/>
      <sheetName val="Labour_&amp;_Plant15"/>
      <sheetName val="SC_Cost_FEB_0315"/>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STN_WISE_EMR26"/>
      <sheetName val="COSTING_(import)26"/>
      <sheetName val="SchA_220kV_Line26"/>
      <sheetName val="Sch_220kV_Line_Telecom26"/>
      <sheetName val="SCH-B_LINE26"/>
      <sheetName val="SCH-B_Civil_Line26"/>
      <sheetName val="Anex-1_Con_Load26"/>
      <sheetName val="Leg_1-126"/>
      <sheetName val="Load_Details(B2)26"/>
      <sheetName val="Scheme_Area_Details_Block___C33"/>
      <sheetName val="Prop_aug_of_Ex_33KVSS_E3a24"/>
      <sheetName val="Form_624"/>
      <sheetName val="SPT_vs_PHI24"/>
      <sheetName val="Executive_Summary_-Thermal24"/>
      <sheetName val="Stationwise_Thermal_&amp;_Hydel_G24"/>
      <sheetName val="Ag_LF24"/>
      <sheetName val="Rate_Analysis18"/>
      <sheetName val="E_&amp;_R18"/>
      <sheetName val="INPUT_SHEET18"/>
      <sheetName val="final_abstract18"/>
      <sheetName val="Material_18"/>
      <sheetName val="Labour_&amp;_Plant18"/>
      <sheetName val="SC_Cost_FEB_0318"/>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STN_WISE_EMR29"/>
      <sheetName val="COSTING_(import)29"/>
      <sheetName val="SchA_220kV_Line29"/>
      <sheetName val="Sch_220kV_Line_Telecom29"/>
      <sheetName val="SCH-B_LINE29"/>
      <sheetName val="SCH-B_Civil_Line29"/>
      <sheetName val="Anex-1_Con_Load29"/>
      <sheetName val="Leg_1-129"/>
      <sheetName val="Load_Details(B2)29"/>
      <sheetName val="Scheme_Area_Details_Block___C36"/>
      <sheetName val="Prop_aug_of_Ex_33KVSS_E3a27"/>
      <sheetName val="Form_627"/>
      <sheetName val="SPT_vs_PHI27"/>
      <sheetName val="Executive_Summary_-Thermal27"/>
      <sheetName val="Stationwise_Thermal_&amp;_Hydel_G27"/>
      <sheetName val="Ag_LF27"/>
      <sheetName val="Rate_Analysis21"/>
      <sheetName val="E_&amp;_R21"/>
      <sheetName val="INPUT_SHEET21"/>
      <sheetName val="final_abstract21"/>
      <sheetName val="Material_21"/>
      <sheetName val="Labour_&amp;_Plant21"/>
      <sheetName val="SC_Cost_FEB_0321"/>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STN_WISE_EMR27"/>
      <sheetName val="COSTING_(import)27"/>
      <sheetName val="SchA_220kV_Line27"/>
      <sheetName val="Sch_220kV_Line_Telecom27"/>
      <sheetName val="SCH-B_LINE27"/>
      <sheetName val="SCH-B_Civil_Line27"/>
      <sheetName val="Anex-1_Con_Load27"/>
      <sheetName val="Leg_1-127"/>
      <sheetName val="Load_Details(B2)27"/>
      <sheetName val="Scheme_Area_Details_Block___C34"/>
      <sheetName val="Prop_aug_of_Ex_33KVSS_E3a25"/>
      <sheetName val="Form_625"/>
      <sheetName val="SPT_vs_PHI25"/>
      <sheetName val="Executive_Summary_-Thermal25"/>
      <sheetName val="Stationwise_Thermal_&amp;_Hydel_G25"/>
      <sheetName val="Ag_LF25"/>
      <sheetName val="Rate_Analysis19"/>
      <sheetName val="E_&amp;_R19"/>
      <sheetName val="INPUT_SHEET19"/>
      <sheetName val="final_abstract19"/>
      <sheetName val="Material_19"/>
      <sheetName val="Labour_&amp;_Plant19"/>
      <sheetName val="SC_Cost_FEB_0319"/>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STN_WISE_EMR28"/>
      <sheetName val="COSTING_(import)28"/>
      <sheetName val="SchA_220kV_Line28"/>
      <sheetName val="Sch_220kV_Line_Telecom28"/>
      <sheetName val="SCH-B_LINE28"/>
      <sheetName val="SCH-B_Civil_Line28"/>
      <sheetName val="Anex-1_Con_Load28"/>
      <sheetName val="Leg_1-128"/>
      <sheetName val="Load_Details(B2)28"/>
      <sheetName val="Scheme_Area_Details_Block___C35"/>
      <sheetName val="Prop_aug_of_Ex_33KVSS_E3a26"/>
      <sheetName val="Form_626"/>
      <sheetName val="SPT_vs_PHI26"/>
      <sheetName val="Executive_Summary_-Thermal26"/>
      <sheetName val="Stationwise_Thermal_&amp;_Hydel_G26"/>
      <sheetName val="Ag_LF26"/>
      <sheetName val="Rate_Analysis20"/>
      <sheetName val="E_&amp;_R20"/>
      <sheetName val="INPUT_SHEET20"/>
      <sheetName val="final_abstract20"/>
      <sheetName val="Material_20"/>
      <sheetName val="Labour_&amp;_Plant20"/>
      <sheetName val="SC_Cost_FEB_0320"/>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STN_WISE_EMR30"/>
      <sheetName val="COSTING_(import)30"/>
      <sheetName val="SchA_220kV_Line30"/>
      <sheetName val="Sch_220kV_Line_Telecom30"/>
      <sheetName val="SCH-B_LINE30"/>
      <sheetName val="SCH-B_Civil_Line30"/>
      <sheetName val="Anex-1_Con_Load30"/>
      <sheetName val="Leg_1-130"/>
      <sheetName val="Load_Details(B2)30"/>
      <sheetName val="Scheme_Area_Details_Block___C37"/>
      <sheetName val="Prop_aug_of_Ex_33KVSS_E3a28"/>
      <sheetName val="Form_628"/>
      <sheetName val="SPT_vs_PHI28"/>
      <sheetName val="Executive_Summary_-Thermal28"/>
      <sheetName val="Stationwise_Thermal_&amp;_Hydel_G28"/>
      <sheetName val="Ag_LF28"/>
      <sheetName val="Rate_Analysis22"/>
      <sheetName val="E_&amp;_R22"/>
      <sheetName val="INPUT_SHEET22"/>
      <sheetName val="final_abstract22"/>
      <sheetName val="Material_22"/>
      <sheetName val="Labour_&amp;_Plant22"/>
      <sheetName val="SC_Cost_FEB_0322"/>
      <sheetName val="schedule_nos2"/>
      <sheetName val="Design_basis-C"/>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STN_WISE_EMR31"/>
      <sheetName val="COSTING_(import)31"/>
      <sheetName val="SchA_220kV_Line31"/>
      <sheetName val="Sch_220kV_Line_Telecom31"/>
      <sheetName val="SCH-B_LINE31"/>
      <sheetName val="SCH-B_Civil_Line31"/>
      <sheetName val="Anex-1_Con_Load31"/>
      <sheetName val="Leg_1-131"/>
      <sheetName val="Load_Details(B2)31"/>
      <sheetName val="Scheme_Area_Details_Block___C38"/>
      <sheetName val="Prop_aug_of_Ex_33KVSS_E3a29"/>
      <sheetName val="Form_629"/>
      <sheetName val="SPT_vs_PHI29"/>
      <sheetName val="Executive_Summary_-Thermal29"/>
      <sheetName val="Stationwise_Thermal_&amp;_Hydel_G29"/>
      <sheetName val="Ag_LF29"/>
      <sheetName val="Rate_Analysis23"/>
      <sheetName val="E_&amp;_R23"/>
      <sheetName val="INPUT_SHEET23"/>
      <sheetName val="final_abstract23"/>
      <sheetName val="Material_23"/>
      <sheetName val="Labour_&amp;_Plant23"/>
      <sheetName val="SC_Cost_FEB_0323"/>
      <sheetName val="schedule_nos3"/>
      <sheetName val="Design_basis-C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STN_WISE_EMR32"/>
      <sheetName val="COSTING_(import)32"/>
      <sheetName val="SchA_220kV_Line32"/>
      <sheetName val="Sch_220kV_Line_Telecom32"/>
      <sheetName val="SCH-B_LINE32"/>
      <sheetName val="SCH-B_Civil_Line32"/>
      <sheetName val="Anex-1_Con_Load32"/>
      <sheetName val="Leg_1-132"/>
      <sheetName val="Load_Details(B2)32"/>
      <sheetName val="Scheme_Area_Details_Block___C39"/>
      <sheetName val="Prop_aug_of_Ex_33KVSS_E3a30"/>
      <sheetName val="Form_630"/>
      <sheetName val="SPT_vs_PHI30"/>
      <sheetName val="Executive_Summary_-Thermal30"/>
      <sheetName val="Stationwise_Thermal_&amp;_Hydel_G30"/>
      <sheetName val="Ag_LF30"/>
      <sheetName val="Rate_Analysis24"/>
      <sheetName val="E_&amp;_R24"/>
      <sheetName val="INPUT_SHEET24"/>
      <sheetName val="final_abstract24"/>
      <sheetName val="Material_24"/>
      <sheetName val="Labour_&amp;_Plant24"/>
      <sheetName val="SC_Cost_FEB_0324"/>
      <sheetName val="schedule_nos4"/>
      <sheetName val="Design_basis-C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STN_WISE_EMR33"/>
      <sheetName val="COSTING_(import)33"/>
      <sheetName val="SchA_220kV_Line33"/>
      <sheetName val="Sch_220kV_Line_Telecom33"/>
      <sheetName val="SCH-B_LINE33"/>
      <sheetName val="SCH-B_Civil_Line33"/>
      <sheetName val="Anex-1_Con_Load33"/>
      <sheetName val="Leg_1-133"/>
      <sheetName val="Load_Details(B2)33"/>
      <sheetName val="Scheme_Area_Details_Block___C40"/>
      <sheetName val="Prop_aug_of_Ex_33KVSS_E3a31"/>
      <sheetName val="Form_631"/>
      <sheetName val="SPT_vs_PHI31"/>
      <sheetName val="Executive_Summary_-Thermal31"/>
      <sheetName val="Stationwise_Thermal_&amp;_Hydel_G31"/>
      <sheetName val="Ag_LF31"/>
      <sheetName val="Rate_Analysis25"/>
      <sheetName val="E_&amp;_R25"/>
      <sheetName val="INPUT_SHEET25"/>
      <sheetName val="final_abstract25"/>
      <sheetName val="Material_25"/>
      <sheetName val="Labour_&amp;_Plant25"/>
      <sheetName val="SC_Cost_FEB_0325"/>
      <sheetName val="schedule_nos5"/>
      <sheetName val="Design_basis-C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STN_WISE_EMR34"/>
      <sheetName val="COSTING_(import)34"/>
      <sheetName val="SchA_220kV_Line34"/>
      <sheetName val="Sch_220kV_Line_Telecom34"/>
      <sheetName val="SCH-B_LINE34"/>
      <sheetName val="SCH-B_Civil_Line34"/>
      <sheetName val="Anex-1_Con_Load34"/>
      <sheetName val="Leg_1-134"/>
      <sheetName val="Load_Details(B2)34"/>
      <sheetName val="Scheme_Area_Details_Block___C41"/>
      <sheetName val="Prop_aug_of_Ex_33KVSS_E3a32"/>
      <sheetName val="Form_632"/>
      <sheetName val="SPT_vs_PHI32"/>
      <sheetName val="Executive_Summary_-Thermal32"/>
      <sheetName val="Stationwise_Thermal_&amp;_Hydel_G32"/>
      <sheetName val="Ag_LF32"/>
      <sheetName val="Rate_Analysis26"/>
      <sheetName val="E_&amp;_R26"/>
      <sheetName val="INPUT_SHEET26"/>
      <sheetName val="final_abstract26"/>
      <sheetName val="Material_26"/>
      <sheetName val="Labour_&amp;_Plant26"/>
      <sheetName val="SC_Cost_FEB_0326"/>
      <sheetName val="schedule_nos6"/>
      <sheetName val="Design_basis-C4"/>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refreshError="1"/>
      <sheetData sheetId="1020" refreshError="1"/>
      <sheetData sheetId="1021" refreshError="1"/>
      <sheetData sheetId="1022" refreshError="1"/>
      <sheetData sheetId="1023" refreshError="1"/>
      <sheetData sheetId="1024" refreshError="1"/>
      <sheetData sheetId="1025" refreshError="1"/>
      <sheetData sheetId="1026"/>
      <sheetData sheetId="1027"/>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 val="MN T.B."/>
      <sheetName val="BQMPALOC"/>
      <sheetName val="typ. column"/>
      <sheetName val="stub Column"/>
      <sheetName val="Material&amp;equipment"/>
      <sheetName val="01"/>
      <sheetName val="04"/>
      <sheetName val="Materials Cost"/>
      <sheetName val="02"/>
      <sheetName val="03"/>
      <sheetName val="Set"/>
      <sheetName val="Debits as on 12.04.08"/>
      <sheetName val="aoc-1"/>
      <sheetName val="aoc-10"/>
      <sheetName val="aoc-11"/>
      <sheetName val="aoc-2"/>
      <sheetName val="aoc-3"/>
      <sheetName val="aoc-4"/>
      <sheetName val="aoc-7"/>
      <sheetName val="aoc-8"/>
      <sheetName val="aoc-9"/>
      <sheetName val="concrete"/>
      <sheetName val="Vehicles"/>
      <sheetName val="Code"/>
      <sheetName val="macros"/>
      <sheetName val="Costing"/>
      <sheetName val="Mat.Cost"/>
      <sheetName val="LTG-STG"/>
      <sheetName val="수입"/>
      <sheetName val="N Format-5"/>
      <sheetName val="ord-lost_98&amp;99"/>
      <sheetName val="_L_-1__sub_R-bar_"/>
      <sheetName val="_L_-1__sub_R-bar_1"/>
      <sheetName val="AMBD"/>
      <sheetName val="sag-ten"/>
      <sheetName val="bom"/>
      <sheetName val="220 11  BS "/>
      <sheetName val="Closing"/>
      <sheetName val="Risk Te. Co."/>
      <sheetName val="Informa."/>
      <sheetName val="footing for SP"/>
      <sheetName val="wh_data"/>
      <sheetName val="wh_data_R"/>
      <sheetName val="CPHEEO"/>
      <sheetName val="input"/>
      <sheetName val=" RAFT-PC1-PC266"/>
      <sheetName val="I D FAN DECK-LHS-REINF.-17TH RA"/>
      <sheetName val="DREV"/>
      <sheetName val="CREV"/>
      <sheetName val="Settings"/>
      <sheetName val="DATA-2005-06"/>
      <sheetName val="India F&amp;S Template"/>
      <sheetName val="Core Data"/>
      <sheetName val="Rates"/>
      <sheetName val="PH data"/>
      <sheetName val="CALCULATION"/>
      <sheetName val="Cash2"/>
      <sheetName val="Z"/>
      <sheetName val="Config"/>
      <sheetName val="P-Ins &amp; Bonds"/>
      <sheetName val="Basic_Rate"/>
      <sheetName val="INFLUENCES_ON_GM"/>
      <sheetName val="acevsSp_(ABC)"/>
      <sheetName val="Anex-1_Con_Load23"/>
      <sheetName val="Listes_de_Sélection20"/>
      <sheetName val="Addl_4019"/>
      <sheetName val="Fee_Rate_Summary18"/>
      <sheetName val="Administrative_Prices18"/>
      <sheetName val="11B_18"/>
      <sheetName val="STEEL_STRUCTURE18"/>
      <sheetName val="Fin_Sum18"/>
      <sheetName val="Fill_this_out_first___18"/>
      <sheetName val="BOQ_Direct_selling_cost18"/>
      <sheetName val="SPT_vs_PHI18"/>
      <sheetName val="Load_Details(B2)17"/>
      <sheetName val="1__NI17"/>
      <sheetName val="5__Opex17"/>
      <sheetName val="PI(LOW_LEVEL)16"/>
      <sheetName val="Cable_data16"/>
      <sheetName val="STRIP_Sizing16"/>
      <sheetName val="PRECAST_lightconc-II16"/>
      <sheetName val="BREAKUP_OF_OIL16"/>
      <sheetName val="unit_cost16"/>
      <sheetName val="TD1_16"/>
      <sheetName val="TD6_16"/>
      <sheetName val="Valve_Cl17"/>
      <sheetName val="PACK_(B)17"/>
      <sheetName val="final_abstract16"/>
      <sheetName val="precast_RC_element16"/>
      <sheetName val="220Kv_(2)16"/>
      <sheetName val="MTO_REV_2(ARMOR)16"/>
      <sheetName val="TBAL9697_-group_wise__sdpl16"/>
      <sheetName val="Pre-Sales_Form16"/>
      <sheetName val="Rate_Analysis16"/>
      <sheetName val="Listes_de_S�lection10"/>
      <sheetName val="PA-_Consutant_10"/>
      <sheetName val="SPILL_OVER10"/>
      <sheetName val="SECONDARY_DESIGN10"/>
      <sheetName val="Basic_Rate1"/>
      <sheetName val="INFLUENCES_ON_GM1"/>
      <sheetName val="acevsSp_(ABC)1"/>
      <sheetName val="Anex-1_Con_Load24"/>
      <sheetName val="Listes_de_Sélection21"/>
      <sheetName val="Addl_4020"/>
      <sheetName val="Fee_Rate_Summary19"/>
      <sheetName val="Administrative_Prices19"/>
      <sheetName val="11B_19"/>
      <sheetName val="STEEL_STRUCTURE19"/>
      <sheetName val="Fin_Sum19"/>
      <sheetName val="Fill_this_out_first___19"/>
      <sheetName val="BOQ_Direct_selling_cost19"/>
      <sheetName val="SPT_vs_PHI19"/>
      <sheetName val="Load_Details(B2)18"/>
      <sheetName val="1__NI18"/>
      <sheetName val="5__Opex18"/>
      <sheetName val="PI(LOW_LEVEL)17"/>
      <sheetName val="Cable_data17"/>
      <sheetName val="STRIP_Sizing17"/>
      <sheetName val="PRECAST_lightconc-II17"/>
      <sheetName val="BREAKUP_OF_OIL17"/>
      <sheetName val="unit_cost17"/>
      <sheetName val="TD1_17"/>
      <sheetName val="TD6_17"/>
      <sheetName val="Valve_Cl18"/>
      <sheetName val="PACK_(B)18"/>
      <sheetName val="final_abstract17"/>
      <sheetName val="precast_RC_element17"/>
      <sheetName val="220Kv_(2)17"/>
      <sheetName val="MTO_REV_2(ARMOR)17"/>
      <sheetName val="TBAL9697_-group_wise__sdpl17"/>
      <sheetName val="Pre-Sales_Form17"/>
      <sheetName val="Rate_Analysis17"/>
      <sheetName val="Listes_de_S�lection11"/>
      <sheetName val="PA-_Consutant_11"/>
      <sheetName val="SPILL_OVER11"/>
      <sheetName val="SECONDARY_DESIGN11"/>
      <sheetName val="Anex-1_Con_Load25"/>
      <sheetName val="Listes_de_Sélection22"/>
      <sheetName val="Addl_4021"/>
      <sheetName val="Fee_Rate_Summary20"/>
      <sheetName val="Administrative_Prices20"/>
      <sheetName val="11B_20"/>
      <sheetName val="STEEL_STRUCTURE20"/>
      <sheetName val="Fin_Sum20"/>
      <sheetName val="Fill_this_out_first___20"/>
      <sheetName val="BOQ_Direct_selling_cost20"/>
      <sheetName val="SPT_vs_PHI20"/>
      <sheetName val="Load_Details(B2)19"/>
      <sheetName val="1__NI19"/>
      <sheetName val="5__Opex19"/>
      <sheetName val="PI(LOW_LEVEL)18"/>
      <sheetName val="Cable_data18"/>
      <sheetName val="STRIP_Sizing18"/>
      <sheetName val="PRECAST_lightconc-II18"/>
      <sheetName val="BREAKUP_OF_OIL18"/>
      <sheetName val="unit_cost18"/>
      <sheetName val="TD1_18"/>
      <sheetName val="TD6_18"/>
      <sheetName val="Valve_Cl19"/>
      <sheetName val="PACK_(B)19"/>
      <sheetName val="final_abstract18"/>
      <sheetName val="precast_RC_element18"/>
      <sheetName val="220Kv_(2)18"/>
      <sheetName val="MTO_REV_2(ARMOR)18"/>
      <sheetName val="TBAL9697_-group_wise__sdpl18"/>
      <sheetName val="Pre-Sales_Form18"/>
      <sheetName val="Rate_Analysis18"/>
      <sheetName val="Listes_de_S�lection12"/>
      <sheetName val="PA-_Consutant_12"/>
      <sheetName val="SPILL_OVER12"/>
      <sheetName val="SECONDARY_DESIGN12"/>
      <sheetName val="Basic_Rate2"/>
      <sheetName val="INFLUENCES_ON_GM2"/>
      <sheetName val="acevsSp_(ABC)2"/>
      <sheetName val="Anex-1_Con_Load30"/>
      <sheetName val="Listes_de_Sélection27"/>
      <sheetName val="Addl_4026"/>
      <sheetName val="Fee_Rate_Summary25"/>
      <sheetName val="Administrative_Prices25"/>
      <sheetName val="11B_25"/>
      <sheetName val="STEEL_STRUCTURE25"/>
      <sheetName val="Fin_Sum25"/>
      <sheetName val="Fill_this_out_first___25"/>
      <sheetName val="BOQ_Direct_selling_cost25"/>
      <sheetName val="SPT_vs_PHI25"/>
      <sheetName val="Load_Details(B2)24"/>
      <sheetName val="1__NI24"/>
      <sheetName val="5__Opex24"/>
      <sheetName val="PI(LOW_LEVEL)23"/>
      <sheetName val="Cable_data23"/>
      <sheetName val="STRIP_Sizing23"/>
      <sheetName val="PRECAST_lightconc-II23"/>
      <sheetName val="BREAKUP_OF_OIL23"/>
      <sheetName val="Valve_Cl24"/>
      <sheetName val="PACK_(B)24"/>
      <sheetName val="final_abstract23"/>
      <sheetName val="precast_RC_element23"/>
      <sheetName val="220Kv_(2)23"/>
      <sheetName val="MTO_REV_2(ARMOR)23"/>
      <sheetName val="Pre-Sales_Form23"/>
      <sheetName val="Rate_Analysis23"/>
      <sheetName val="unit_cost23"/>
      <sheetName val="TD1_23"/>
      <sheetName val="TD6_23"/>
      <sheetName val="TBAL9697_-group_wise__sdpl23"/>
      <sheetName val="Listes_de_S�lection17"/>
      <sheetName val="PA-_Consutant_17"/>
      <sheetName val="SPILL_OVER17"/>
      <sheetName val="SECONDARY_DESIGN17"/>
      <sheetName val="Basic_Rate7"/>
      <sheetName val="INFLUENCES_ON_GM7"/>
      <sheetName val="acevsSp_(ABC)7"/>
      <sheetName val="Anex-1_Con_Load29"/>
      <sheetName val="Listes_de_Sélection26"/>
      <sheetName val="Addl_4025"/>
      <sheetName val="Fee_Rate_Summary24"/>
      <sheetName val="Administrative_Prices24"/>
      <sheetName val="11B_24"/>
      <sheetName val="STEEL_STRUCTURE24"/>
      <sheetName val="Fin_Sum24"/>
      <sheetName val="Fill_this_out_first___24"/>
      <sheetName val="BOQ_Direct_selling_cost24"/>
      <sheetName val="SPT_vs_PHI24"/>
      <sheetName val="Load_Details(B2)23"/>
      <sheetName val="1__NI23"/>
      <sheetName val="5__Opex23"/>
      <sheetName val="PI(LOW_LEVEL)22"/>
      <sheetName val="Cable_data22"/>
      <sheetName val="STRIP_Sizing22"/>
      <sheetName val="PRECAST_lightconc-II22"/>
      <sheetName val="BREAKUP_OF_OIL22"/>
      <sheetName val="Valve_Cl23"/>
      <sheetName val="PACK_(B)23"/>
      <sheetName val="final_abstract22"/>
      <sheetName val="precast_RC_element22"/>
      <sheetName val="220Kv_(2)22"/>
      <sheetName val="MTO_REV_2(ARMOR)22"/>
      <sheetName val="Pre-Sales_Form22"/>
      <sheetName val="Rate_Analysis22"/>
      <sheetName val="unit_cost22"/>
      <sheetName val="TD1_22"/>
      <sheetName val="TD6_22"/>
      <sheetName val="TBAL9697_-group_wise__sdpl22"/>
      <sheetName val="Listes_de_S�lection16"/>
      <sheetName val="PA-_Consutant_16"/>
      <sheetName val="SPILL_OVER16"/>
      <sheetName val="SECONDARY_DESIGN16"/>
      <sheetName val="Basic_Rate6"/>
      <sheetName val="INFLUENCES_ON_GM6"/>
      <sheetName val="acevsSp_(ABC)6"/>
      <sheetName val="Anex-1_Con_Load26"/>
      <sheetName val="Listes_de_Sélection23"/>
      <sheetName val="Addl_4022"/>
      <sheetName val="Fee_Rate_Summary21"/>
      <sheetName val="Administrative_Prices21"/>
      <sheetName val="11B_21"/>
      <sheetName val="STEEL_STRUCTURE21"/>
      <sheetName val="Fin_Sum21"/>
      <sheetName val="Fill_this_out_first___21"/>
      <sheetName val="BOQ_Direct_selling_cost21"/>
      <sheetName val="SPT_vs_PHI21"/>
      <sheetName val="Load_Details(B2)20"/>
      <sheetName val="1__NI20"/>
      <sheetName val="5__Opex20"/>
      <sheetName val="PI(LOW_LEVEL)19"/>
      <sheetName val="Cable_data19"/>
      <sheetName val="STRIP_Sizing19"/>
      <sheetName val="PRECAST_lightconc-II19"/>
      <sheetName val="BREAKUP_OF_OIL19"/>
      <sheetName val="Valve_Cl20"/>
      <sheetName val="PACK_(B)20"/>
      <sheetName val="final_abstract19"/>
      <sheetName val="precast_RC_element19"/>
      <sheetName val="220Kv_(2)19"/>
      <sheetName val="MTO_REV_2(ARMOR)19"/>
      <sheetName val="Pre-Sales_Form19"/>
      <sheetName val="Rate_Analysis19"/>
      <sheetName val="unit_cost19"/>
      <sheetName val="TD1_19"/>
      <sheetName val="TD6_19"/>
      <sheetName val="TBAL9697_-group_wise__sdpl19"/>
      <sheetName val="Listes_de_S�lection13"/>
      <sheetName val="PA-_Consutant_13"/>
      <sheetName val="SPILL_OVER13"/>
      <sheetName val="SECONDARY_DESIGN13"/>
      <sheetName val="Basic_Rate3"/>
      <sheetName val="INFLUENCES_ON_GM3"/>
      <sheetName val="acevsSp_(ABC)3"/>
      <sheetName val="Anex-1_Con_Load27"/>
      <sheetName val="Listes_de_Sélection24"/>
      <sheetName val="Addl_4023"/>
      <sheetName val="Fee_Rate_Summary22"/>
      <sheetName val="Administrative_Prices22"/>
      <sheetName val="11B_22"/>
      <sheetName val="STEEL_STRUCTURE22"/>
      <sheetName val="Fin_Sum22"/>
      <sheetName val="Fill_this_out_first___22"/>
      <sheetName val="BOQ_Direct_selling_cost22"/>
      <sheetName val="SPT_vs_PHI22"/>
      <sheetName val="Load_Details(B2)21"/>
      <sheetName val="1__NI21"/>
      <sheetName val="5__Opex21"/>
      <sheetName val="PI(LOW_LEVEL)20"/>
      <sheetName val="Cable_data20"/>
      <sheetName val="STRIP_Sizing20"/>
      <sheetName val="PRECAST_lightconc-II20"/>
      <sheetName val="BREAKUP_OF_OIL20"/>
      <sheetName val="Valve_Cl21"/>
      <sheetName val="PACK_(B)21"/>
      <sheetName val="final_abstract20"/>
      <sheetName val="precast_RC_element20"/>
      <sheetName val="220Kv_(2)20"/>
      <sheetName val="MTO_REV_2(ARMOR)20"/>
      <sheetName val="Pre-Sales_Form20"/>
      <sheetName val="Rate_Analysis20"/>
      <sheetName val="unit_cost20"/>
      <sheetName val="TD1_20"/>
      <sheetName val="TD6_20"/>
      <sheetName val="TBAL9697_-group_wise__sdpl20"/>
      <sheetName val="Listes_de_S�lection14"/>
      <sheetName val="PA-_Consutant_14"/>
      <sheetName val="SPILL_OVER14"/>
      <sheetName val="SECONDARY_DESIGN14"/>
      <sheetName val="Basic_Rate4"/>
      <sheetName val="INFLUENCES_ON_GM4"/>
      <sheetName val="acevsSp_(ABC)4"/>
      <sheetName val="Anex-1_Con_Load28"/>
      <sheetName val="Listes_de_Sélection25"/>
      <sheetName val="Addl_4024"/>
      <sheetName val="Fee_Rate_Summary23"/>
      <sheetName val="Administrative_Prices23"/>
      <sheetName val="11B_23"/>
      <sheetName val="STEEL_STRUCTURE23"/>
      <sheetName val="Fin_Sum23"/>
      <sheetName val="Fill_this_out_first___23"/>
      <sheetName val="BOQ_Direct_selling_cost23"/>
      <sheetName val="SPT_vs_PHI23"/>
      <sheetName val="Load_Details(B2)22"/>
      <sheetName val="1__NI22"/>
      <sheetName val="5__Opex22"/>
      <sheetName val="PI(LOW_LEVEL)21"/>
      <sheetName val="Cable_data21"/>
      <sheetName val="STRIP_Sizing21"/>
      <sheetName val="PRECAST_lightconc-II21"/>
      <sheetName val="BREAKUP_OF_OIL21"/>
      <sheetName val="Valve_Cl22"/>
      <sheetName val="PACK_(B)22"/>
      <sheetName val="final_abstract21"/>
      <sheetName val="precast_RC_element21"/>
      <sheetName val="220Kv_(2)21"/>
      <sheetName val="MTO_REV_2(ARMOR)21"/>
      <sheetName val="Pre-Sales_Form21"/>
      <sheetName val="Rate_Analysis21"/>
      <sheetName val="unit_cost21"/>
      <sheetName val="TD1_21"/>
      <sheetName val="TD6_21"/>
      <sheetName val="TBAL9697_-group_wise__sdpl21"/>
      <sheetName val="Listes_de_S�lection15"/>
      <sheetName val="PA-_Consutant_15"/>
      <sheetName val="SPILL_OVER15"/>
      <sheetName val="SECONDARY_DESIGN15"/>
      <sheetName val="Basic_Rate5"/>
      <sheetName val="INFLUENCES_ON_GM5"/>
      <sheetName val="acevsSp_(ABC)5"/>
      <sheetName val="Anex-1_Con_Load31"/>
      <sheetName val="Listes_de_Sélection28"/>
      <sheetName val="Addl_4027"/>
      <sheetName val="Fee_Rate_Summary26"/>
      <sheetName val="Administrative_Prices26"/>
      <sheetName val="11B_26"/>
      <sheetName val="STEEL_STRUCTURE26"/>
      <sheetName val="Fin_Sum26"/>
      <sheetName val="Fill_this_out_first___26"/>
      <sheetName val="BOQ_Direct_selling_cost26"/>
      <sheetName val="SPT_vs_PHI26"/>
      <sheetName val="Load_Details(B2)25"/>
      <sheetName val="1__NI25"/>
      <sheetName val="5__Opex25"/>
      <sheetName val="PI(LOW_LEVEL)24"/>
      <sheetName val="Cable_data24"/>
      <sheetName val="STRIP_Sizing24"/>
      <sheetName val="PRECAST_lightconc-II24"/>
      <sheetName val="BREAKUP_OF_OIL24"/>
      <sheetName val="Valve_Cl25"/>
      <sheetName val="PACK_(B)25"/>
      <sheetName val="final_abstract24"/>
      <sheetName val="precast_RC_element24"/>
      <sheetName val="220Kv_(2)24"/>
      <sheetName val="MTO_REV_2(ARMOR)24"/>
      <sheetName val="Pre-Sales_Form24"/>
      <sheetName val="Rate_Analysis24"/>
      <sheetName val="unit_cost24"/>
      <sheetName val="TD1_24"/>
      <sheetName val="TD6_24"/>
      <sheetName val="TBAL9697_-group_wise__sdpl24"/>
      <sheetName val="Listes_de_S�lection18"/>
      <sheetName val="PA-_Consutant_18"/>
      <sheetName val="SPILL_OVER18"/>
      <sheetName val="SECONDARY_DESIGN18"/>
      <sheetName val="Basic_Rate8"/>
      <sheetName val="INFLUENCES_ON_GM8"/>
      <sheetName val="acevsSp_(ABC)8"/>
      <sheetName val="Anex-1_Con_Load34"/>
      <sheetName val="Listes_de_Sélection31"/>
      <sheetName val="Addl_4030"/>
      <sheetName val="Fee_Rate_Summary29"/>
      <sheetName val="Administrative_Prices29"/>
      <sheetName val="11B_29"/>
      <sheetName val="STEEL_STRUCTURE29"/>
      <sheetName val="Fin_Sum29"/>
      <sheetName val="Fill_this_out_first___29"/>
      <sheetName val="BOQ_Direct_selling_cost29"/>
      <sheetName val="SPT_vs_PHI29"/>
      <sheetName val="Load_Details(B2)28"/>
      <sheetName val="1__NI28"/>
      <sheetName val="5__Opex28"/>
      <sheetName val="PI(LOW_LEVEL)27"/>
      <sheetName val="Cable_data27"/>
      <sheetName val="STRIP_Sizing27"/>
      <sheetName val="PRECAST_lightconc-II27"/>
      <sheetName val="BREAKUP_OF_OIL27"/>
      <sheetName val="Valve_Cl28"/>
      <sheetName val="PACK_(B)28"/>
      <sheetName val="final_abstract27"/>
      <sheetName val="precast_RC_element27"/>
      <sheetName val="220Kv_(2)27"/>
      <sheetName val="MTO_REV_2(ARMOR)27"/>
      <sheetName val="Pre-Sales_Form27"/>
      <sheetName val="Rate_Analysis27"/>
      <sheetName val="unit_cost27"/>
      <sheetName val="TD1_27"/>
      <sheetName val="TD6_27"/>
      <sheetName val="TBAL9697_-group_wise__sdpl27"/>
      <sheetName val="Listes_de_S�lection21"/>
      <sheetName val="PA-_Consutant_21"/>
      <sheetName val="SPILL_OVER21"/>
      <sheetName val="SECONDARY_DESIGN21"/>
      <sheetName val="Basic_Rate11"/>
      <sheetName val="INFLUENCES_ON_GM11"/>
      <sheetName val="acevsSp_(ABC)11"/>
      <sheetName val="Anex-1_Con_Load32"/>
      <sheetName val="Listes_de_Sélection29"/>
      <sheetName val="Addl_4028"/>
      <sheetName val="Fee_Rate_Summary27"/>
      <sheetName val="Administrative_Prices27"/>
      <sheetName val="11B_27"/>
      <sheetName val="STEEL_STRUCTURE27"/>
      <sheetName val="Fin_Sum27"/>
      <sheetName val="Fill_this_out_first___27"/>
      <sheetName val="BOQ_Direct_selling_cost27"/>
      <sheetName val="SPT_vs_PHI27"/>
      <sheetName val="Load_Details(B2)26"/>
      <sheetName val="1__NI26"/>
      <sheetName val="5__Opex26"/>
      <sheetName val="PI(LOW_LEVEL)25"/>
      <sheetName val="Cable_data25"/>
      <sheetName val="STRIP_Sizing25"/>
      <sheetName val="PRECAST_lightconc-II25"/>
      <sheetName val="BREAKUP_OF_OIL25"/>
      <sheetName val="Valve_Cl26"/>
      <sheetName val="PACK_(B)26"/>
      <sheetName val="final_abstract25"/>
      <sheetName val="precast_RC_element25"/>
      <sheetName val="220Kv_(2)25"/>
      <sheetName val="MTO_REV_2(ARMOR)25"/>
      <sheetName val="Pre-Sales_Form25"/>
      <sheetName val="Rate_Analysis25"/>
      <sheetName val="unit_cost25"/>
      <sheetName val="TD1_25"/>
      <sheetName val="TD6_25"/>
      <sheetName val="TBAL9697_-group_wise__sdpl25"/>
      <sheetName val="Listes_de_S�lection19"/>
      <sheetName val="PA-_Consutant_19"/>
      <sheetName val="SPILL_OVER19"/>
      <sheetName val="SECONDARY_DESIGN19"/>
      <sheetName val="Basic_Rate9"/>
      <sheetName val="INFLUENCES_ON_GM9"/>
      <sheetName val="acevsSp_(ABC)9"/>
      <sheetName val="Anex-1_Con_Load33"/>
      <sheetName val="Listes_de_Sélection30"/>
      <sheetName val="Addl_4029"/>
      <sheetName val="Fee_Rate_Summary28"/>
      <sheetName val="Administrative_Prices28"/>
      <sheetName val="11B_28"/>
      <sheetName val="STEEL_STRUCTURE28"/>
      <sheetName val="Fin_Sum28"/>
      <sheetName val="Fill_this_out_first___28"/>
      <sheetName val="BOQ_Direct_selling_cost28"/>
      <sheetName val="SPT_vs_PHI28"/>
      <sheetName val="Load_Details(B2)27"/>
      <sheetName val="1__NI27"/>
      <sheetName val="5__Opex27"/>
      <sheetName val="PI(LOW_LEVEL)26"/>
      <sheetName val="Cable_data26"/>
      <sheetName val="STRIP_Sizing26"/>
      <sheetName val="PRECAST_lightconc-II26"/>
      <sheetName val="BREAKUP_OF_OIL26"/>
      <sheetName val="Valve_Cl27"/>
      <sheetName val="PACK_(B)27"/>
      <sheetName val="final_abstract26"/>
      <sheetName val="precast_RC_element26"/>
      <sheetName val="220Kv_(2)26"/>
      <sheetName val="MTO_REV_2(ARMOR)26"/>
      <sheetName val="Pre-Sales_Form26"/>
      <sheetName val="Rate_Analysis26"/>
      <sheetName val="unit_cost26"/>
      <sheetName val="TD1_26"/>
      <sheetName val="TD6_26"/>
      <sheetName val="TBAL9697_-group_wise__sdpl26"/>
      <sheetName val="Listes_de_S�lection20"/>
      <sheetName val="PA-_Consutant_20"/>
      <sheetName val="SPILL_OVER20"/>
      <sheetName val="SECONDARY_DESIGN20"/>
      <sheetName val="Basic_Rate10"/>
      <sheetName val="INFLUENCES_ON_GM10"/>
      <sheetName val="acevsSp_(ABC)10"/>
      <sheetName val="Anex-1_Con_Load35"/>
      <sheetName val="Listes_de_Sélection32"/>
      <sheetName val="Addl_4031"/>
      <sheetName val="Fee_Rate_Summary30"/>
      <sheetName val="Administrative_Prices30"/>
      <sheetName val="11B_30"/>
      <sheetName val="STEEL_STRUCTURE30"/>
      <sheetName val="Fin_Sum30"/>
      <sheetName val="Fill_this_out_first___30"/>
      <sheetName val="BOQ_Direct_selling_cost30"/>
      <sheetName val="SPT_vs_PHI30"/>
      <sheetName val="Load_Details(B2)29"/>
      <sheetName val="1__NI29"/>
      <sheetName val="5__Opex29"/>
      <sheetName val="PI(LOW_LEVEL)28"/>
      <sheetName val="Cable_data28"/>
      <sheetName val="STRIP_Sizing28"/>
      <sheetName val="PRECAST_lightconc-II28"/>
      <sheetName val="BREAKUP_OF_OIL28"/>
      <sheetName val="Valve_Cl29"/>
      <sheetName val="PACK_(B)29"/>
      <sheetName val="final_abstract28"/>
      <sheetName val="precast_RC_element28"/>
      <sheetName val="220Kv_(2)28"/>
      <sheetName val="MTO_REV_2(ARMOR)28"/>
      <sheetName val="Pre-Sales_Form28"/>
      <sheetName val="Rate_Analysis28"/>
      <sheetName val="unit_cost28"/>
      <sheetName val="TD1_28"/>
      <sheetName val="TD6_28"/>
      <sheetName val="TBAL9697_-group_wise__sdpl28"/>
      <sheetName val="Listes_de_S�lection22"/>
      <sheetName val="PA-_Consutant_22"/>
      <sheetName val="SPILL_OVER22"/>
      <sheetName val="SECONDARY_DESIGN22"/>
      <sheetName val="Basic_Rate12"/>
      <sheetName val="INFLUENCES_ON_GM12"/>
      <sheetName val="acevsSp_(ABC)12"/>
      <sheetName val="_L_-1__sub_R-bar_2"/>
      <sheetName val="MN_T_B_"/>
      <sheetName val="typ__column"/>
      <sheetName val="stub_Column"/>
      <sheetName val="Materials_Cost"/>
      <sheetName val="Debits_as_on_12_04_08"/>
      <sheetName val="Mat_Cost"/>
      <sheetName val="INDIGINEOUS_ITEMS_"/>
      <sheetName val="220_11__BS_"/>
      <sheetName val="Risk_Te__Co_"/>
      <sheetName val="Informa_"/>
      <sheetName val="footing_for_SP"/>
      <sheetName val="_RAFT-PC1-PC266"/>
      <sheetName val="I_D_FAN_DECK-LHS-REINF_-17TH_RA"/>
      <sheetName val="India_F&amp;S_Template"/>
      <sheetName val="Core_Data"/>
      <sheetName val="PH_data"/>
      <sheetName val="P-Ins_&amp;_Bonds"/>
      <sheetName val="Anex-1_Con_Load36"/>
      <sheetName val="Listes_de_Sélection33"/>
      <sheetName val="Addl_4032"/>
      <sheetName val="Fee_Rate_Summary31"/>
      <sheetName val="Administrative_Prices31"/>
      <sheetName val="11B_31"/>
      <sheetName val="STEEL_STRUCTURE31"/>
      <sheetName val="Fin_Sum31"/>
      <sheetName val="Fill_this_out_first___31"/>
      <sheetName val="BOQ_Direct_selling_cost31"/>
      <sheetName val="SPT_vs_PHI31"/>
      <sheetName val="Load_Details(B2)30"/>
      <sheetName val="1__NI30"/>
      <sheetName val="5__Opex30"/>
      <sheetName val="PI(LOW_LEVEL)29"/>
      <sheetName val="Cable_data29"/>
      <sheetName val="STRIP_Sizing29"/>
      <sheetName val="PRECAST_lightconc-II29"/>
      <sheetName val="BREAKUP_OF_OIL29"/>
      <sheetName val="Valve_Cl30"/>
      <sheetName val="PACK_(B)30"/>
      <sheetName val="final_abstract29"/>
      <sheetName val="precast_RC_element29"/>
      <sheetName val="220Kv_(2)29"/>
      <sheetName val="MTO_REV_2(ARMOR)29"/>
      <sheetName val="Pre-Sales_Form29"/>
      <sheetName val="Rate_Analysis29"/>
      <sheetName val="unit_cost29"/>
      <sheetName val="TD1_29"/>
      <sheetName val="TD6_29"/>
      <sheetName val="TBAL9697_-group_wise__sdpl29"/>
      <sheetName val="Listes_de_S�lection23"/>
      <sheetName val="PA-_Consutant_23"/>
      <sheetName val="SPILL_OVER23"/>
      <sheetName val="SECONDARY_DESIGN23"/>
      <sheetName val="Basic_Rate13"/>
      <sheetName val="INFLUENCES_ON_GM13"/>
      <sheetName val="acevsSp_(ABC)13"/>
      <sheetName val="_L_-1__sub_R-bar_3"/>
      <sheetName val="MN_T_B_1"/>
      <sheetName val="typ__column1"/>
      <sheetName val="stub_Column1"/>
      <sheetName val="Materials_Cost1"/>
      <sheetName val="Debits_as_on_12_04_081"/>
      <sheetName val="Mat_Cost1"/>
      <sheetName val="INDIGINEOUS_ITEMS_1"/>
      <sheetName val="220_11__BS_1"/>
      <sheetName val="Risk_Te__Co_1"/>
      <sheetName val="Informa_1"/>
      <sheetName val="footing_for_SP1"/>
      <sheetName val="_RAFT-PC1-PC2661"/>
      <sheetName val="I_D_FAN_DECK-LHS-REINF_-17TH_R1"/>
      <sheetName val="India_F&amp;S_Template1"/>
      <sheetName val="Core_Data1"/>
      <sheetName val="PH_data1"/>
      <sheetName val="P-Ins_&amp;_Bonds1"/>
      <sheetName val="Anex-1_Con_Load37"/>
      <sheetName val="Listes_de_Sélection34"/>
      <sheetName val="Addl_4033"/>
      <sheetName val="Fee_Rate_Summary32"/>
      <sheetName val="Administrative_Prices32"/>
      <sheetName val="11B_32"/>
      <sheetName val="STEEL_STRUCTURE32"/>
      <sheetName val="Fin_Sum32"/>
      <sheetName val="Fill_this_out_first___32"/>
      <sheetName val="BOQ_Direct_selling_cost32"/>
      <sheetName val="SPT_vs_PHI32"/>
      <sheetName val="Load_Details(B2)31"/>
      <sheetName val="1__NI31"/>
      <sheetName val="5__Opex31"/>
      <sheetName val="PI(LOW_LEVEL)30"/>
      <sheetName val="Cable_data30"/>
      <sheetName val="STRIP_Sizing30"/>
      <sheetName val="PRECAST_lightconc-II30"/>
      <sheetName val="BREAKUP_OF_OIL30"/>
      <sheetName val="Valve_Cl31"/>
      <sheetName val="PACK_(B)31"/>
      <sheetName val="final_abstract30"/>
      <sheetName val="precast_RC_element30"/>
      <sheetName val="220Kv_(2)30"/>
      <sheetName val="MTO_REV_2(ARMOR)30"/>
      <sheetName val="Pre-Sales_Form30"/>
      <sheetName val="Rate_Analysis30"/>
      <sheetName val="unit_cost30"/>
      <sheetName val="TD1_30"/>
      <sheetName val="TD6_30"/>
      <sheetName val="TBAL9697_-group_wise__sdpl30"/>
      <sheetName val="Listes_de_S�lection24"/>
      <sheetName val="PA-_Consutant_24"/>
      <sheetName val="SPILL_OVER24"/>
      <sheetName val="SECONDARY_DESIGN24"/>
      <sheetName val="Basic_Rate14"/>
      <sheetName val="INFLUENCES_ON_GM14"/>
      <sheetName val="acevsSp_(ABC)14"/>
      <sheetName val="_L_-1__sub_R-bar_4"/>
      <sheetName val="MN_T_B_2"/>
      <sheetName val="typ__column2"/>
      <sheetName val="stub_Column2"/>
      <sheetName val="Materials_Cost2"/>
      <sheetName val="Debits_as_on_12_04_082"/>
      <sheetName val="Mat_Cost2"/>
      <sheetName val="INDIGINEOUS_ITEMS_2"/>
      <sheetName val="220_11__BS_2"/>
      <sheetName val="Risk_Te__Co_2"/>
      <sheetName val="Informa_2"/>
      <sheetName val="footing_for_SP2"/>
      <sheetName val="_RAFT-PC1-PC2662"/>
      <sheetName val="I_D_FAN_DECK-LHS-REINF_-17TH_R2"/>
      <sheetName val="India_F&amp;S_Template2"/>
      <sheetName val="Core_Data2"/>
      <sheetName val="PH_data2"/>
      <sheetName val="P-Ins_&amp;_Bonds2"/>
      <sheetName val="Anex-1_Con_Load38"/>
      <sheetName val="Listes_de_Sélection35"/>
      <sheetName val="Addl_4034"/>
      <sheetName val="Fee_Rate_Summary33"/>
      <sheetName val="Administrative_Prices33"/>
      <sheetName val="11B_33"/>
      <sheetName val="STEEL_STRUCTURE33"/>
      <sheetName val="Fin_Sum33"/>
      <sheetName val="Fill_this_out_first___33"/>
      <sheetName val="BOQ_Direct_selling_cost33"/>
      <sheetName val="SPT_vs_PHI33"/>
      <sheetName val="Load_Details(B2)32"/>
      <sheetName val="1__NI32"/>
      <sheetName val="5__Opex32"/>
      <sheetName val="PI(LOW_LEVEL)31"/>
      <sheetName val="Cable_data31"/>
      <sheetName val="STRIP_Sizing31"/>
      <sheetName val="PRECAST_lightconc-II31"/>
      <sheetName val="BREAKUP_OF_OIL31"/>
      <sheetName val="Valve_Cl32"/>
      <sheetName val="PACK_(B)32"/>
      <sheetName val="final_abstract31"/>
      <sheetName val="precast_RC_element31"/>
      <sheetName val="220Kv_(2)31"/>
      <sheetName val="MTO_REV_2(ARMOR)31"/>
      <sheetName val="Pre-Sales_Form31"/>
      <sheetName val="Rate_Analysis31"/>
      <sheetName val="unit_cost31"/>
      <sheetName val="TD1_31"/>
      <sheetName val="TD6_31"/>
      <sheetName val="TBAL9697_-group_wise__sdpl31"/>
      <sheetName val="Listes_de_S�lection25"/>
      <sheetName val="PA-_Consutant_25"/>
      <sheetName val="SPILL_OVER25"/>
      <sheetName val="SECONDARY_DESIGN25"/>
      <sheetName val="Basic_Rate15"/>
      <sheetName val="INFLUENCES_ON_GM15"/>
      <sheetName val="acevsSp_(ABC)15"/>
      <sheetName val="_L_-1__sub_R-bar_5"/>
      <sheetName val="MN_T_B_3"/>
      <sheetName val="typ__column3"/>
      <sheetName val="stub_Column3"/>
      <sheetName val="Materials_Cost3"/>
      <sheetName val="Debits_as_on_12_04_083"/>
      <sheetName val="Mat_Cost3"/>
      <sheetName val="INDIGINEOUS_ITEMS_3"/>
      <sheetName val="220_11__BS_3"/>
      <sheetName val="Risk_Te__Co_3"/>
      <sheetName val="Informa_3"/>
      <sheetName val="footing_for_SP3"/>
      <sheetName val="_RAFT-PC1-PC2663"/>
      <sheetName val="I_D_FAN_DECK-LHS-REINF_-17TH_R3"/>
      <sheetName val="India_F&amp;S_Template3"/>
      <sheetName val="Core_Data3"/>
      <sheetName val="PH_data3"/>
      <sheetName val="P-Ins_&amp;_Bonds3"/>
      <sheetName val="Anex-1_Con_Load39"/>
      <sheetName val="Listes_de_Sélection36"/>
      <sheetName val="Addl_4035"/>
      <sheetName val="Fee_Rate_Summary34"/>
      <sheetName val="Administrative_Prices34"/>
      <sheetName val="11B_34"/>
      <sheetName val="STEEL_STRUCTURE34"/>
      <sheetName val="Fin_Sum34"/>
      <sheetName val="Fill_this_out_first___34"/>
      <sheetName val="BOQ_Direct_selling_cost34"/>
      <sheetName val="SPT_vs_PHI34"/>
      <sheetName val="Load_Details(B2)33"/>
      <sheetName val="1__NI33"/>
      <sheetName val="5__Opex33"/>
      <sheetName val="PI(LOW_LEVEL)32"/>
      <sheetName val="Cable_data32"/>
      <sheetName val="STRIP_Sizing32"/>
      <sheetName val="PRECAST_lightconc-II32"/>
      <sheetName val="BREAKUP_OF_OIL32"/>
      <sheetName val="Valve_Cl33"/>
      <sheetName val="PACK_(B)33"/>
      <sheetName val="final_abstract32"/>
      <sheetName val="precast_RC_element32"/>
      <sheetName val="220Kv_(2)32"/>
      <sheetName val="MTO_REV_2(ARMOR)32"/>
      <sheetName val="Pre-Sales_Form32"/>
      <sheetName val="Rate_Analysis32"/>
      <sheetName val="unit_cost32"/>
      <sheetName val="TD1_32"/>
      <sheetName val="TD6_32"/>
      <sheetName val="TBAL9697_-group_wise__sdpl32"/>
      <sheetName val="Listes_de_S�lection26"/>
      <sheetName val="PA-_Consutant_26"/>
      <sheetName val="SPILL_OVER26"/>
      <sheetName val="SECONDARY_DESIGN26"/>
      <sheetName val="Basic_Rate16"/>
      <sheetName val="INFLUENCES_ON_GM16"/>
      <sheetName val="acevsSp_(ABC)16"/>
      <sheetName val="_L_-1__sub_R-bar_6"/>
      <sheetName val="MN_T_B_4"/>
      <sheetName val="typ__column4"/>
      <sheetName val="stub_Column4"/>
      <sheetName val="Materials_Cost4"/>
      <sheetName val="Debits_as_on_12_04_084"/>
      <sheetName val="Mat_Cost4"/>
      <sheetName val="INDIGINEOUS_ITEMS_4"/>
      <sheetName val="220_11__BS_4"/>
      <sheetName val="Risk_Te__Co_4"/>
      <sheetName val="Informa_4"/>
      <sheetName val="footing_for_SP4"/>
      <sheetName val="_RAFT-PC1-PC2664"/>
      <sheetName val="I_D_FAN_DECK-LHS-REINF_-17TH_R4"/>
      <sheetName val="India_F&amp;S_Template4"/>
      <sheetName val="Core_Data4"/>
      <sheetName val="PH_data4"/>
      <sheetName val="P-Ins_&amp;_Bonds4"/>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sheetData sheetId="779"/>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 val="PACK_(B)15"/>
      <sheetName val="Scheme_Area_Details_Block___C15"/>
      <sheetName val="E_&amp;_R14"/>
      <sheetName val="STRIP_Sizing13"/>
      <sheetName val="SPARE_MYSORE13"/>
      <sheetName val="doq-1_DOQ_Culvert13"/>
      <sheetName val="doq-1_Aoq_Culvert13"/>
      <sheetName val="DETAILED__BOQ13"/>
      <sheetName val="SPT_vs_PHI13"/>
      <sheetName val="SC_Cost_FEB_0313"/>
      <sheetName val="OPGW_Quantity_summary7"/>
      <sheetName val="doq-1_DOQ_Culvert"/>
      <sheetName val="doq-1_Aoq_Culvert"/>
      <sheetName val="DETAILED__BOQ"/>
      <sheetName val="SC_Cost_FEB_03"/>
      <sheetName val="PACK_(B)3"/>
      <sheetName val="Scheme_Area_Details_Block___C23"/>
      <sheetName val="E_&amp;_R2"/>
      <sheetName val="STRIP_Sizing1"/>
      <sheetName val="SPARE_MYSORE1"/>
      <sheetName val="doq-1_DOQ_Culvert1"/>
      <sheetName val="doq-1_Aoq_Culvert1"/>
      <sheetName val="DETAILED__BOQ1"/>
      <sheetName val="SPT_vs_PHI1"/>
      <sheetName val="SC_Cost_FEB_031"/>
      <sheetName val="PACK_(B)4"/>
      <sheetName val="Scheme_Area_Details_Block___C24"/>
      <sheetName val="E_&amp;_R3"/>
      <sheetName val="STRIP_Sizing2"/>
      <sheetName val="SPARE_MYSORE2"/>
      <sheetName val="doq-1_DOQ_Culvert2"/>
      <sheetName val="doq-1_Aoq_Culvert2"/>
      <sheetName val="DETAILED__BOQ2"/>
      <sheetName val="SPT_vs_PHI2"/>
      <sheetName val="SC_Cost_FEB_032"/>
      <sheetName val="PACK_(B)5"/>
      <sheetName val="Scheme_Area_Details_Block___C25"/>
      <sheetName val="E_&amp;_R4"/>
      <sheetName val="STRIP_Sizing3"/>
      <sheetName val="SPARE_MYSORE3"/>
      <sheetName val="doq-1_DOQ_Culvert3"/>
      <sheetName val="doq-1_Aoq_Culvert3"/>
      <sheetName val="DETAILED__BOQ3"/>
      <sheetName val="SPT_vs_PHI3"/>
      <sheetName val="SC_Cost_FEB_033"/>
      <sheetName val="PACK_(B)6"/>
      <sheetName val="Scheme_Area_Details_Block___C26"/>
      <sheetName val="E_&amp;_R5"/>
      <sheetName val="STRIP_Sizing4"/>
      <sheetName val="SPARE_MYSORE4"/>
      <sheetName val="doq-1_DOQ_Culvert4"/>
      <sheetName val="doq-1_Aoq_Culvert4"/>
      <sheetName val="DETAILED__BOQ4"/>
      <sheetName val="SPT_vs_PHI4"/>
      <sheetName val="SC_Cost_FEB_034"/>
      <sheetName val="PACK_(B)11"/>
      <sheetName val="Scheme_Area_Details_Block___C11"/>
      <sheetName val="E_&amp;_R10"/>
      <sheetName val="STRIP_Sizing9"/>
      <sheetName val="SPARE_MYSORE9"/>
      <sheetName val="doq-1_DOQ_Culvert9"/>
      <sheetName val="doq-1_Aoq_Culvert9"/>
      <sheetName val="SPT_vs_PHI9"/>
      <sheetName val="SC_Cost_FEB_039"/>
      <sheetName val="DETAILED__BOQ9"/>
      <sheetName val="PACK_(B)7"/>
      <sheetName val="Scheme_Area_Details_Block___C27"/>
      <sheetName val="E_&amp;_R6"/>
      <sheetName val="STRIP_Sizing5"/>
      <sheetName val="SPARE_MYSORE5"/>
      <sheetName val="doq-1_DOQ_Culvert5"/>
      <sheetName val="doq-1_Aoq_Culvert5"/>
      <sheetName val="DETAILED__BOQ5"/>
      <sheetName val="SPT_vs_PHI5"/>
      <sheetName val="SC_Cost_FEB_035"/>
      <sheetName val="OPGW_Quantity_summary3"/>
      <sheetName val="PACK_(B)9"/>
      <sheetName val="Scheme_Area_Details_Block___C29"/>
      <sheetName val="E_&amp;_R8"/>
      <sheetName val="STRIP_Sizing7"/>
      <sheetName val="SPARE_MYSORE7"/>
      <sheetName val="doq-1_DOQ_Culvert7"/>
      <sheetName val="doq-1_Aoq_Culvert7"/>
      <sheetName val="DETAILED__BOQ7"/>
      <sheetName val="SPT_vs_PHI7"/>
      <sheetName val="SC_Cost_FEB_037"/>
      <sheetName val="OPGW_Quantity_summary1"/>
      <sheetName val="PACK_(B)8"/>
      <sheetName val="Scheme_Area_Details_Block___C28"/>
      <sheetName val="E_&amp;_R7"/>
      <sheetName val="STRIP_Sizing6"/>
      <sheetName val="SPARE_MYSORE6"/>
      <sheetName val="doq-1_DOQ_Culvert6"/>
      <sheetName val="doq-1_Aoq_Culvert6"/>
      <sheetName val="SPT_vs_PHI6"/>
      <sheetName val="SC_Cost_FEB_036"/>
      <sheetName val="DETAILED__BOQ6"/>
      <sheetName val="OPGW_Quantity_summary"/>
      <sheetName val="PACK_(B)10"/>
      <sheetName val="Scheme_Area_Details_Block___C10"/>
      <sheetName val="E_&amp;_R9"/>
      <sheetName val="STRIP_Sizing8"/>
      <sheetName val="SPARE_MYSORE8"/>
      <sheetName val="doq-1_DOQ_Culvert8"/>
      <sheetName val="doq-1_Aoq_Culvert8"/>
      <sheetName val="SPT_vs_PHI8"/>
      <sheetName val="SC_Cost_FEB_038"/>
      <sheetName val="DETAILED__BOQ8"/>
      <sheetName val="OPGW_Quantity_summary2"/>
      <sheetName val="PACK_(B)12"/>
      <sheetName val="Scheme_Area_Details_Block___C12"/>
      <sheetName val="E_&amp;_R11"/>
      <sheetName val="STRIP_Sizing10"/>
      <sheetName val="SPARE_MYSORE10"/>
      <sheetName val="doq-1_DOQ_Culvert10"/>
      <sheetName val="doq-1_Aoq_Culvert10"/>
      <sheetName val="DETAILED__BOQ10"/>
      <sheetName val="SPT_vs_PHI10"/>
      <sheetName val="SC_Cost_FEB_0310"/>
      <sheetName val="OPGW_Quantity_summary4"/>
      <sheetName val="PACK_(B)13"/>
      <sheetName val="Scheme_Area_Details_Block___C13"/>
      <sheetName val="E_&amp;_R12"/>
      <sheetName val="STRIP_Sizing11"/>
      <sheetName val="SPARE_MYSORE11"/>
      <sheetName val="doq-1_DOQ_Culvert11"/>
      <sheetName val="doq-1_Aoq_Culvert11"/>
      <sheetName val="SPT_vs_PHI11"/>
      <sheetName val="SC_Cost_FEB_0311"/>
      <sheetName val="DETAILED__BOQ11"/>
      <sheetName val="OPGW_Quantity_summary5"/>
      <sheetName val="PACK_(B)14"/>
      <sheetName val="Scheme_Area_Details_Block___C14"/>
      <sheetName val="E_&amp;_R13"/>
      <sheetName val="STRIP_Sizing12"/>
      <sheetName val="SPARE_MYSORE12"/>
      <sheetName val="doq-1_DOQ_Culvert12"/>
      <sheetName val="doq-1_Aoq_Culvert12"/>
      <sheetName val="DETAILED__BOQ12"/>
      <sheetName val="SPT_vs_PHI12"/>
      <sheetName val="SC_Cost_FEB_0312"/>
      <sheetName val="OPGW_Quantity_summary6"/>
      <sheetName val="PACK_(B)16"/>
      <sheetName val="Scheme_Area_Details_Block___C16"/>
      <sheetName val="E_&amp;_R15"/>
      <sheetName val="STRIP_Sizing14"/>
      <sheetName val="SPARE_MYSORE14"/>
      <sheetName val="doq-1_DOQ_Culvert14"/>
      <sheetName val="doq-1_Aoq_Culvert14"/>
      <sheetName val="DETAILED__BOQ14"/>
      <sheetName val="SPT_vs_PHI14"/>
      <sheetName val="SC_Cost_FEB_0314"/>
      <sheetName val="OPGW_Quantity_summary8"/>
      <sheetName val="PACK_(B)17"/>
      <sheetName val="Scheme_Area_Details_Block___C17"/>
      <sheetName val="E_&amp;_R16"/>
      <sheetName val="STRIP_Sizing15"/>
      <sheetName val="SPARE_MYSORE15"/>
      <sheetName val="doq-1_DOQ_Culvert15"/>
      <sheetName val="doq-1_Aoq_Culvert15"/>
      <sheetName val="DETAILED__BOQ15"/>
      <sheetName val="SPT_vs_PHI15"/>
      <sheetName val="SC_Cost_FEB_0315"/>
      <sheetName val="OPGW_Quantity_summary9"/>
      <sheetName val=" L -1  sub R-bar "/>
      <sheetName val="BM"/>
      <sheetName val="Voucher"/>
      <sheetName val="Fee Rate Summary"/>
      <sheetName val="Set"/>
      <sheetName val="upa"/>
      <sheetName val="final abstract"/>
      <sheetName val="PACK_(B)18"/>
      <sheetName val="Scheme_Area_Details_Block___C18"/>
      <sheetName val="E_&amp;_R17"/>
      <sheetName val="STRIP_Sizing16"/>
      <sheetName val="SPARE_MYSORE16"/>
      <sheetName val="doq-1_DOQ_Culvert16"/>
      <sheetName val="doq-1_Aoq_Culvert16"/>
      <sheetName val="DETAILED__BOQ16"/>
      <sheetName val="SPT_vs_PHI16"/>
      <sheetName val="SC_Cost_FEB_0316"/>
      <sheetName val="OPGW_Quantity_summary10"/>
      <sheetName val="PACK_(B)19"/>
      <sheetName val="Scheme_Area_Details_Block___C19"/>
      <sheetName val="E_&amp;_R18"/>
      <sheetName val="STRIP_Sizing17"/>
      <sheetName val="SPARE_MYSORE17"/>
      <sheetName val="doq-1_DOQ_Culvert17"/>
      <sheetName val="doq-1_Aoq_Culvert17"/>
      <sheetName val="DETAILED__BOQ17"/>
      <sheetName val="SPT_vs_PHI17"/>
      <sheetName val="SC_Cost_FEB_0317"/>
      <sheetName val="OPGW_Quantity_summary11"/>
      <sheetName val="PACK_(B)20"/>
      <sheetName val="Scheme_Area_Details_Block___C20"/>
      <sheetName val="E_&amp;_R19"/>
      <sheetName val="STRIP_Sizing18"/>
      <sheetName val="SPARE_MYSORE18"/>
      <sheetName val="doq-1_DOQ_Culvert18"/>
      <sheetName val="doq-1_Aoq_Culvert18"/>
      <sheetName val="DETAILED__BOQ18"/>
      <sheetName val="SPT_vs_PHI18"/>
      <sheetName val="SC_Cost_FEB_0318"/>
      <sheetName val="OPGW_Quantity_summary12"/>
      <sheetName val="PACK_(B)25"/>
      <sheetName val="Scheme_Area_Details_Block___C34"/>
      <sheetName val="E_&amp;_R24"/>
      <sheetName val="STRIP_Sizing23"/>
      <sheetName val="SPARE_MYSORE23"/>
      <sheetName val="doq-1_DOQ_Culvert23"/>
      <sheetName val="doq-1_Aoq_Culvert23"/>
      <sheetName val="SPT_vs_PHI23"/>
      <sheetName val="SC_Cost_FEB_0323"/>
      <sheetName val="DETAILED__BOQ23"/>
      <sheetName val="OPGW_Quantity_summary17"/>
      <sheetName val="PACK_(B)24"/>
      <sheetName val="Scheme_Area_Details_Block___C33"/>
      <sheetName val="E_&amp;_R23"/>
      <sheetName val="STRIP_Sizing22"/>
      <sheetName val="SPARE_MYSORE22"/>
      <sheetName val="doq-1_DOQ_Culvert22"/>
      <sheetName val="doq-1_Aoq_Culvert22"/>
      <sheetName val="SPT_vs_PHI22"/>
      <sheetName val="SC_Cost_FEB_0322"/>
      <sheetName val="DETAILED__BOQ22"/>
      <sheetName val="OPGW_Quantity_summary16"/>
      <sheetName val="PACK_(B)21"/>
      <sheetName val="Scheme_Area_Details_Block___C30"/>
      <sheetName val="E_&amp;_R20"/>
      <sheetName val="STRIP_Sizing19"/>
      <sheetName val="SPARE_MYSORE19"/>
      <sheetName val="doq-1_DOQ_Culvert19"/>
      <sheetName val="doq-1_Aoq_Culvert19"/>
      <sheetName val="SPT_vs_PHI19"/>
      <sheetName val="SC_Cost_FEB_0319"/>
      <sheetName val="DETAILED__BOQ19"/>
      <sheetName val="OPGW_Quantity_summary13"/>
      <sheetName val="PACK_(B)22"/>
      <sheetName val="Scheme_Area_Details_Block___C31"/>
      <sheetName val="E_&amp;_R21"/>
      <sheetName val="STRIP_Sizing20"/>
      <sheetName val="SPARE_MYSORE20"/>
      <sheetName val="doq-1_DOQ_Culvert20"/>
      <sheetName val="doq-1_Aoq_Culvert20"/>
      <sheetName val="SPT_vs_PHI20"/>
      <sheetName val="SC_Cost_FEB_0320"/>
      <sheetName val="DETAILED__BOQ20"/>
      <sheetName val="OPGW_Quantity_summary14"/>
      <sheetName val="PACK_(B)23"/>
      <sheetName val="Scheme_Area_Details_Block___C32"/>
      <sheetName val="E_&amp;_R22"/>
      <sheetName val="STRIP_Sizing21"/>
      <sheetName val="SPARE_MYSORE21"/>
      <sheetName val="doq-1_DOQ_Culvert21"/>
      <sheetName val="doq-1_Aoq_Culvert21"/>
      <sheetName val="SPT_vs_PHI21"/>
      <sheetName val="SC_Cost_FEB_0321"/>
      <sheetName val="DETAILED__BOQ21"/>
      <sheetName val="OPGW_Quantity_summary15"/>
      <sheetName val="PACK_(B)26"/>
      <sheetName val="Scheme_Area_Details_Block___C35"/>
      <sheetName val="E_&amp;_R25"/>
      <sheetName val="STRIP_Sizing24"/>
      <sheetName val="SPARE_MYSORE24"/>
      <sheetName val="doq-1_DOQ_Culvert24"/>
      <sheetName val="doq-1_Aoq_Culvert24"/>
      <sheetName val="SPT_vs_PHI24"/>
      <sheetName val="SC_Cost_FEB_0324"/>
      <sheetName val="DETAILED__BOQ24"/>
      <sheetName val="OPGW_Quantity_summary18"/>
      <sheetName val="PACK_(B)29"/>
      <sheetName val="Scheme_Area_Details_Block___C38"/>
      <sheetName val="E_&amp;_R28"/>
      <sheetName val="STRIP_Sizing27"/>
      <sheetName val="SPARE_MYSORE27"/>
      <sheetName val="doq-1_DOQ_Culvert27"/>
      <sheetName val="doq-1_Aoq_Culvert27"/>
      <sheetName val="SPT_vs_PHI27"/>
      <sheetName val="SC_Cost_FEB_0327"/>
      <sheetName val="DETAILED__BOQ27"/>
      <sheetName val="OPGW_Quantity_summary21"/>
      <sheetName val="PACK_(B)27"/>
      <sheetName val="Scheme_Area_Details_Block___C36"/>
      <sheetName val="E_&amp;_R26"/>
      <sheetName val="STRIP_Sizing25"/>
      <sheetName val="SPARE_MYSORE25"/>
      <sheetName val="doq-1_DOQ_Culvert25"/>
      <sheetName val="doq-1_Aoq_Culvert25"/>
      <sheetName val="SPT_vs_PHI25"/>
      <sheetName val="SC_Cost_FEB_0325"/>
      <sheetName val="DETAILED__BOQ25"/>
      <sheetName val="OPGW_Quantity_summary19"/>
      <sheetName val="PACK_(B)28"/>
      <sheetName val="Scheme_Area_Details_Block___C37"/>
      <sheetName val="E_&amp;_R27"/>
      <sheetName val="STRIP_Sizing26"/>
      <sheetName val="SPARE_MYSORE26"/>
      <sheetName val="doq-1_DOQ_Culvert26"/>
      <sheetName val="doq-1_Aoq_Culvert26"/>
      <sheetName val="SPT_vs_PHI26"/>
      <sheetName val="SC_Cost_FEB_0326"/>
      <sheetName val="DETAILED__BOQ26"/>
      <sheetName val="OPGW_Quantity_summary20"/>
      <sheetName val="LANGUAGE"/>
      <sheetName val="PACK_(B)30"/>
      <sheetName val="Scheme_Area_Details_Block___C39"/>
      <sheetName val="E_&amp;_R29"/>
      <sheetName val="STRIP_Sizing28"/>
      <sheetName val="SPARE_MYSORE28"/>
      <sheetName val="doq-1_DOQ_Culvert28"/>
      <sheetName val="doq-1_Aoq_Culvert28"/>
      <sheetName val="SPT_vs_PHI28"/>
      <sheetName val="SC_Cost_FEB_0328"/>
      <sheetName val="DETAILED__BOQ28"/>
      <sheetName val="OPGW_Quantity_summary22"/>
      <sheetName val="_L_-1__sub_R-bar_"/>
      <sheetName val="Fee_Rate_Summary"/>
      <sheetName val="final_abstract"/>
      <sheetName val="PACK_(B)31"/>
      <sheetName val="Scheme_Area_Details_Block___C40"/>
      <sheetName val="E_&amp;_R30"/>
      <sheetName val="STRIP_Sizing29"/>
      <sheetName val="SPARE_MYSORE29"/>
      <sheetName val="doq-1_DOQ_Culvert29"/>
      <sheetName val="doq-1_Aoq_Culvert29"/>
      <sheetName val="SPT_vs_PHI29"/>
      <sheetName val="SC_Cost_FEB_0329"/>
      <sheetName val="DETAILED__BOQ29"/>
      <sheetName val="OPGW_Quantity_summary23"/>
      <sheetName val="_L_-1__sub_R-bar_1"/>
      <sheetName val="Fee_Rate_Summary1"/>
      <sheetName val="final_abstract1"/>
      <sheetName val="PACK_(B)32"/>
      <sheetName val="Scheme_Area_Details_Block___C41"/>
      <sheetName val="E_&amp;_R31"/>
      <sheetName val="STRIP_Sizing30"/>
      <sheetName val="SPARE_MYSORE30"/>
      <sheetName val="doq-1_DOQ_Culvert30"/>
      <sheetName val="doq-1_Aoq_Culvert30"/>
      <sheetName val="SPT_vs_PHI30"/>
      <sheetName val="SC_Cost_FEB_0330"/>
      <sheetName val="DETAILED__BOQ30"/>
      <sheetName val="OPGW_Quantity_summary24"/>
      <sheetName val="_L_-1__sub_R-bar_2"/>
      <sheetName val="Fee_Rate_Summary2"/>
      <sheetName val="final_abstract2"/>
      <sheetName val="PACK_(B)33"/>
      <sheetName val="Scheme_Area_Details_Block___C42"/>
      <sheetName val="E_&amp;_R32"/>
      <sheetName val="STRIP_Sizing31"/>
      <sheetName val="SPARE_MYSORE31"/>
      <sheetName val="doq-1_DOQ_Culvert31"/>
      <sheetName val="doq-1_Aoq_Culvert31"/>
      <sheetName val="SPT_vs_PHI31"/>
      <sheetName val="SC_Cost_FEB_0331"/>
      <sheetName val="DETAILED__BOQ31"/>
      <sheetName val="OPGW_Quantity_summary25"/>
      <sheetName val="_L_-1__sub_R-bar_3"/>
      <sheetName val="Fee_Rate_Summary3"/>
      <sheetName val="final_abstract3"/>
      <sheetName val="PACK_(B)34"/>
      <sheetName val="Scheme_Area_Details_Block___C43"/>
      <sheetName val="E_&amp;_R33"/>
      <sheetName val="STRIP_Sizing32"/>
      <sheetName val="SPARE_MYSORE32"/>
      <sheetName val="doq-1_DOQ_Culvert32"/>
      <sheetName val="doq-1_Aoq_Culvert32"/>
      <sheetName val="SPT_vs_PHI32"/>
      <sheetName val="SC_Cost_FEB_0332"/>
      <sheetName val="DETAILED__BOQ32"/>
      <sheetName val="OPGW_Quantity_summary26"/>
      <sheetName val="_L_-1__sub_R-bar_4"/>
      <sheetName val="Fee_Rate_Summary4"/>
      <sheetName val="final_abstract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 val="No__of_cells17"/>
      <sheetName val="Load_Summary17"/>
      <sheetName val="AH_cal17"/>
      <sheetName val="K_factor17"/>
      <sheetName val="PACK_(B)15"/>
      <sheetName val="Executive_Summary_-Thermal15"/>
      <sheetName val="Stationwise_Thermal_&amp;_Hydel_G15"/>
      <sheetName val="Anex-1_Con_Load13"/>
      <sheetName val="E_&amp;_R13"/>
      <sheetName val="Raw_Data13"/>
      <sheetName val="Tow_Sch8"/>
      <sheetName val="PACK_(B)2"/>
      <sheetName val="Executive_Summary_-Thermal2"/>
      <sheetName val="Stationwise_Thermal_&amp;_Hydel_Ge2"/>
      <sheetName val="Anex-1_Con_Load"/>
      <sheetName val="E_&amp;_R"/>
      <sheetName val="Raw_Data"/>
      <sheetName val="No__of_cells5"/>
      <sheetName val="Load_Summary5"/>
      <sheetName val="AH_cal5"/>
      <sheetName val="K_factor5"/>
      <sheetName val="PACK_(B)3"/>
      <sheetName val="Executive_Summary_-Thermal3"/>
      <sheetName val="Stationwise_Thermal_&amp;_Hydel_Ge3"/>
      <sheetName val="Anex-1_Con_Load1"/>
      <sheetName val="E_&amp;_R1"/>
      <sheetName val="Raw_Data1"/>
      <sheetName val="No__of_cells6"/>
      <sheetName val="Load_Summary6"/>
      <sheetName val="AH_cal6"/>
      <sheetName val="K_factor6"/>
      <sheetName val="PACK_(B)4"/>
      <sheetName val="Executive_Summary_-Thermal4"/>
      <sheetName val="Stationwise_Thermal_&amp;_Hydel_Ge4"/>
      <sheetName val="Anex-1_Con_Load2"/>
      <sheetName val="E_&amp;_R2"/>
      <sheetName val="Raw_Data2"/>
      <sheetName val="No__of_cells7"/>
      <sheetName val="Load_Summary7"/>
      <sheetName val="AH_cal7"/>
      <sheetName val="K_factor7"/>
      <sheetName val="PACK_(B)5"/>
      <sheetName val="Executive_Summary_-Thermal5"/>
      <sheetName val="Stationwise_Thermal_&amp;_Hydel_Ge5"/>
      <sheetName val="Anex-1_Con_Load3"/>
      <sheetName val="E_&amp;_R3"/>
      <sheetName val="Raw_Data3"/>
      <sheetName val="No__of_cells8"/>
      <sheetName val="Load_Summary8"/>
      <sheetName val="AH_cal8"/>
      <sheetName val="K_factor8"/>
      <sheetName val="PACK_(B)6"/>
      <sheetName val="Executive_Summary_-Thermal6"/>
      <sheetName val="Stationwise_Thermal_&amp;_Hydel_Ge6"/>
      <sheetName val="Anex-1_Con_Load4"/>
      <sheetName val="E_&amp;_R4"/>
      <sheetName val="Raw_Data4"/>
      <sheetName val="No__of_cells13"/>
      <sheetName val="Load_Summary13"/>
      <sheetName val="AH_cal13"/>
      <sheetName val="K_factor13"/>
      <sheetName val="PACK_(B)11"/>
      <sheetName val="Executive_Summary_-Thermal11"/>
      <sheetName val="Stationwise_Thermal_&amp;_Hydel_G11"/>
      <sheetName val="Anex-1_Con_Load9"/>
      <sheetName val="E_&amp;_R9"/>
      <sheetName val="Raw_Data9"/>
      <sheetName val="No__of_cells9"/>
      <sheetName val="Load_Summary9"/>
      <sheetName val="AH_cal9"/>
      <sheetName val="K_factor9"/>
      <sheetName val="PACK_(B)7"/>
      <sheetName val="Executive_Summary_-Thermal7"/>
      <sheetName val="Stationwise_Thermal_&amp;_Hydel_Ge7"/>
      <sheetName val="Anex-1_Con_Load5"/>
      <sheetName val="E_&amp;_R5"/>
      <sheetName val="Raw_Data5"/>
      <sheetName val="Tow_Sch4"/>
      <sheetName val="No__of_cells11"/>
      <sheetName val="Load_Summary11"/>
      <sheetName val="AH_cal11"/>
      <sheetName val="K_factor11"/>
      <sheetName val="PACK_(B)9"/>
      <sheetName val="Executive_Summary_-Thermal9"/>
      <sheetName val="Stationwise_Thermal_&amp;_Hydel_Ge9"/>
      <sheetName val="Anex-1_Con_Load7"/>
      <sheetName val="E_&amp;_R7"/>
      <sheetName val="Raw_Data7"/>
      <sheetName val="Tow_Sch2"/>
      <sheetName val="No__of_cells10"/>
      <sheetName val="Load_Summary10"/>
      <sheetName val="AH_cal10"/>
      <sheetName val="K_factor10"/>
      <sheetName val="PACK_(B)8"/>
      <sheetName val="Executive_Summary_-Thermal8"/>
      <sheetName val="Stationwise_Thermal_&amp;_Hydel_Ge8"/>
      <sheetName val="Anex-1_Con_Load6"/>
      <sheetName val="E_&amp;_R6"/>
      <sheetName val="Raw_Data6"/>
      <sheetName val="Tow_Sch1"/>
      <sheetName val="No__of_cells12"/>
      <sheetName val="Load_Summary12"/>
      <sheetName val="AH_cal12"/>
      <sheetName val="K_factor12"/>
      <sheetName val="PACK_(B)10"/>
      <sheetName val="Executive_Summary_-Thermal10"/>
      <sheetName val="Stationwise_Thermal_&amp;_Hydel_G10"/>
      <sheetName val="Anex-1_Con_Load8"/>
      <sheetName val="E_&amp;_R8"/>
      <sheetName val="Raw_Data8"/>
      <sheetName val="Tow_Sch3"/>
      <sheetName val="No__of_cells14"/>
      <sheetName val="Load_Summary14"/>
      <sheetName val="AH_cal14"/>
      <sheetName val="K_factor14"/>
      <sheetName val="PACK_(B)12"/>
      <sheetName val="Executive_Summary_-Thermal12"/>
      <sheetName val="Stationwise_Thermal_&amp;_Hydel_G12"/>
      <sheetName val="Anex-1_Con_Load10"/>
      <sheetName val="E_&amp;_R10"/>
      <sheetName val="Raw_Data10"/>
      <sheetName val="Tow_Sch5"/>
      <sheetName val="No__of_cells15"/>
      <sheetName val="Load_Summary15"/>
      <sheetName val="AH_cal15"/>
      <sheetName val="K_factor15"/>
      <sheetName val="PACK_(B)13"/>
      <sheetName val="Executive_Summary_-Thermal13"/>
      <sheetName val="Stationwise_Thermal_&amp;_Hydel_G13"/>
      <sheetName val="Anex-1_Con_Load11"/>
      <sheetName val="E_&amp;_R11"/>
      <sheetName val="Raw_Data11"/>
      <sheetName val="Tow_Sch6"/>
      <sheetName val="No__of_cells16"/>
      <sheetName val="Load_Summary16"/>
      <sheetName val="AH_cal16"/>
      <sheetName val="K_factor16"/>
      <sheetName val="PACK_(B)14"/>
      <sheetName val="Executive_Summary_-Thermal14"/>
      <sheetName val="Stationwise_Thermal_&amp;_Hydel_G14"/>
      <sheetName val="Anex-1_Con_Load12"/>
      <sheetName val="E_&amp;_R12"/>
      <sheetName val="Raw_Data12"/>
      <sheetName val="Tow_Sch7"/>
      <sheetName val="No__of_cells18"/>
      <sheetName val="Load_Summary18"/>
      <sheetName val="AH_cal18"/>
      <sheetName val="K_factor18"/>
      <sheetName val="PACK_(B)16"/>
      <sheetName val="Executive_Summary_-Thermal16"/>
      <sheetName val="Stationwise_Thermal_&amp;_Hydel_G16"/>
      <sheetName val="Anex-1_Con_Load14"/>
      <sheetName val="E_&amp;_R14"/>
      <sheetName val="Raw_Data14"/>
      <sheetName val="Tow_Sch9"/>
      <sheetName val="No__of_cells19"/>
      <sheetName val="Load_Summary19"/>
      <sheetName val="AH_cal19"/>
      <sheetName val="K_factor19"/>
      <sheetName val="PACK_(B)17"/>
      <sheetName val="Executive_Summary_-Thermal17"/>
      <sheetName val="Stationwise_Thermal_&amp;_Hydel_G17"/>
      <sheetName val="Anex-1_Con_Load15"/>
      <sheetName val="E_&amp;_R15"/>
      <sheetName val="Raw_Data15"/>
      <sheetName val="Tow_Sch10"/>
      <sheetName val="DSLP"/>
      <sheetName val="Debits as on 12.04.08"/>
      <sheetName val="Design"/>
      <sheetName val="220Kv (2)"/>
      <sheetName val="220Kv"/>
      <sheetName val="TABLES"/>
      <sheetName val="CAL"/>
      <sheetName val="No__of_cells20"/>
      <sheetName val="Load_Summary20"/>
      <sheetName val="AH_cal20"/>
      <sheetName val="K_factor20"/>
      <sheetName val="PACK_(B)18"/>
      <sheetName val="Executive_Summary_-Thermal18"/>
      <sheetName val="Stationwise_Thermal_&amp;_Hydel_G18"/>
      <sheetName val="Anex-1_Con_Load16"/>
      <sheetName val="E_&amp;_R16"/>
      <sheetName val="Raw_Data16"/>
      <sheetName val="Tow_Sch11"/>
      <sheetName val="No__of_cells21"/>
      <sheetName val="Load_Summary21"/>
      <sheetName val="AH_cal21"/>
      <sheetName val="K_factor21"/>
      <sheetName val="PACK_(B)19"/>
      <sheetName val="Executive_Summary_-Thermal19"/>
      <sheetName val="Stationwise_Thermal_&amp;_Hydel_G19"/>
      <sheetName val="Anex-1_Con_Load17"/>
      <sheetName val="E_&amp;_R17"/>
      <sheetName val="Raw_Data17"/>
      <sheetName val="Tow_Sch12"/>
      <sheetName val="No__of_cells22"/>
      <sheetName val="Load_Summary22"/>
      <sheetName val="AH_cal22"/>
      <sheetName val="K_factor22"/>
      <sheetName val="PACK_(B)20"/>
      <sheetName val="Executive_Summary_-Thermal20"/>
      <sheetName val="Stationwise_Thermal_&amp;_Hydel_G20"/>
      <sheetName val="Anex-1_Con_Load18"/>
      <sheetName val="E_&amp;_R18"/>
      <sheetName val="Raw_Data18"/>
      <sheetName val="Tow_Sch13"/>
      <sheetName val="No__of_cells27"/>
      <sheetName val="Load_Summary27"/>
      <sheetName val="AH_cal27"/>
      <sheetName val="K_factor27"/>
      <sheetName val="PACK_(B)25"/>
      <sheetName val="Executive_Summary_-Thermal25"/>
      <sheetName val="Stationwise_Thermal_&amp;_Hydel_G25"/>
      <sheetName val="Anex-1_Con_Load23"/>
      <sheetName val="E_&amp;_R23"/>
      <sheetName val="Raw_Data23"/>
      <sheetName val="Tow_Sch18"/>
      <sheetName val="No__of_cells26"/>
      <sheetName val="Load_Summary26"/>
      <sheetName val="AH_cal26"/>
      <sheetName val="K_factor26"/>
      <sheetName val="PACK_(B)24"/>
      <sheetName val="Executive_Summary_-Thermal24"/>
      <sheetName val="Stationwise_Thermal_&amp;_Hydel_G24"/>
      <sheetName val="Anex-1_Con_Load22"/>
      <sheetName val="E_&amp;_R22"/>
      <sheetName val="Raw_Data22"/>
      <sheetName val="Tow_Sch17"/>
      <sheetName val="No__of_cells23"/>
      <sheetName val="Load_Summary23"/>
      <sheetName val="AH_cal23"/>
      <sheetName val="K_factor23"/>
      <sheetName val="PACK_(B)21"/>
      <sheetName val="Executive_Summary_-Thermal21"/>
      <sheetName val="Stationwise_Thermal_&amp;_Hydel_G21"/>
      <sheetName val="Anex-1_Con_Load19"/>
      <sheetName val="E_&amp;_R19"/>
      <sheetName val="Raw_Data19"/>
      <sheetName val="Tow_Sch14"/>
      <sheetName val="No__of_cells24"/>
      <sheetName val="Load_Summary24"/>
      <sheetName val="AH_cal24"/>
      <sheetName val="K_factor24"/>
      <sheetName val="PACK_(B)22"/>
      <sheetName val="Executive_Summary_-Thermal22"/>
      <sheetName val="Stationwise_Thermal_&amp;_Hydel_G22"/>
      <sheetName val="Anex-1_Con_Load20"/>
      <sheetName val="E_&amp;_R20"/>
      <sheetName val="Raw_Data20"/>
      <sheetName val="Tow_Sch15"/>
      <sheetName val="No__of_cells25"/>
      <sheetName val="Load_Summary25"/>
      <sheetName val="AH_cal25"/>
      <sheetName val="K_factor25"/>
      <sheetName val="PACK_(B)23"/>
      <sheetName val="Executive_Summary_-Thermal23"/>
      <sheetName val="Stationwise_Thermal_&amp;_Hydel_G23"/>
      <sheetName val="Anex-1_Con_Load21"/>
      <sheetName val="E_&amp;_R21"/>
      <sheetName val="Raw_Data21"/>
      <sheetName val="Tow_Sch16"/>
      <sheetName val="No__of_cells28"/>
      <sheetName val="Load_Summary28"/>
      <sheetName val="AH_cal28"/>
      <sheetName val="K_factor28"/>
      <sheetName val="PACK_(B)26"/>
      <sheetName val="Executive_Summary_-Thermal26"/>
      <sheetName val="Stationwise_Thermal_&amp;_Hydel_G26"/>
      <sheetName val="Anex-1_Con_Load24"/>
      <sheetName val="E_&amp;_R24"/>
      <sheetName val="Raw_Data24"/>
      <sheetName val="Tow_Sch19"/>
      <sheetName val="No__of_cells31"/>
      <sheetName val="Load_Summary31"/>
      <sheetName val="AH_cal31"/>
      <sheetName val="K_factor31"/>
      <sheetName val="PACK_(B)29"/>
      <sheetName val="Executive_Summary_-Thermal29"/>
      <sheetName val="Stationwise_Thermal_&amp;_Hydel_G29"/>
      <sheetName val="Anex-1_Con_Load27"/>
      <sheetName val="E_&amp;_R27"/>
      <sheetName val="Raw_Data27"/>
      <sheetName val="Tow_Sch22"/>
      <sheetName val="No__of_cells29"/>
      <sheetName val="Load_Summary29"/>
      <sheetName val="AH_cal29"/>
      <sheetName val="K_factor29"/>
      <sheetName val="PACK_(B)27"/>
      <sheetName val="Executive_Summary_-Thermal27"/>
      <sheetName val="Stationwise_Thermal_&amp;_Hydel_G27"/>
      <sheetName val="Anex-1_Con_Load25"/>
      <sheetName val="E_&amp;_R25"/>
      <sheetName val="Raw_Data25"/>
      <sheetName val="Tow_Sch20"/>
      <sheetName val="No__of_cells30"/>
      <sheetName val="Load_Summary30"/>
      <sheetName val="AH_cal30"/>
      <sheetName val="K_factor30"/>
      <sheetName val="PACK_(B)28"/>
      <sheetName val="Executive_Summary_-Thermal28"/>
      <sheetName val="Stationwise_Thermal_&amp;_Hydel_G28"/>
      <sheetName val="Anex-1_Con_Load26"/>
      <sheetName val="E_&amp;_R26"/>
      <sheetName val="Raw_Data26"/>
      <sheetName val="Tow_Sch21"/>
      <sheetName val="No__of_cells32"/>
      <sheetName val="Load_Summary32"/>
      <sheetName val="AH_cal32"/>
      <sheetName val="K_factor32"/>
      <sheetName val="PACK_(B)30"/>
      <sheetName val="Executive_Summary_-Thermal30"/>
      <sheetName val="Stationwise_Thermal_&amp;_Hydel_G30"/>
      <sheetName val="Anex-1_Con_Load28"/>
      <sheetName val="E_&amp;_R28"/>
      <sheetName val="Raw_Data28"/>
      <sheetName val="Tow_Sch23"/>
      <sheetName val="Debits_as_on_12_04_08"/>
      <sheetName val="220Kv_(2)"/>
      <sheetName val="No__of_cells33"/>
      <sheetName val="Load_Summary33"/>
      <sheetName val="AH_cal33"/>
      <sheetName val="K_factor33"/>
      <sheetName val="PACK_(B)31"/>
      <sheetName val="Executive_Summary_-Thermal31"/>
      <sheetName val="Stationwise_Thermal_&amp;_Hydel_G31"/>
      <sheetName val="Anex-1_Con_Load29"/>
      <sheetName val="E_&amp;_R29"/>
      <sheetName val="Raw_Data29"/>
      <sheetName val="Tow_Sch24"/>
      <sheetName val="Debits_as_on_12_04_081"/>
      <sheetName val="220Kv_(2)1"/>
      <sheetName val="No__of_cells34"/>
      <sheetName val="Load_Summary34"/>
      <sheetName val="AH_cal34"/>
      <sheetName val="K_factor34"/>
      <sheetName val="PACK_(B)32"/>
      <sheetName val="Executive_Summary_-Thermal32"/>
      <sheetName val="Stationwise_Thermal_&amp;_Hydel_G32"/>
      <sheetName val="Anex-1_Con_Load30"/>
      <sheetName val="E_&amp;_R30"/>
      <sheetName val="Raw_Data30"/>
      <sheetName val="Tow_Sch25"/>
      <sheetName val="Debits_as_on_12_04_082"/>
      <sheetName val="220Kv_(2)2"/>
      <sheetName val="No__of_cells35"/>
      <sheetName val="Load_Summary35"/>
      <sheetName val="AH_cal35"/>
      <sheetName val="K_factor35"/>
      <sheetName val="PACK_(B)33"/>
      <sheetName val="Executive_Summary_-Thermal33"/>
      <sheetName val="Stationwise_Thermal_&amp;_Hydel_G33"/>
      <sheetName val="Anex-1_Con_Load31"/>
      <sheetName val="E_&amp;_R31"/>
      <sheetName val="Raw_Data31"/>
      <sheetName val="Tow_Sch26"/>
      <sheetName val="Debits_as_on_12_04_083"/>
      <sheetName val="220Kv_(2)3"/>
      <sheetName val="No__of_cells36"/>
      <sheetName val="Load_Summary36"/>
      <sheetName val="AH_cal36"/>
      <sheetName val="K_factor36"/>
      <sheetName val="PACK_(B)34"/>
      <sheetName val="Executive_Summary_-Thermal34"/>
      <sheetName val="Stationwise_Thermal_&amp;_Hydel_G34"/>
      <sheetName val="Anex-1_Con_Load32"/>
      <sheetName val="E_&amp;_R32"/>
      <sheetName val="Raw_Data32"/>
      <sheetName val="Tow_Sch27"/>
      <sheetName val="Debits_as_on_12_04_084"/>
      <sheetName val="220Kv_(2)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refreshError="1"/>
      <sheetData sheetId="227" refreshError="1"/>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 val="water prop."/>
      <sheetName val="sag-ten"/>
      <sheetName val="장비"/>
      <sheetName val="Cover sheet"/>
      <sheetName val="Form 6"/>
      <sheetName val="SC Cost FEB 03"/>
      <sheetName val="R.Hrs. Since Comm"/>
      <sheetName val="Elect."/>
      <sheetName val="leads"/>
      <sheetName val="Tubewell"/>
      <sheetName val="MAINBS1"/>
      <sheetName val="grid"/>
      <sheetName val="Fill this out first..."/>
      <sheetName val="DetEst"/>
      <sheetName val="labour"/>
      <sheetName val="ARMD_CU_XLPE21"/>
      <sheetName val="Cond_data21"/>
      <sheetName val="3060-LV_Cable_sizing18"/>
      <sheetName val="SPT_vs_PHI21"/>
      <sheetName val="220Kv_(2)18"/>
      <sheetName val="Scheme_Area_Details_Block___C18"/>
      <sheetName val="Pricing_18"/>
      <sheetName val="PACK_(B)18"/>
      <sheetName val="M-Book_for_Conc17"/>
      <sheetName val="M-Book_for_FW17"/>
      <sheetName val="final_abstract17"/>
      <sheetName val="SP_Break_Up17"/>
      <sheetName val="Debits_as_on_12_04_0817"/>
      <sheetName val="Protection_(M-PRO20)18"/>
      <sheetName val="Sheet3_(2)16"/>
      <sheetName val="33628-Rev__A10"/>
      <sheetName val="Tow_Sch11"/>
      <sheetName val="Day_work10"/>
      <sheetName val="Load_Details(B2)10"/>
      <sheetName val="ARMD_CU_XLPE22"/>
      <sheetName val="Cond_data22"/>
      <sheetName val="3060-LV_Cable_sizing19"/>
      <sheetName val="SPT_vs_PHI22"/>
      <sheetName val="220Kv_(2)19"/>
      <sheetName val="Pricing_19"/>
      <sheetName val="Scheme_Area_Details_Block___C19"/>
      <sheetName val="PACK_(B)19"/>
      <sheetName val="M-Book_for_Conc18"/>
      <sheetName val="M-Book_for_FW18"/>
      <sheetName val="final_abstract18"/>
      <sheetName val="SP_Break_Up18"/>
      <sheetName val="Debits_as_on_12_04_0818"/>
      <sheetName val="Protection_(M-PRO20)19"/>
      <sheetName val="Sheet3_(2)17"/>
      <sheetName val="33628-Rev__A11"/>
      <sheetName val="Tow_Sch12"/>
      <sheetName val="Day_work11"/>
      <sheetName val="Load_Details(B2)11"/>
      <sheetName val="ARMD_CU_XLPE23"/>
      <sheetName val="Cond_data23"/>
      <sheetName val="3060-LV_Cable_sizing20"/>
      <sheetName val="SPT_vs_PHI23"/>
      <sheetName val="220Kv_(2)20"/>
      <sheetName val="Scheme_Area_Details_Block___C20"/>
      <sheetName val="Pricing_20"/>
      <sheetName val="PACK_(B)20"/>
      <sheetName val="M-Book_for_Conc19"/>
      <sheetName val="M-Book_for_FW19"/>
      <sheetName val="final_abstract19"/>
      <sheetName val="SP_Break_Up19"/>
      <sheetName val="Debits_as_on_12_04_0819"/>
      <sheetName val="Protection_(M-PRO20)20"/>
      <sheetName val="Sheet3_(2)18"/>
      <sheetName val="33628-Rev__A12"/>
      <sheetName val="Tow_Sch13"/>
      <sheetName val="Day_work12"/>
      <sheetName val="Load_Details(B2)12"/>
      <sheetName val="ARMD_CU_XLPE28"/>
      <sheetName val="Cond_data28"/>
      <sheetName val="3060-LV_Cable_sizing25"/>
      <sheetName val="SPT_vs_PHI28"/>
      <sheetName val="220Kv_(2)25"/>
      <sheetName val="Scheme_Area_Details_Block___C34"/>
      <sheetName val="Pricing_25"/>
      <sheetName val="PACK_(B)25"/>
      <sheetName val="M-Book_for_Conc24"/>
      <sheetName val="M-Book_for_FW24"/>
      <sheetName val="final_abstract24"/>
      <sheetName val="SP_Break_Up24"/>
      <sheetName val="Debits_as_on_12_04_0824"/>
      <sheetName val="Protection_(M-PRO20)25"/>
      <sheetName val="Sheet3_(2)23"/>
      <sheetName val="33628-Rev__A17"/>
      <sheetName val="Tow_Sch18"/>
      <sheetName val="Day_work17"/>
      <sheetName val="Load_Details(B2)17"/>
      <sheetName val="ARMD_CU_XLPE27"/>
      <sheetName val="Cond_data27"/>
      <sheetName val="3060-LV_Cable_sizing24"/>
      <sheetName val="SPT_vs_PHI27"/>
      <sheetName val="220Kv_(2)24"/>
      <sheetName val="Scheme_Area_Details_Block___C33"/>
      <sheetName val="Pricing_24"/>
      <sheetName val="PACK_(B)24"/>
      <sheetName val="M-Book_for_Conc23"/>
      <sheetName val="M-Book_for_FW23"/>
      <sheetName val="final_abstract23"/>
      <sheetName val="SP_Break_Up23"/>
      <sheetName val="Debits_as_on_12_04_0823"/>
      <sheetName val="Protection_(M-PRO20)24"/>
      <sheetName val="Sheet3_(2)22"/>
      <sheetName val="33628-Rev__A16"/>
      <sheetName val="Tow_Sch17"/>
      <sheetName val="Day_work16"/>
      <sheetName val="Load_Details(B2)16"/>
      <sheetName val="ARMD_CU_XLPE24"/>
      <sheetName val="Cond_data24"/>
      <sheetName val="3060-LV_Cable_sizing21"/>
      <sheetName val="SPT_vs_PHI24"/>
      <sheetName val="220Kv_(2)21"/>
      <sheetName val="Scheme_Area_Details_Block___C30"/>
      <sheetName val="Pricing_21"/>
      <sheetName val="PACK_(B)21"/>
      <sheetName val="M-Book_for_Conc20"/>
      <sheetName val="M-Book_for_FW20"/>
      <sheetName val="final_abstract20"/>
      <sheetName val="SP_Break_Up20"/>
      <sheetName val="Debits_as_on_12_04_0820"/>
      <sheetName val="Protection_(M-PRO20)21"/>
      <sheetName val="Sheet3_(2)19"/>
      <sheetName val="33628-Rev__A13"/>
      <sheetName val="Tow_Sch14"/>
      <sheetName val="Day_work13"/>
      <sheetName val="Load_Details(B2)13"/>
      <sheetName val="ARMD_CU_XLPE25"/>
      <sheetName val="Cond_data25"/>
      <sheetName val="3060-LV_Cable_sizing22"/>
      <sheetName val="SPT_vs_PHI25"/>
      <sheetName val="220Kv_(2)22"/>
      <sheetName val="Scheme_Area_Details_Block___C31"/>
      <sheetName val="Pricing_22"/>
      <sheetName val="PACK_(B)22"/>
      <sheetName val="M-Book_for_Conc21"/>
      <sheetName val="M-Book_for_FW21"/>
      <sheetName val="final_abstract21"/>
      <sheetName val="SP_Break_Up21"/>
      <sheetName val="Debits_as_on_12_04_0821"/>
      <sheetName val="Protection_(M-PRO20)22"/>
      <sheetName val="Sheet3_(2)20"/>
      <sheetName val="33628-Rev__A14"/>
      <sheetName val="Tow_Sch15"/>
      <sheetName val="Day_work14"/>
      <sheetName val="Load_Details(B2)14"/>
      <sheetName val="ARMD_CU_XLPE26"/>
      <sheetName val="Cond_data26"/>
      <sheetName val="3060-LV_Cable_sizing23"/>
      <sheetName val="SPT_vs_PHI26"/>
      <sheetName val="220Kv_(2)23"/>
      <sheetName val="Scheme_Area_Details_Block___C32"/>
      <sheetName val="Pricing_23"/>
      <sheetName val="PACK_(B)23"/>
      <sheetName val="M-Book_for_Conc22"/>
      <sheetName val="M-Book_for_FW22"/>
      <sheetName val="final_abstract22"/>
      <sheetName val="SP_Break_Up22"/>
      <sheetName val="Debits_as_on_12_04_0822"/>
      <sheetName val="Protection_(M-PRO20)23"/>
      <sheetName val="Sheet3_(2)21"/>
      <sheetName val="33628-Rev__A15"/>
      <sheetName val="Tow_Sch16"/>
      <sheetName val="Day_work15"/>
      <sheetName val="Load_Details(B2)15"/>
      <sheetName val="ARMD_CU_XLPE29"/>
      <sheetName val="Cond_data29"/>
      <sheetName val="3060-LV_Cable_sizing26"/>
      <sheetName val="SPT_vs_PHI29"/>
      <sheetName val="220Kv_(2)26"/>
      <sheetName val="Scheme_Area_Details_Block___C35"/>
      <sheetName val="Pricing_26"/>
      <sheetName val="PACK_(B)26"/>
      <sheetName val="M-Book_for_Conc25"/>
      <sheetName val="M-Book_for_FW25"/>
      <sheetName val="final_abstract25"/>
      <sheetName val="SP_Break_Up25"/>
      <sheetName val="Debits_as_on_12_04_0825"/>
      <sheetName val="Protection_(M-PRO20)26"/>
      <sheetName val="Sheet3_(2)24"/>
      <sheetName val="33628-Rev__A18"/>
      <sheetName val="Tow_Sch19"/>
      <sheetName val="Day_work18"/>
      <sheetName val="Load_Details(B2)18"/>
      <sheetName val="ARMD_CU_XLPE32"/>
      <sheetName val="Cond_data32"/>
      <sheetName val="3060-LV_Cable_sizing29"/>
      <sheetName val="SPT_vs_PHI32"/>
      <sheetName val="220Kv_(2)29"/>
      <sheetName val="Scheme_Area_Details_Block___C38"/>
      <sheetName val="Pricing_29"/>
      <sheetName val="PACK_(B)29"/>
      <sheetName val="M-Book_for_Conc28"/>
      <sheetName val="M-Book_for_FW28"/>
      <sheetName val="final_abstract28"/>
      <sheetName val="SP_Break_Up28"/>
      <sheetName val="Debits_as_on_12_04_0828"/>
      <sheetName val="Protection_(M-PRO20)29"/>
      <sheetName val="Sheet3_(2)27"/>
      <sheetName val="33628-Rev__A21"/>
      <sheetName val="Tow_Sch22"/>
      <sheetName val="Day_work21"/>
      <sheetName val="Load_Details(B2)21"/>
      <sheetName val="ARMD_CU_XLPE30"/>
      <sheetName val="Cond_data30"/>
      <sheetName val="3060-LV_Cable_sizing27"/>
      <sheetName val="SPT_vs_PHI30"/>
      <sheetName val="220Kv_(2)27"/>
      <sheetName val="Scheme_Area_Details_Block___C36"/>
      <sheetName val="Pricing_27"/>
      <sheetName val="PACK_(B)27"/>
      <sheetName val="M-Book_for_Conc26"/>
      <sheetName val="M-Book_for_FW26"/>
      <sheetName val="final_abstract26"/>
      <sheetName val="SP_Break_Up26"/>
      <sheetName val="Debits_as_on_12_04_0826"/>
      <sheetName val="Protection_(M-PRO20)27"/>
      <sheetName val="Sheet3_(2)25"/>
      <sheetName val="33628-Rev__A19"/>
      <sheetName val="Tow_Sch20"/>
      <sheetName val="Day_work19"/>
      <sheetName val="Load_Details(B2)19"/>
      <sheetName val="ARMD_CU_XLPE31"/>
      <sheetName val="Cond_data31"/>
      <sheetName val="3060-LV_Cable_sizing28"/>
      <sheetName val="SPT_vs_PHI31"/>
      <sheetName val="220Kv_(2)28"/>
      <sheetName val="Scheme_Area_Details_Block___C37"/>
      <sheetName val="Pricing_28"/>
      <sheetName val="PACK_(B)28"/>
      <sheetName val="M-Book_for_Conc27"/>
      <sheetName val="M-Book_for_FW27"/>
      <sheetName val="final_abstract27"/>
      <sheetName val="SP_Break_Up27"/>
      <sheetName val="Debits_as_on_12_04_0827"/>
      <sheetName val="Protection_(M-PRO20)28"/>
      <sheetName val="Sheet3_(2)26"/>
      <sheetName val="33628-Rev__A20"/>
      <sheetName val="Tow_Sch21"/>
      <sheetName val="Day_work20"/>
      <sheetName val="Load_Details(B2)20"/>
      <sheetName val="ARMD_CU_XLPE33"/>
      <sheetName val="Cond_data33"/>
      <sheetName val="3060-LV_Cable_sizing30"/>
      <sheetName val="SPT_vs_PHI33"/>
      <sheetName val="220Kv_(2)30"/>
      <sheetName val="Scheme_Area_Details_Block___C39"/>
      <sheetName val="Pricing_30"/>
      <sheetName val="PACK_(B)30"/>
      <sheetName val="M-Book_for_Conc29"/>
      <sheetName val="M-Book_for_FW29"/>
      <sheetName val="final_abstract29"/>
      <sheetName val="SP_Break_Up29"/>
      <sheetName val="Debits_as_on_12_04_0829"/>
      <sheetName val="Protection_(M-PRO20)30"/>
      <sheetName val="Sheet3_(2)28"/>
      <sheetName val="33628-Rev__A22"/>
      <sheetName val="Tow_Sch23"/>
      <sheetName val="Day_work22"/>
      <sheetName val="Load_Details(B2)22"/>
      <sheetName val="MN_T_B_3"/>
      <sheetName val="ACAD_Finishes"/>
      <sheetName val="Site_Details"/>
      <sheetName val="Site_Area_Statement"/>
      <sheetName val="Cover_sheet"/>
      <sheetName val="Form_6"/>
      <sheetName val="SC_Cost_FEB_03"/>
      <sheetName val="beam-reinft-IIInd_floor"/>
      <sheetName val="R_Hrs__Since_Comm"/>
      <sheetName val="Elect_"/>
      <sheetName val="Fill_this_out_first___"/>
      <sheetName val="ARMD_CU_XLPE34"/>
      <sheetName val="Cond_data34"/>
      <sheetName val="3060-LV_Cable_sizing31"/>
      <sheetName val="SPT_vs_PHI34"/>
      <sheetName val="220Kv_(2)31"/>
      <sheetName val="Scheme_Area_Details_Block___C40"/>
      <sheetName val="Pricing_31"/>
      <sheetName val="PACK_(B)31"/>
      <sheetName val="M-Book_for_Conc30"/>
      <sheetName val="M-Book_for_FW30"/>
      <sheetName val="final_abstract30"/>
      <sheetName val="SP_Break_Up30"/>
      <sheetName val="Debits_as_on_12_04_0830"/>
      <sheetName val="Protection_(M-PRO20)31"/>
      <sheetName val="Sheet3_(2)29"/>
      <sheetName val="33628-Rev__A23"/>
      <sheetName val="Tow_Sch24"/>
      <sheetName val="Day_work23"/>
      <sheetName val="Load_Details(B2)23"/>
      <sheetName val="MN_T_B_4"/>
      <sheetName val="ACAD_Finishes1"/>
      <sheetName val="Site_Details1"/>
      <sheetName val="Site_Area_Statement1"/>
      <sheetName val="Cover_sheet1"/>
      <sheetName val="Form_61"/>
      <sheetName val="SC_Cost_FEB_031"/>
      <sheetName val="beam-reinft-IIInd_floor1"/>
      <sheetName val="R_Hrs__Since_Comm1"/>
      <sheetName val="Elect_1"/>
      <sheetName val="Fill_this_out_first___1"/>
      <sheetName val="ARMD_CU_XLPE35"/>
      <sheetName val="Cond_data35"/>
      <sheetName val="3060-LV_Cable_sizing32"/>
      <sheetName val="SPT_vs_PHI35"/>
      <sheetName val="220Kv_(2)32"/>
      <sheetName val="Scheme_Area_Details_Block___C41"/>
      <sheetName val="Pricing_32"/>
      <sheetName val="PACK_(B)32"/>
      <sheetName val="M-Book_for_Conc31"/>
      <sheetName val="M-Book_for_FW31"/>
      <sheetName val="final_abstract31"/>
      <sheetName val="SP_Break_Up31"/>
      <sheetName val="Debits_as_on_12_04_0831"/>
      <sheetName val="Protection_(M-PRO20)32"/>
      <sheetName val="Sheet3_(2)30"/>
      <sheetName val="33628-Rev__A24"/>
      <sheetName val="Tow_Sch25"/>
      <sheetName val="Day_work24"/>
      <sheetName val="Load_Details(B2)24"/>
      <sheetName val="MN_T_B_5"/>
      <sheetName val="ACAD_Finishes2"/>
      <sheetName val="Site_Details2"/>
      <sheetName val="Site_Area_Statement2"/>
      <sheetName val="Cover_sheet2"/>
      <sheetName val="Form_62"/>
      <sheetName val="SC_Cost_FEB_032"/>
      <sheetName val="beam-reinft-IIInd_floor2"/>
      <sheetName val="R_Hrs__Since_Comm2"/>
      <sheetName val="Elect_2"/>
      <sheetName val="Fill_this_out_first___2"/>
      <sheetName val="ARMD_CU_XLPE36"/>
      <sheetName val="Cond_data36"/>
      <sheetName val="3060-LV_Cable_sizing33"/>
      <sheetName val="SPT_vs_PHI36"/>
      <sheetName val="220Kv_(2)33"/>
      <sheetName val="Scheme_Area_Details_Block___C42"/>
      <sheetName val="Pricing_33"/>
      <sheetName val="PACK_(B)33"/>
      <sheetName val="M-Book_for_Conc32"/>
      <sheetName val="M-Book_for_FW32"/>
      <sheetName val="final_abstract32"/>
      <sheetName val="SP_Break_Up32"/>
      <sheetName val="Debits_as_on_12_04_0832"/>
      <sheetName val="Protection_(M-PRO20)33"/>
      <sheetName val="Sheet3_(2)31"/>
      <sheetName val="33628-Rev__A25"/>
      <sheetName val="Tow_Sch26"/>
      <sheetName val="Day_work25"/>
      <sheetName val="Load_Details(B2)25"/>
      <sheetName val="MN_T_B_6"/>
      <sheetName val="ACAD_Finishes3"/>
      <sheetName val="Site_Details3"/>
      <sheetName val="Site_Area_Statement3"/>
      <sheetName val="Cover_sheet3"/>
      <sheetName val="Form_63"/>
      <sheetName val="SC_Cost_FEB_033"/>
      <sheetName val="beam-reinft-IIInd_floor3"/>
      <sheetName val="R_Hrs__Since_Comm3"/>
      <sheetName val="Elect_3"/>
      <sheetName val="Fill_this_out_first___3"/>
      <sheetName val="ARMD_CU_XLPE37"/>
      <sheetName val="Cond_data37"/>
      <sheetName val="3060-LV_Cable_sizing34"/>
      <sheetName val="SPT_vs_PHI37"/>
      <sheetName val="220Kv_(2)34"/>
      <sheetName val="Scheme_Area_Details_Block___C43"/>
      <sheetName val="Pricing_34"/>
      <sheetName val="PACK_(B)34"/>
      <sheetName val="M-Book_for_Conc33"/>
      <sheetName val="M-Book_for_FW33"/>
      <sheetName val="final_abstract33"/>
      <sheetName val="SP_Break_Up33"/>
      <sheetName val="Debits_as_on_12_04_0833"/>
      <sheetName val="Protection_(M-PRO20)34"/>
      <sheetName val="Sheet3_(2)32"/>
      <sheetName val="33628-Rev__A26"/>
      <sheetName val="Tow_Sch27"/>
      <sheetName val="Day_work26"/>
      <sheetName val="Load_Details(B2)26"/>
      <sheetName val="MN_T_B_7"/>
      <sheetName val="ACAD_Finishes4"/>
      <sheetName val="Site_Details4"/>
      <sheetName val="Site_Area_Statement4"/>
      <sheetName val="Cover_sheet4"/>
      <sheetName val="Form_64"/>
      <sheetName val="SC_Cost_FEB_034"/>
      <sheetName val="beam-reinft-IIInd_floor4"/>
      <sheetName val="R_Hrs__Since_Comm4"/>
      <sheetName val="Elect_4"/>
      <sheetName val="Fill_this_out_first___4"/>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 val="BREAKUP_OF_OIL15"/>
      <sheetName val="Fee_Rate_Summary13"/>
      <sheetName val="PACK_(B)13"/>
      <sheetName val="Scheme_Area_Details_Block___C13"/>
      <sheetName val="Materials_Cost13"/>
      <sheetName val="Rate_Analysis7"/>
      <sheetName val="BREAKUP_OF_OIL2"/>
      <sheetName val="Fee_Rate_Summary"/>
      <sheetName val="PACK_(B)"/>
      <sheetName val="Scheme_Area_Details_Block___C2"/>
      <sheetName val="Materials_Cost"/>
      <sheetName val="BREAKUP_OF_OIL3"/>
      <sheetName val="Fee_Rate_Summary1"/>
      <sheetName val="PACK_(B)1"/>
      <sheetName val="Scheme_Area_Details_Block___C21"/>
      <sheetName val="Materials_Cost1"/>
      <sheetName val="BREAKUP_OF_OIL4"/>
      <sheetName val="Fee_Rate_Summary2"/>
      <sheetName val="PACK_(B)2"/>
      <sheetName val="Scheme_Area_Details_Block___C22"/>
      <sheetName val="Materials_Cost2"/>
      <sheetName val="BREAKUP_OF_OIL5"/>
      <sheetName val="Fee_Rate_Summary3"/>
      <sheetName val="PACK_(B)3"/>
      <sheetName val="Scheme_Area_Details_Block___C23"/>
      <sheetName val="Materials_Cost3"/>
      <sheetName val="BREAKUP_OF_OIL6"/>
      <sheetName val="Fee_Rate_Summary4"/>
      <sheetName val="PACK_(B)4"/>
      <sheetName val="Scheme_Area_Details_Block___C24"/>
      <sheetName val="Materials_Cost4"/>
      <sheetName val="BREAKUP_OF_OIL11"/>
      <sheetName val="Fee_Rate_Summary9"/>
      <sheetName val="Scheme_Area_Details_Block___C29"/>
      <sheetName val="PACK_(B)9"/>
      <sheetName val="Materials_Cost9"/>
      <sheetName val="BREAKUP_OF_OIL7"/>
      <sheetName val="Fee_Rate_Summary5"/>
      <sheetName val="PACK_(B)5"/>
      <sheetName val="Scheme_Area_Details_Block___C25"/>
      <sheetName val="Materials_Cost5"/>
      <sheetName val="Rate_Analysis3"/>
      <sheetName val="BREAKUP_OF_OIL9"/>
      <sheetName val="Fee_Rate_Summary7"/>
      <sheetName val="PACK_(B)7"/>
      <sheetName val="Scheme_Area_Details_Block___C27"/>
      <sheetName val="Materials_Cost7"/>
      <sheetName val="Rate_Analysis1"/>
      <sheetName val="BREAKUP_OF_OIL8"/>
      <sheetName val="Fee_Rate_Summary6"/>
      <sheetName val="Scheme_Area_Details_Block___C26"/>
      <sheetName val="PACK_(B)6"/>
      <sheetName val="Materials_Cost6"/>
      <sheetName val="Rate_Analysis"/>
      <sheetName val="BREAKUP_OF_OIL10"/>
      <sheetName val="Fee_Rate_Summary8"/>
      <sheetName val="Scheme_Area_Details_Block___C28"/>
      <sheetName val="PACK_(B)8"/>
      <sheetName val="Materials_Cost8"/>
      <sheetName val="Rate_Analysis2"/>
      <sheetName val="BREAKUP_OF_OIL12"/>
      <sheetName val="Fee_Rate_Summary10"/>
      <sheetName val="PACK_(B)10"/>
      <sheetName val="Scheme_Area_Details_Block___C10"/>
      <sheetName val="Materials_Cost10"/>
      <sheetName val="Rate_Analysis4"/>
      <sheetName val="BREAKUP_OF_OIL13"/>
      <sheetName val="Fee_Rate_Summary11"/>
      <sheetName val="Scheme_Area_Details_Block___C11"/>
      <sheetName val="PACK_(B)11"/>
      <sheetName val="Materials_Cost11"/>
      <sheetName val="Rate_Analysis5"/>
      <sheetName val="BREAKUP_OF_OIL14"/>
      <sheetName val="Fee_Rate_Summary12"/>
      <sheetName val="PACK_(B)12"/>
      <sheetName val="Scheme_Area_Details_Block___C12"/>
      <sheetName val="Materials_Cost12"/>
      <sheetName val="Rate_Analysis6"/>
      <sheetName val="BREAKUP_OF_OIL16"/>
      <sheetName val="Fee_Rate_Summary14"/>
      <sheetName val="PACK_(B)14"/>
      <sheetName val="Scheme_Area_Details_Block___C14"/>
      <sheetName val="Materials_Cost14"/>
      <sheetName val="Rate_Analysis8"/>
      <sheetName val="BREAKUP_OF_OIL17"/>
      <sheetName val="Fee_Rate_Summary15"/>
      <sheetName val="PACK_(B)15"/>
      <sheetName val="Scheme_Area_Details_Block___C15"/>
      <sheetName val="Materials_Cost15"/>
      <sheetName val="Rate_Analysis9"/>
      <sheetName val="CASH-FLOW"/>
      <sheetName val="CAL"/>
      <sheetName val="Coalmine"/>
      <sheetName val="Sheet5"/>
      <sheetName val="BREAKUP_OF_OIL18"/>
      <sheetName val="Fee_Rate_Summary16"/>
      <sheetName val="PACK_(B)16"/>
      <sheetName val="Scheme_Area_Details_Block___C16"/>
      <sheetName val="Materials_Cost16"/>
      <sheetName val="Rate_Analysis10"/>
      <sheetName val="BREAKUP_OF_OIL19"/>
      <sheetName val="Fee_Rate_Summary17"/>
      <sheetName val="PACK_(B)17"/>
      <sheetName val="Scheme_Area_Details_Block___C17"/>
      <sheetName val="Materials_Cost17"/>
      <sheetName val="Rate_Analysis11"/>
      <sheetName val="BREAKUP_OF_OIL20"/>
      <sheetName val="Fee_Rate_Summary18"/>
      <sheetName val="PACK_(B)18"/>
      <sheetName val="Scheme_Area_Details_Block___C18"/>
      <sheetName val="Materials_Cost18"/>
      <sheetName val="Rate_Analysis12"/>
      <sheetName val="BREAKUP_OF_OIL25"/>
      <sheetName val="Fee_Rate_Summary23"/>
      <sheetName val="Scheme_Area_Details_Block___C32"/>
      <sheetName val="PACK_(B)23"/>
      <sheetName val="Materials_Cost23"/>
      <sheetName val="Rate_Analysis17"/>
      <sheetName val="BREAKUP_OF_OIL24"/>
      <sheetName val="Fee_Rate_Summary22"/>
      <sheetName val="Scheme_Area_Details_Block___C31"/>
      <sheetName val="PACK_(B)22"/>
      <sheetName val="Materials_Cost22"/>
      <sheetName val="Rate_Analysis16"/>
      <sheetName val="BREAKUP_OF_OIL21"/>
      <sheetName val="Fee_Rate_Summary19"/>
      <sheetName val="Scheme_Area_Details_Block___C19"/>
      <sheetName val="PACK_(B)19"/>
      <sheetName val="Materials_Cost19"/>
      <sheetName val="Rate_Analysis13"/>
      <sheetName val="BREAKUP_OF_OIL22"/>
      <sheetName val="Fee_Rate_Summary20"/>
      <sheetName val="Scheme_Area_Details_Block___C20"/>
      <sheetName val="PACK_(B)20"/>
      <sheetName val="Materials_Cost20"/>
      <sheetName val="Rate_Analysis14"/>
      <sheetName val="BREAKUP_OF_OIL23"/>
      <sheetName val="Fee_Rate_Summary21"/>
      <sheetName val="Scheme_Area_Details_Block___C30"/>
      <sheetName val="PACK_(B)21"/>
      <sheetName val="Materials_Cost21"/>
      <sheetName val="Rate_Analysis15"/>
      <sheetName val="BREAKUP_OF_OIL26"/>
      <sheetName val="Fee_Rate_Summary24"/>
      <sheetName val="Scheme_Area_Details_Block___C33"/>
      <sheetName val="PACK_(B)24"/>
      <sheetName val="Materials_Cost24"/>
      <sheetName val="Rate_Analysis18"/>
      <sheetName val="BREAKUP_OF_OIL29"/>
      <sheetName val="Fee_Rate_Summary27"/>
      <sheetName val="Scheme_Area_Details_Block___C36"/>
      <sheetName val="PACK_(B)27"/>
      <sheetName val="Materials_Cost27"/>
      <sheetName val="Rate_Analysis21"/>
      <sheetName val="BREAKUP_OF_OIL27"/>
      <sheetName val="Fee_Rate_Summary25"/>
      <sheetName val="Scheme_Area_Details_Block___C34"/>
      <sheetName val="PACK_(B)25"/>
      <sheetName val="Materials_Cost25"/>
      <sheetName val="Rate_Analysis19"/>
      <sheetName val="BREAKUP_OF_OIL28"/>
      <sheetName val="Fee_Rate_Summary26"/>
      <sheetName val="Scheme_Area_Details_Block___C35"/>
      <sheetName val="PACK_(B)26"/>
      <sheetName val="Materials_Cost26"/>
      <sheetName val="Rate_Analysis20"/>
      <sheetName val="BREAKUP_OF_OIL30"/>
      <sheetName val="Fee_Rate_Summary28"/>
      <sheetName val="Scheme_Area_Details_Block___C37"/>
      <sheetName val="PACK_(B)28"/>
      <sheetName val="Materials_Cost28"/>
      <sheetName val="Rate_Analysis22"/>
      <sheetName val="BREAKUP_OF_OIL31"/>
      <sheetName val="Fee_Rate_Summary29"/>
      <sheetName val="Scheme_Area_Details_Block___C38"/>
      <sheetName val="PACK_(B)29"/>
      <sheetName val="Materials_Cost29"/>
      <sheetName val="Rate_Analysis23"/>
      <sheetName val="BREAKUP_OF_OIL32"/>
      <sheetName val="Fee_Rate_Summary30"/>
      <sheetName val="Scheme_Area_Details_Block___C39"/>
      <sheetName val="PACK_(B)30"/>
      <sheetName val="Materials_Cost30"/>
      <sheetName val="Rate_Analysis24"/>
      <sheetName val="BREAKUP_OF_OIL33"/>
      <sheetName val="Fee_Rate_Summary31"/>
      <sheetName val="Scheme_Area_Details_Block___C40"/>
      <sheetName val="PACK_(B)31"/>
      <sheetName val="Materials_Cost31"/>
      <sheetName val="Rate_Analysis25"/>
      <sheetName val="BREAKUP_OF_OIL34"/>
      <sheetName val="Fee_Rate_Summary32"/>
      <sheetName val="Scheme_Area_Details_Block___C41"/>
      <sheetName val="PACK_(B)32"/>
      <sheetName val="Materials_Cost32"/>
      <sheetName val="Rate_Analysis26"/>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 val=" L -1  sub R-bar "/>
      <sheetName val="SC Cost FEB 03"/>
      <sheetName val="IO SUMMARY"/>
      <sheetName val="TABLES"/>
      <sheetName val="CAL"/>
      <sheetName val="#REF"/>
      <sheetName val="SUMMARY"/>
      <sheetName val="220_11__BS_5"/>
      <sheetName val="PACK_(B)3"/>
      <sheetName val="Fee_Rate_Summary2"/>
      <sheetName val="DETAILED__BOQ1"/>
      <sheetName val="SPT_vs_PHI"/>
      <sheetName val="regions_&amp;_PL"/>
      <sheetName val="step_&amp;_touch_"/>
      <sheetName val="220_11__BS_6"/>
      <sheetName val="PACK_(B)4"/>
      <sheetName val="Fee_Rate_Summary3"/>
      <sheetName val="DETAILED__BOQ2"/>
      <sheetName val="SPT_vs_PHI1"/>
      <sheetName val="regions_&amp;_PL1"/>
      <sheetName val="step_&amp;_touch_1"/>
      <sheetName val="220_11__BS_7"/>
      <sheetName val="PACK_(B)5"/>
      <sheetName val="Fee_Rate_Summary4"/>
      <sheetName val="DETAILED__BOQ3"/>
      <sheetName val="SPT_vs_PHI2"/>
      <sheetName val="regions_&amp;_PL2"/>
      <sheetName val="6_TRS"/>
      <sheetName val="SP_Break_Up"/>
      <sheetName val="step_&amp;_touch_2"/>
      <sheetName val="_L_-1__sub_R-bar_"/>
      <sheetName val="SC_Cost_FEB_03"/>
      <sheetName val="IO_SUMMARY"/>
      <sheetName val="220_11__BS_8"/>
      <sheetName val="PACK_(B)6"/>
      <sheetName val="Fee_Rate_Summary5"/>
      <sheetName val="DETAILED__BOQ4"/>
      <sheetName val="SPT_vs_PHI3"/>
      <sheetName val="regions_&amp;_PL3"/>
      <sheetName val="6_TRS1"/>
      <sheetName val="SP_Break_Up1"/>
      <sheetName val="step_&amp;_touch_3"/>
      <sheetName val="_L_-1__sub_R-bar_1"/>
      <sheetName val="SC_Cost_FEB_031"/>
      <sheetName val="IO_SUMMARY1"/>
      <sheetName val="220_11__BS_9"/>
      <sheetName val="PACK_(B)7"/>
      <sheetName val="Fee_Rate_Summary6"/>
      <sheetName val="DETAILED__BOQ5"/>
      <sheetName val="SPT_vs_PHI4"/>
      <sheetName val="regions_&amp;_PL4"/>
      <sheetName val="6_TRS2"/>
      <sheetName val="SP_Break_Up2"/>
      <sheetName val="step_&amp;_touch_4"/>
      <sheetName val="_L_-1__sub_R-bar_2"/>
      <sheetName val="SC_Cost_FEB_032"/>
      <sheetName val="IO_SUMMARY2"/>
      <sheetName val="220_11__BS_10"/>
      <sheetName val="PACK_(B)8"/>
      <sheetName val="Fee_Rate_Summary7"/>
      <sheetName val="DETAILED__BOQ6"/>
      <sheetName val="SPT_vs_PHI5"/>
      <sheetName val="regions_&amp;_PL5"/>
      <sheetName val="6_TRS3"/>
      <sheetName val="SP_Break_Up3"/>
      <sheetName val="step_&amp;_touch_5"/>
      <sheetName val="_L_-1__sub_R-bar_3"/>
      <sheetName val="SC_Cost_FEB_033"/>
      <sheetName val="IO_SUMMARY3"/>
      <sheetName val="220_11__BS_11"/>
      <sheetName val="PACK_(B)9"/>
      <sheetName val="Fee_Rate_Summary8"/>
      <sheetName val="DETAILED__BOQ7"/>
      <sheetName val="SPT_vs_PHI6"/>
      <sheetName val="regions_&amp;_PL6"/>
      <sheetName val="6_TRS4"/>
      <sheetName val="SP_Break_Up4"/>
      <sheetName val="step_&amp;_touch_6"/>
      <sheetName val="_L_-1__sub_R-bar_4"/>
      <sheetName val="SC_Cost_FEB_034"/>
      <sheetName val="IO_SUMMARY4"/>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 val="04REL"/>
      <sheetName val="IP Assessment_June.08"/>
      <sheetName val="PROG_DATA"/>
      <sheetName val="材料库"/>
      <sheetName val="Key terms"/>
      <sheetName val="JUCK"/>
      <sheetName val="Copy of Battery Sizing - Workin"/>
      <sheetName val="Copy%20of%20Battery%20Sizing%20"/>
      <sheetName val="Key_terms"/>
      <sheetName val="Key_terms1"/>
      <sheetName val="장비"/>
      <sheetName val="det_est"/>
      <sheetName val="Flash Mixer"/>
      <sheetName val="leads"/>
      <sheetName val="AT-3"/>
      <sheetName val="Intr"/>
      <sheetName val="INTROD"/>
      <sheetName val="Vind - BtB"/>
      <sheetName val="No__of_cells21"/>
      <sheetName val="Load_Summary21"/>
      <sheetName val="AH_cal21"/>
      <sheetName val="K_factor21"/>
      <sheetName val="PACK_(B)21"/>
      <sheetName val="Executive_Summary_-Thermal18"/>
      <sheetName val="Stationwise_Thermal_&amp;_Hydel_G18"/>
      <sheetName val="SC_Cost_FEB_0318"/>
      <sheetName val="Rate_Analysis17"/>
      <sheetName val="Material_16"/>
      <sheetName val="Labour_&amp;_Plant16"/>
      <sheetName val="DETAILED__BOQ16"/>
      <sheetName val="beam-reinft-machine_rm16"/>
      <sheetName val="C_S_GENERATION16"/>
      <sheetName val="SPT_vs_PHI16"/>
      <sheetName val="Form_610"/>
      <sheetName val="No__of_cells22"/>
      <sheetName val="Load_Summary22"/>
      <sheetName val="AH_cal22"/>
      <sheetName val="K_factor22"/>
      <sheetName val="PACK_(B)22"/>
      <sheetName val="Executive_Summary_-Thermal19"/>
      <sheetName val="Stationwise_Thermal_&amp;_Hydel_G19"/>
      <sheetName val="SC_Cost_FEB_0319"/>
      <sheetName val="Rate_Analysis18"/>
      <sheetName val="Material_17"/>
      <sheetName val="Labour_&amp;_Plant17"/>
      <sheetName val="DETAILED__BOQ17"/>
      <sheetName val="beam-reinft-machine_rm17"/>
      <sheetName val="C_S_GENERATION17"/>
      <sheetName val="SPT_vs_PHI17"/>
      <sheetName val="Form_611"/>
      <sheetName val="No__of_cells23"/>
      <sheetName val="Load_Summary23"/>
      <sheetName val="AH_cal23"/>
      <sheetName val="K_factor23"/>
      <sheetName val="PACK_(B)23"/>
      <sheetName val="Executive_Summary_-Thermal20"/>
      <sheetName val="Stationwise_Thermal_&amp;_Hydel_G20"/>
      <sheetName val="SC_Cost_FEB_0320"/>
      <sheetName val="Rate_Analysis19"/>
      <sheetName val="Material_18"/>
      <sheetName val="Labour_&amp;_Plant18"/>
      <sheetName val="DETAILED__BOQ18"/>
      <sheetName val="beam-reinft-machine_rm18"/>
      <sheetName val="C_S_GENERATION18"/>
      <sheetName val="SPT_vs_PHI18"/>
      <sheetName val="Form_612"/>
      <sheetName val="No__of_cells28"/>
      <sheetName val="Load_Summary28"/>
      <sheetName val="AH_cal28"/>
      <sheetName val="K_factor28"/>
      <sheetName val="PACK_(B)28"/>
      <sheetName val="Executive_Summary_-Thermal25"/>
      <sheetName val="Stationwise_Thermal_&amp;_Hydel_G25"/>
      <sheetName val="SC_Cost_FEB_0325"/>
      <sheetName val="Rate_Analysis24"/>
      <sheetName val="Material_23"/>
      <sheetName val="Labour_&amp;_Plant23"/>
      <sheetName val="DETAILED__BOQ23"/>
      <sheetName val="beam-reinft-machine_rm23"/>
      <sheetName val="C_S_GENERATION23"/>
      <sheetName val="SPT_vs_PHI23"/>
      <sheetName val="Form_617"/>
      <sheetName val="No__of_cells27"/>
      <sheetName val="Load_Summary27"/>
      <sheetName val="AH_cal27"/>
      <sheetName val="K_factor27"/>
      <sheetName val="PACK_(B)27"/>
      <sheetName val="Executive_Summary_-Thermal24"/>
      <sheetName val="Stationwise_Thermal_&amp;_Hydel_G24"/>
      <sheetName val="SC_Cost_FEB_0324"/>
      <sheetName val="Rate_Analysis23"/>
      <sheetName val="Material_22"/>
      <sheetName val="Labour_&amp;_Plant22"/>
      <sheetName val="DETAILED__BOQ22"/>
      <sheetName val="beam-reinft-machine_rm22"/>
      <sheetName val="C_S_GENERATION22"/>
      <sheetName val="SPT_vs_PHI22"/>
      <sheetName val="Form_616"/>
      <sheetName val="No__of_cells24"/>
      <sheetName val="Load_Summary24"/>
      <sheetName val="AH_cal24"/>
      <sheetName val="K_factor24"/>
      <sheetName val="PACK_(B)24"/>
      <sheetName val="Executive_Summary_-Thermal21"/>
      <sheetName val="Stationwise_Thermal_&amp;_Hydel_G21"/>
      <sheetName val="SC_Cost_FEB_0321"/>
      <sheetName val="Rate_Analysis20"/>
      <sheetName val="Material_19"/>
      <sheetName val="Labour_&amp;_Plant19"/>
      <sheetName val="DETAILED__BOQ19"/>
      <sheetName val="beam-reinft-machine_rm19"/>
      <sheetName val="C_S_GENERATION19"/>
      <sheetName val="SPT_vs_PHI19"/>
      <sheetName val="Form_613"/>
      <sheetName val="No__of_cells25"/>
      <sheetName val="Load_Summary25"/>
      <sheetName val="AH_cal25"/>
      <sheetName val="K_factor25"/>
      <sheetName val="PACK_(B)25"/>
      <sheetName val="Executive_Summary_-Thermal22"/>
      <sheetName val="Stationwise_Thermal_&amp;_Hydel_G22"/>
      <sheetName val="SC_Cost_FEB_0322"/>
      <sheetName val="Rate_Analysis21"/>
      <sheetName val="Material_20"/>
      <sheetName val="Labour_&amp;_Plant20"/>
      <sheetName val="DETAILED__BOQ20"/>
      <sheetName val="beam-reinft-machine_rm20"/>
      <sheetName val="C_S_GENERATION20"/>
      <sheetName val="SPT_vs_PHI20"/>
      <sheetName val="Form_614"/>
      <sheetName val="No__of_cells26"/>
      <sheetName val="Load_Summary26"/>
      <sheetName val="AH_cal26"/>
      <sheetName val="K_factor26"/>
      <sheetName val="PACK_(B)26"/>
      <sheetName val="Executive_Summary_-Thermal23"/>
      <sheetName val="Stationwise_Thermal_&amp;_Hydel_G23"/>
      <sheetName val="SC_Cost_FEB_0323"/>
      <sheetName val="Rate_Analysis22"/>
      <sheetName val="Material_21"/>
      <sheetName val="Labour_&amp;_Plant21"/>
      <sheetName val="DETAILED__BOQ21"/>
      <sheetName val="beam-reinft-machine_rm21"/>
      <sheetName val="C_S_GENERATION21"/>
      <sheetName val="SPT_vs_PHI21"/>
      <sheetName val="Form_615"/>
      <sheetName val="No__of_cells29"/>
      <sheetName val="Load_Summary29"/>
      <sheetName val="AH_cal29"/>
      <sheetName val="K_factor29"/>
      <sheetName val="PACK_(B)29"/>
      <sheetName val="Executive_Summary_-Thermal26"/>
      <sheetName val="Stationwise_Thermal_&amp;_Hydel_G26"/>
      <sheetName val="SC_Cost_FEB_0326"/>
      <sheetName val="Rate_Analysis25"/>
      <sheetName val="Material_24"/>
      <sheetName val="Labour_&amp;_Plant24"/>
      <sheetName val="DETAILED__BOQ24"/>
      <sheetName val="beam-reinft-machine_rm24"/>
      <sheetName val="C_S_GENERATION24"/>
      <sheetName val="SPT_vs_PHI24"/>
      <sheetName val="Form_618"/>
      <sheetName val="No__of_cells32"/>
      <sheetName val="Load_Summary32"/>
      <sheetName val="AH_cal32"/>
      <sheetName val="K_factor32"/>
      <sheetName val="PACK_(B)32"/>
      <sheetName val="Executive_Summary_-Thermal29"/>
      <sheetName val="Stationwise_Thermal_&amp;_Hydel_G29"/>
      <sheetName val="SC_Cost_FEB_0329"/>
      <sheetName val="Rate_Analysis28"/>
      <sheetName val="Material_27"/>
      <sheetName val="Labour_&amp;_Plant27"/>
      <sheetName val="DETAILED__BOQ27"/>
      <sheetName val="beam-reinft-machine_rm27"/>
      <sheetName val="C_S_GENERATION27"/>
      <sheetName val="SPT_vs_PHI27"/>
      <sheetName val="Form_621"/>
      <sheetName val="No__of_cells30"/>
      <sheetName val="Load_Summary30"/>
      <sheetName val="AH_cal30"/>
      <sheetName val="K_factor30"/>
      <sheetName val="PACK_(B)30"/>
      <sheetName val="Executive_Summary_-Thermal27"/>
      <sheetName val="Stationwise_Thermal_&amp;_Hydel_G27"/>
      <sheetName val="SC_Cost_FEB_0327"/>
      <sheetName val="Rate_Analysis26"/>
      <sheetName val="Material_25"/>
      <sheetName val="Labour_&amp;_Plant25"/>
      <sheetName val="DETAILED__BOQ25"/>
      <sheetName val="beam-reinft-machine_rm25"/>
      <sheetName val="C_S_GENERATION25"/>
      <sheetName val="SPT_vs_PHI25"/>
      <sheetName val="Form_619"/>
      <sheetName val="No__of_cells31"/>
      <sheetName val="Load_Summary31"/>
      <sheetName val="AH_cal31"/>
      <sheetName val="K_factor31"/>
      <sheetName val="PACK_(B)31"/>
      <sheetName val="Executive_Summary_-Thermal28"/>
      <sheetName val="Stationwise_Thermal_&amp;_Hydel_G28"/>
      <sheetName val="SC_Cost_FEB_0328"/>
      <sheetName val="Rate_Analysis27"/>
      <sheetName val="Material_26"/>
      <sheetName val="Labour_&amp;_Plant26"/>
      <sheetName val="DETAILED__BOQ26"/>
      <sheetName val="beam-reinft-machine_rm26"/>
      <sheetName val="C_S_GENERATION26"/>
      <sheetName val="SPT_vs_PHI26"/>
      <sheetName val="Form_620"/>
      <sheetName val="DESBASTE"/>
      <sheetName val="No__of_cells33"/>
      <sheetName val="Load_Summary33"/>
      <sheetName val="AH_cal33"/>
      <sheetName val="K_factor33"/>
      <sheetName val="PACK_(B)33"/>
      <sheetName val="Executive_Summary_-Thermal30"/>
      <sheetName val="Stationwise_Thermal_&amp;_Hydel_G30"/>
      <sheetName val="SC_Cost_FEB_0330"/>
      <sheetName val="Rate_Analysis29"/>
      <sheetName val="Material_28"/>
      <sheetName val="Labour_&amp;_Plant28"/>
      <sheetName val="DETAILED__BOQ28"/>
      <sheetName val="beam-reinft-machine_rm28"/>
      <sheetName val="C_S_GENERATION28"/>
      <sheetName val="SPT_vs_PHI28"/>
      <sheetName val="Form_622"/>
      <sheetName val="Key_terms2"/>
      <sheetName val="Copy_of_Battery_Sizing_-_Workin"/>
      <sheetName val="Anex-1_Con_Load"/>
      <sheetName val="Flash_Mixer"/>
      <sheetName val="No__of_cells34"/>
      <sheetName val="Load_Summary34"/>
      <sheetName val="AH_cal34"/>
      <sheetName val="K_factor34"/>
      <sheetName val="PACK_(B)34"/>
      <sheetName val="Executive_Summary_-Thermal31"/>
      <sheetName val="Stationwise_Thermal_&amp;_Hydel_G31"/>
      <sheetName val="SC_Cost_FEB_0331"/>
      <sheetName val="Rate_Analysis30"/>
      <sheetName val="Material_29"/>
      <sheetName val="Labour_&amp;_Plant29"/>
      <sheetName val="DETAILED__BOQ29"/>
      <sheetName val="beam-reinft-machine_rm29"/>
      <sheetName val="C_S_GENERATION29"/>
      <sheetName val="SPT_vs_PHI29"/>
      <sheetName val="Form_623"/>
      <sheetName val="Key_terms3"/>
      <sheetName val="Copy_of_Battery_Sizing_-_Worki1"/>
      <sheetName val="Anex-1_Con_Load1"/>
      <sheetName val="Flash_Mixer1"/>
      <sheetName val="No__of_cells35"/>
      <sheetName val="Load_Summary35"/>
      <sheetName val="AH_cal35"/>
      <sheetName val="K_factor35"/>
      <sheetName val="PACK_(B)35"/>
      <sheetName val="Executive_Summary_-Thermal32"/>
      <sheetName val="Stationwise_Thermal_&amp;_Hydel_G32"/>
      <sheetName val="SC_Cost_FEB_0332"/>
      <sheetName val="Rate_Analysis31"/>
      <sheetName val="Material_30"/>
      <sheetName val="Labour_&amp;_Plant30"/>
      <sheetName val="DETAILED__BOQ30"/>
      <sheetName val="beam-reinft-machine_rm30"/>
      <sheetName val="C_S_GENERATION30"/>
      <sheetName val="SPT_vs_PHI30"/>
      <sheetName val="Form_624"/>
      <sheetName val="Key_terms4"/>
      <sheetName val="Copy_of_Battery_Sizing_-_Worki2"/>
      <sheetName val="Anex-1_Con_Load2"/>
      <sheetName val="Flash_Mixer2"/>
      <sheetName val="No__of_cells36"/>
      <sheetName val="Load_Summary36"/>
      <sheetName val="AH_cal36"/>
      <sheetName val="K_factor36"/>
      <sheetName val="PACK_(B)36"/>
      <sheetName val="Executive_Summary_-Thermal33"/>
      <sheetName val="Stationwise_Thermal_&amp;_Hydel_G33"/>
      <sheetName val="SC_Cost_FEB_0333"/>
      <sheetName val="Rate_Analysis32"/>
      <sheetName val="Material_31"/>
      <sheetName val="Labour_&amp;_Plant31"/>
      <sheetName val="DETAILED__BOQ31"/>
      <sheetName val="beam-reinft-machine_rm31"/>
      <sheetName val="C_S_GENERATION31"/>
      <sheetName val="SPT_vs_PHI31"/>
      <sheetName val="Form_625"/>
      <sheetName val="Key_terms5"/>
      <sheetName val="Copy_of_Battery_Sizing_-_Worki3"/>
      <sheetName val="Anex-1_Con_Load3"/>
      <sheetName val="Flash_Mixer3"/>
      <sheetName val="No__of_cells37"/>
      <sheetName val="Load_Summary37"/>
      <sheetName val="AH_cal37"/>
      <sheetName val="K_factor37"/>
      <sheetName val="PACK_(B)37"/>
      <sheetName val="Executive_Summary_-Thermal34"/>
      <sheetName val="Stationwise_Thermal_&amp;_Hydel_G34"/>
      <sheetName val="SC_Cost_FEB_0334"/>
      <sheetName val="Rate_Analysis33"/>
      <sheetName val="Material_32"/>
      <sheetName val="Labour_&amp;_Plant32"/>
      <sheetName val="DETAILED__BOQ32"/>
      <sheetName val="beam-reinft-machine_rm32"/>
      <sheetName val="C_S_GENERATION32"/>
      <sheetName val="SPT_vs_PHI32"/>
      <sheetName val="Form_626"/>
      <sheetName val="Key_terms6"/>
      <sheetName val="Copy_of_Battery_Sizing_-_Worki4"/>
      <sheetName val="Anex-1_Con_Load4"/>
      <sheetName val="Flash_Mixer4"/>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 val="Cost Reco data download"/>
      <sheetName val="SPT vs PHI"/>
      <sheetName val="Database"/>
      <sheetName val="SCHEDULE"/>
      <sheetName val="schedule nos"/>
      <sheetName val="材料库"/>
      <sheetName val="schedule_nos"/>
      <sheetName val="schedule_nos1"/>
      <sheetName val=" L -1  sub R-bar "/>
      <sheetName val="DLC"/>
      <sheetName val="EDWise"/>
      <sheetName val="Scheme Area Details_Block__ C2"/>
      <sheetName val="New33KVSS_E3"/>
      <sheetName val="Prop aug of Ex 33KVSS_E3a"/>
      <sheetName val="Executive Summary -Thermal"/>
      <sheetName val="Stationwise Thermal &amp; Hydel Gen"/>
      <sheetName val="TWELVE"/>
      <sheetName val="Closing"/>
      <sheetName val="Dom"/>
      <sheetName val="Ag LF"/>
      <sheetName val="HDPE"/>
      <sheetName val="DI"/>
      <sheetName val="pvc"/>
      <sheetName val="Design basis-C"/>
      <sheetName val="Tees"/>
      <sheetName val="r"/>
      <sheetName val="BLK2"/>
      <sheetName val="BLK3"/>
      <sheetName val="E &amp; R"/>
      <sheetName val="radar"/>
      <sheetName val="UG"/>
      <sheetName val="Rate Analysis"/>
      <sheetName val="INPUT SHEET"/>
      <sheetName val="RES-PLANNING"/>
      <sheetName val="drg"/>
      <sheetName val="OVH"/>
      <sheetName val="Load Details(B1)"/>
      <sheetName val="Sch-3"/>
      <sheetName val="Tow_Sch1"/>
      <sheetName val="PACK_(B)21"/>
      <sheetName val="Rough_samut_sakhon21"/>
      <sheetName val="basic_rates_Samut_sakhon21"/>
      <sheetName val="Rate_Samut_sakhon21"/>
      <sheetName val="Title-Sh_21"/>
      <sheetName val="Civil_Works21"/>
      <sheetName val="Anx-A_(Gantry_structre)21"/>
      <sheetName val="Anx-B__(Eqpt_structre)21"/>
      <sheetName val="Anx-_C_(Gantry_fdn)21"/>
      <sheetName val="Anx-D_(Eqpt_fdn)21"/>
      <sheetName val="Anx-E_(Transf_fdn)21"/>
      <sheetName val="Anx-F_(Cable_Trench)21"/>
      <sheetName val="Anx-G(RCC_Road)21"/>
      <sheetName val="Anx-H_(chain_link_fence)21"/>
      <sheetName val="Anx-_I_(RCC_Sump_Tank)21"/>
      <sheetName val="Anx-J_(Retaining_wall)21"/>
      <sheetName val="Anx-K(Fire_Pump_Station)21"/>
      <sheetName val="Anx-L_(Sign_Board)21"/>
      <sheetName val="Anx-M_(LampPost&amp;RoadLightin_F21"/>
      <sheetName val="Anx-_N_(Soil_inves)_21"/>
      <sheetName val="Anx-O(Bldg_chachoengsao_SS)21"/>
      <sheetName val="Anx-P(Bldg_Samut_shakon_SS)21"/>
      <sheetName val="Anx-Q_(Busduct_Fdn)21"/>
      <sheetName val="Anx-R_(_fdn)_21"/>
      <sheetName val="Anx-S_(RC_Pipe_-water_Supply)21"/>
      <sheetName val="Anx-T_(Drain)21"/>
      <sheetName val="Anx-U(Water_tank_)21"/>
      <sheetName val="Anx-V_(Guard_House)21"/>
      <sheetName val="COSTING_(import)18"/>
      <sheetName val="SchA_220kV_Line18"/>
      <sheetName val="Sch_220kV_Line_Telecom18"/>
      <sheetName val="SCH-B_LINE18"/>
      <sheetName val="SCH-B_Civil_Line18"/>
      <sheetName val="STN_WISE_EMR18"/>
      <sheetName val="Anex-1_Con_Load18"/>
      <sheetName val="Leg_1-118"/>
      <sheetName val="Load_Details(B2)17"/>
      <sheetName val="BREAKUP_OF_OIL16"/>
      <sheetName val="Form_616"/>
      <sheetName val="R_Hrs__Since_Comm10"/>
      <sheetName val="SECONDARY_DESIGN10"/>
      <sheetName val="Tow_Sch2"/>
      <sheetName val="PACK_(B)22"/>
      <sheetName val="Rough_samut_sakhon22"/>
      <sheetName val="basic_rates_Samut_sakhon22"/>
      <sheetName val="Rate_Samut_sakhon22"/>
      <sheetName val="Title-Sh_22"/>
      <sheetName val="Civil_Works22"/>
      <sheetName val="Anx-A_(Gantry_structre)22"/>
      <sheetName val="Anx-B__(Eqpt_structre)22"/>
      <sheetName val="Anx-_C_(Gantry_fdn)22"/>
      <sheetName val="Anx-D_(Eqpt_fdn)22"/>
      <sheetName val="Anx-E_(Transf_fdn)22"/>
      <sheetName val="Anx-F_(Cable_Trench)22"/>
      <sheetName val="Anx-G(RCC_Road)22"/>
      <sheetName val="Anx-H_(chain_link_fence)22"/>
      <sheetName val="Anx-_I_(RCC_Sump_Tank)22"/>
      <sheetName val="Anx-J_(Retaining_wall)22"/>
      <sheetName val="Anx-K(Fire_Pump_Station)22"/>
      <sheetName val="Anx-L_(Sign_Board)22"/>
      <sheetName val="Anx-M_(LampPost&amp;RoadLightin_F22"/>
      <sheetName val="Anx-_N_(Soil_inves)_22"/>
      <sheetName val="Anx-O(Bldg_chachoengsao_SS)22"/>
      <sheetName val="Anx-P(Bldg_Samut_shakon_SS)22"/>
      <sheetName val="Anx-Q_(Busduct_Fdn)22"/>
      <sheetName val="Anx-R_(_fdn)_22"/>
      <sheetName val="Anx-S_(RC_Pipe_-water_Supply)22"/>
      <sheetName val="Anx-T_(Drain)22"/>
      <sheetName val="Anx-U(Water_tank_)22"/>
      <sheetName val="Anx-V_(Guard_House)22"/>
      <sheetName val="COSTING_(import)19"/>
      <sheetName val="SchA_220kV_Line19"/>
      <sheetName val="Sch_220kV_Line_Telecom19"/>
      <sheetName val="SCH-B_LINE19"/>
      <sheetName val="SCH-B_Civil_Line19"/>
      <sheetName val="STN_WISE_EMR19"/>
      <sheetName val="Anex-1_Con_Load19"/>
      <sheetName val="Leg_1-119"/>
      <sheetName val="Load_Details(B2)18"/>
      <sheetName val="BREAKUP_OF_OIL17"/>
      <sheetName val="Form_617"/>
      <sheetName val="R_Hrs__Since_Comm11"/>
      <sheetName val="SECONDARY_DESIGN11"/>
      <sheetName val="PACK_(B)23"/>
      <sheetName val="Rough_samut_sakhon23"/>
      <sheetName val="basic_rates_Samut_sakhon23"/>
      <sheetName val="Rate_Samut_sakhon23"/>
      <sheetName val="Title-Sh_23"/>
      <sheetName val="Civil_Works23"/>
      <sheetName val="Anx-A_(Gantry_structre)23"/>
      <sheetName val="Anx-B__(Eqpt_structre)23"/>
      <sheetName val="Anx-_C_(Gantry_fdn)23"/>
      <sheetName val="Anx-D_(Eqpt_fdn)23"/>
      <sheetName val="Anx-E_(Transf_fdn)23"/>
      <sheetName val="Anx-F_(Cable_Trench)23"/>
      <sheetName val="Anx-G(RCC_Road)23"/>
      <sheetName val="Anx-H_(chain_link_fence)23"/>
      <sheetName val="Anx-_I_(RCC_Sump_Tank)23"/>
      <sheetName val="Anx-J_(Retaining_wall)23"/>
      <sheetName val="Anx-K(Fire_Pump_Station)23"/>
      <sheetName val="Anx-L_(Sign_Board)23"/>
      <sheetName val="Anx-M_(LampPost&amp;RoadLightin_F23"/>
      <sheetName val="Anx-_N_(Soil_inves)_23"/>
      <sheetName val="Anx-O(Bldg_chachoengsao_SS)23"/>
      <sheetName val="Anx-P(Bldg_Samut_shakon_SS)23"/>
      <sheetName val="Anx-Q_(Busduct_Fdn)23"/>
      <sheetName val="Anx-R_(_fdn)_23"/>
      <sheetName val="Anx-S_(RC_Pipe_-water_Supply)23"/>
      <sheetName val="Anx-T_(Drain)23"/>
      <sheetName val="Anx-U(Water_tank_)23"/>
      <sheetName val="Anx-V_(Guard_House)23"/>
      <sheetName val="COSTING_(import)20"/>
      <sheetName val="SchA_220kV_Line20"/>
      <sheetName val="Sch_220kV_Line_Telecom20"/>
      <sheetName val="SCH-B_LINE20"/>
      <sheetName val="SCH-B_Civil_Line20"/>
      <sheetName val="STN_WISE_EMR20"/>
      <sheetName val="Anex-1_Con_Load20"/>
      <sheetName val="Leg_1-120"/>
      <sheetName val="Load_Details(B2)19"/>
      <sheetName val="BREAKUP_OF_OIL18"/>
      <sheetName val="Form_618"/>
      <sheetName val="R_Hrs__Since_Comm12"/>
      <sheetName val="SECONDARY_DESIGN12"/>
      <sheetName val="Tow_Sch3"/>
      <sheetName val="PACK_(B)28"/>
      <sheetName val="Rough_samut_sakhon28"/>
      <sheetName val="basic_rates_Samut_sakhon28"/>
      <sheetName val="Rate_Samut_sakhon28"/>
      <sheetName val="Title-Sh_28"/>
      <sheetName val="Civil_Works28"/>
      <sheetName val="Anx-A_(Gantry_structre)28"/>
      <sheetName val="Anx-B__(Eqpt_structre)28"/>
      <sheetName val="Anx-_C_(Gantry_fdn)28"/>
      <sheetName val="Anx-D_(Eqpt_fdn)28"/>
      <sheetName val="Anx-E_(Transf_fdn)28"/>
      <sheetName val="Anx-F_(Cable_Trench)28"/>
      <sheetName val="Anx-G(RCC_Road)28"/>
      <sheetName val="Anx-H_(chain_link_fence)28"/>
      <sheetName val="Anx-_I_(RCC_Sump_Tank)28"/>
      <sheetName val="Anx-J_(Retaining_wall)28"/>
      <sheetName val="Anx-K(Fire_Pump_Station)28"/>
      <sheetName val="Anx-L_(Sign_Board)28"/>
      <sheetName val="Anx-M_(LampPost&amp;RoadLightin_F28"/>
      <sheetName val="Anx-_N_(Soil_inves)_28"/>
      <sheetName val="Anx-O(Bldg_chachoengsao_SS)28"/>
      <sheetName val="Anx-P(Bldg_Samut_shakon_SS)28"/>
      <sheetName val="Anx-Q_(Busduct_Fdn)28"/>
      <sheetName val="Anx-R_(_fdn)_28"/>
      <sheetName val="Anx-S_(RC_Pipe_-water_Supply)28"/>
      <sheetName val="Anx-T_(Drain)28"/>
      <sheetName val="Anx-U(Water_tank_)28"/>
      <sheetName val="Anx-V_(Guard_House)28"/>
      <sheetName val="COSTING_(import)25"/>
      <sheetName val="SchA_220kV_Line25"/>
      <sheetName val="Sch_220kV_Line_Telecom25"/>
      <sheetName val="SCH-B_LINE25"/>
      <sheetName val="SCH-B_Civil_Line25"/>
      <sheetName val="STN_WISE_EMR25"/>
      <sheetName val="Anex-1_Con_Load25"/>
      <sheetName val="Leg_1-125"/>
      <sheetName val="Load_Details(B2)24"/>
      <sheetName val="BREAKUP_OF_OIL23"/>
      <sheetName val="Form_623"/>
      <sheetName val="R_Hrs__Since_Comm17"/>
      <sheetName val="SECONDARY_DESIGN17"/>
      <sheetName val="Tow_Sch8"/>
      <sheetName val="PACK_(B)27"/>
      <sheetName val="Rough_samut_sakhon27"/>
      <sheetName val="basic_rates_Samut_sakhon27"/>
      <sheetName val="Rate_Samut_sakhon27"/>
      <sheetName val="Title-Sh_27"/>
      <sheetName val="Civil_Works27"/>
      <sheetName val="Anx-A_(Gantry_structre)27"/>
      <sheetName val="Anx-B__(Eqpt_structre)27"/>
      <sheetName val="Anx-_C_(Gantry_fdn)27"/>
      <sheetName val="Anx-D_(Eqpt_fdn)27"/>
      <sheetName val="Anx-E_(Transf_fdn)27"/>
      <sheetName val="Anx-F_(Cable_Trench)27"/>
      <sheetName val="Anx-G(RCC_Road)27"/>
      <sheetName val="Anx-H_(chain_link_fence)27"/>
      <sheetName val="Anx-_I_(RCC_Sump_Tank)27"/>
      <sheetName val="Anx-J_(Retaining_wall)27"/>
      <sheetName val="Anx-K(Fire_Pump_Station)27"/>
      <sheetName val="Anx-L_(Sign_Board)27"/>
      <sheetName val="Anx-M_(LampPost&amp;RoadLightin_F27"/>
      <sheetName val="Anx-_N_(Soil_inves)_27"/>
      <sheetName val="Anx-O(Bldg_chachoengsao_SS)27"/>
      <sheetName val="Anx-P(Bldg_Samut_shakon_SS)27"/>
      <sheetName val="Anx-Q_(Busduct_Fdn)27"/>
      <sheetName val="Anx-R_(_fdn)_27"/>
      <sheetName val="Anx-S_(RC_Pipe_-water_Supply)27"/>
      <sheetName val="Anx-T_(Drain)27"/>
      <sheetName val="Anx-U(Water_tank_)27"/>
      <sheetName val="Anx-V_(Guard_House)27"/>
      <sheetName val="COSTING_(import)24"/>
      <sheetName val="SchA_220kV_Line24"/>
      <sheetName val="Sch_220kV_Line_Telecom24"/>
      <sheetName val="SCH-B_LINE24"/>
      <sheetName val="SCH-B_Civil_Line24"/>
      <sheetName val="STN_WISE_EMR24"/>
      <sheetName val="Anex-1_Con_Load24"/>
      <sheetName val="Leg_1-124"/>
      <sheetName val="Load_Details(B2)23"/>
      <sheetName val="BREAKUP_OF_OIL22"/>
      <sheetName val="Form_622"/>
      <sheetName val="R_Hrs__Since_Comm16"/>
      <sheetName val="SECONDARY_DESIGN16"/>
      <sheetName val="Tow_Sch7"/>
      <sheetName val="PACK_(B)24"/>
      <sheetName val="Rough_samut_sakhon24"/>
      <sheetName val="basic_rates_Samut_sakhon24"/>
      <sheetName val="Rate_Samut_sakhon24"/>
      <sheetName val="Title-Sh_24"/>
      <sheetName val="Civil_Works24"/>
      <sheetName val="Anx-A_(Gantry_structre)24"/>
      <sheetName val="Anx-B__(Eqpt_structre)24"/>
      <sheetName val="Anx-_C_(Gantry_fdn)24"/>
      <sheetName val="Anx-D_(Eqpt_fdn)24"/>
      <sheetName val="Anx-E_(Transf_fdn)24"/>
      <sheetName val="Anx-F_(Cable_Trench)24"/>
      <sheetName val="Anx-G(RCC_Road)24"/>
      <sheetName val="Anx-H_(chain_link_fence)24"/>
      <sheetName val="Anx-_I_(RCC_Sump_Tank)24"/>
      <sheetName val="Anx-J_(Retaining_wall)24"/>
      <sheetName val="Anx-K(Fire_Pump_Station)24"/>
      <sheetName val="Anx-L_(Sign_Board)24"/>
      <sheetName val="Anx-M_(LampPost&amp;RoadLightin_F24"/>
      <sheetName val="Anx-_N_(Soil_inves)_24"/>
      <sheetName val="Anx-O(Bldg_chachoengsao_SS)24"/>
      <sheetName val="Anx-P(Bldg_Samut_shakon_SS)24"/>
      <sheetName val="Anx-Q_(Busduct_Fdn)24"/>
      <sheetName val="Anx-R_(_fdn)_24"/>
      <sheetName val="Anx-S_(RC_Pipe_-water_Supply)24"/>
      <sheetName val="Anx-T_(Drain)24"/>
      <sheetName val="Anx-U(Water_tank_)24"/>
      <sheetName val="Anx-V_(Guard_House)24"/>
      <sheetName val="COSTING_(import)21"/>
      <sheetName val="SchA_220kV_Line21"/>
      <sheetName val="Sch_220kV_Line_Telecom21"/>
      <sheetName val="SCH-B_LINE21"/>
      <sheetName val="SCH-B_Civil_Line21"/>
      <sheetName val="STN_WISE_EMR21"/>
      <sheetName val="Anex-1_Con_Load21"/>
      <sheetName val="Leg_1-121"/>
      <sheetName val="Load_Details(B2)20"/>
      <sheetName val="BREAKUP_OF_OIL19"/>
      <sheetName val="Form_619"/>
      <sheetName val="R_Hrs__Since_Comm13"/>
      <sheetName val="SECONDARY_DESIGN13"/>
      <sheetName val="Tow_Sch4"/>
      <sheetName val="PACK_(B)25"/>
      <sheetName val="Rough_samut_sakhon25"/>
      <sheetName val="basic_rates_Samut_sakhon25"/>
      <sheetName val="Rate_Samut_sakhon25"/>
      <sheetName val="Title-Sh_25"/>
      <sheetName val="Civil_Works25"/>
      <sheetName val="Anx-A_(Gantry_structre)25"/>
      <sheetName val="Anx-B__(Eqpt_structre)25"/>
      <sheetName val="Anx-_C_(Gantry_fdn)25"/>
      <sheetName val="Anx-D_(Eqpt_fdn)25"/>
      <sheetName val="Anx-E_(Transf_fdn)25"/>
      <sheetName val="Anx-F_(Cable_Trench)25"/>
      <sheetName val="Anx-G(RCC_Road)25"/>
      <sheetName val="Anx-H_(chain_link_fence)25"/>
      <sheetName val="Anx-_I_(RCC_Sump_Tank)25"/>
      <sheetName val="Anx-J_(Retaining_wall)25"/>
      <sheetName val="Anx-K(Fire_Pump_Station)25"/>
      <sheetName val="Anx-L_(Sign_Board)25"/>
      <sheetName val="Anx-M_(LampPost&amp;RoadLightin_F25"/>
      <sheetName val="Anx-_N_(Soil_inves)_25"/>
      <sheetName val="Anx-O(Bldg_chachoengsao_SS)25"/>
      <sheetName val="Anx-P(Bldg_Samut_shakon_SS)25"/>
      <sheetName val="Anx-Q_(Busduct_Fdn)25"/>
      <sheetName val="Anx-R_(_fdn)_25"/>
      <sheetName val="Anx-S_(RC_Pipe_-water_Supply)25"/>
      <sheetName val="Anx-T_(Drain)25"/>
      <sheetName val="Anx-U(Water_tank_)25"/>
      <sheetName val="Anx-V_(Guard_House)25"/>
      <sheetName val="COSTING_(import)22"/>
      <sheetName val="SchA_220kV_Line22"/>
      <sheetName val="Sch_220kV_Line_Telecom22"/>
      <sheetName val="SCH-B_LINE22"/>
      <sheetName val="SCH-B_Civil_Line22"/>
      <sheetName val="STN_WISE_EMR22"/>
      <sheetName val="Anex-1_Con_Load22"/>
      <sheetName val="Leg_1-122"/>
      <sheetName val="Load_Details(B2)21"/>
      <sheetName val="BREAKUP_OF_OIL20"/>
      <sheetName val="Form_620"/>
      <sheetName val="R_Hrs__Since_Comm14"/>
      <sheetName val="SECONDARY_DESIGN14"/>
      <sheetName val="Tow_Sch5"/>
      <sheetName val="PACK_(B)26"/>
      <sheetName val="Rough_samut_sakhon26"/>
      <sheetName val="basic_rates_Samut_sakhon26"/>
      <sheetName val="Rate_Samut_sakhon26"/>
      <sheetName val="Title-Sh_26"/>
      <sheetName val="Civil_Works26"/>
      <sheetName val="Anx-A_(Gantry_structre)26"/>
      <sheetName val="Anx-B__(Eqpt_structre)26"/>
      <sheetName val="Anx-_C_(Gantry_fdn)26"/>
      <sheetName val="Anx-D_(Eqpt_fdn)26"/>
      <sheetName val="Anx-E_(Transf_fdn)26"/>
      <sheetName val="Anx-F_(Cable_Trench)26"/>
      <sheetName val="Anx-G(RCC_Road)26"/>
      <sheetName val="Anx-H_(chain_link_fence)26"/>
      <sheetName val="Anx-_I_(RCC_Sump_Tank)26"/>
      <sheetName val="Anx-J_(Retaining_wall)26"/>
      <sheetName val="Anx-K(Fire_Pump_Station)26"/>
      <sheetName val="Anx-L_(Sign_Board)26"/>
      <sheetName val="Anx-M_(LampPost&amp;RoadLightin_F26"/>
      <sheetName val="Anx-_N_(Soil_inves)_26"/>
      <sheetName val="Anx-O(Bldg_chachoengsao_SS)26"/>
      <sheetName val="Anx-P(Bldg_Samut_shakon_SS)26"/>
      <sheetName val="Anx-Q_(Busduct_Fdn)26"/>
      <sheetName val="Anx-R_(_fdn)_26"/>
      <sheetName val="Anx-S_(RC_Pipe_-water_Supply)26"/>
      <sheetName val="Anx-T_(Drain)26"/>
      <sheetName val="Anx-U(Water_tank_)26"/>
      <sheetName val="Anx-V_(Guard_House)26"/>
      <sheetName val="COSTING_(import)23"/>
      <sheetName val="SchA_220kV_Line23"/>
      <sheetName val="Sch_220kV_Line_Telecom23"/>
      <sheetName val="SCH-B_LINE23"/>
      <sheetName val="SCH-B_Civil_Line23"/>
      <sheetName val="STN_WISE_EMR23"/>
      <sheetName val="Anex-1_Con_Load23"/>
      <sheetName val="Leg_1-123"/>
      <sheetName val="Load_Details(B2)22"/>
      <sheetName val="BREAKUP_OF_OIL21"/>
      <sheetName val="Form_621"/>
      <sheetName val="R_Hrs__Since_Comm15"/>
      <sheetName val="SECONDARY_DESIGN15"/>
      <sheetName val="Tow_Sch6"/>
      <sheetName val="PACK_(B)29"/>
      <sheetName val="Rough_samut_sakhon29"/>
      <sheetName val="basic_rates_Samut_sakhon29"/>
      <sheetName val="Rate_Samut_sakhon29"/>
      <sheetName val="Title-Sh_29"/>
      <sheetName val="Civil_Works29"/>
      <sheetName val="Anx-A_(Gantry_structre)29"/>
      <sheetName val="Anx-B__(Eqpt_structre)29"/>
      <sheetName val="Anx-_C_(Gantry_fdn)29"/>
      <sheetName val="Anx-D_(Eqpt_fdn)29"/>
      <sheetName val="Anx-E_(Transf_fdn)29"/>
      <sheetName val="Anx-F_(Cable_Trench)29"/>
      <sheetName val="Anx-G(RCC_Road)29"/>
      <sheetName val="Anx-H_(chain_link_fence)29"/>
      <sheetName val="Anx-_I_(RCC_Sump_Tank)29"/>
      <sheetName val="Anx-J_(Retaining_wall)29"/>
      <sheetName val="Anx-K(Fire_Pump_Station)29"/>
      <sheetName val="Anx-L_(Sign_Board)29"/>
      <sheetName val="Anx-M_(LampPost&amp;RoadLightin_F29"/>
      <sheetName val="Anx-_N_(Soil_inves)_29"/>
      <sheetName val="Anx-O(Bldg_chachoengsao_SS)29"/>
      <sheetName val="Anx-P(Bldg_Samut_shakon_SS)29"/>
      <sheetName val="Anx-Q_(Busduct_Fdn)29"/>
      <sheetName val="Anx-R_(_fdn)_29"/>
      <sheetName val="Anx-S_(RC_Pipe_-water_Supply)29"/>
      <sheetName val="Anx-T_(Drain)29"/>
      <sheetName val="Anx-U(Water_tank_)29"/>
      <sheetName val="Anx-V_(Guard_House)29"/>
      <sheetName val="COSTING_(import)26"/>
      <sheetName val="SchA_220kV_Line26"/>
      <sheetName val="Sch_220kV_Line_Telecom26"/>
      <sheetName val="SCH-B_LINE26"/>
      <sheetName val="SCH-B_Civil_Line26"/>
      <sheetName val="STN_WISE_EMR26"/>
      <sheetName val="Anex-1_Con_Load26"/>
      <sheetName val="Leg_1-126"/>
      <sheetName val="Load_Details(B2)25"/>
      <sheetName val="BREAKUP_OF_OIL24"/>
      <sheetName val="Form_624"/>
      <sheetName val="R_Hrs__Since_Comm18"/>
      <sheetName val="SECONDARY_DESIGN18"/>
      <sheetName val="Tow_Sch9"/>
      <sheetName val="PACK_(B)32"/>
      <sheetName val="Rough_samut_sakhon32"/>
      <sheetName val="basic_rates_Samut_sakhon32"/>
      <sheetName val="Rate_Samut_sakhon32"/>
      <sheetName val="Title-Sh_32"/>
      <sheetName val="Civil_Works32"/>
      <sheetName val="Anx-A_(Gantry_structre)32"/>
      <sheetName val="Anx-B__(Eqpt_structre)32"/>
      <sheetName val="Anx-_C_(Gantry_fdn)32"/>
      <sheetName val="Anx-D_(Eqpt_fdn)32"/>
      <sheetName val="Anx-E_(Transf_fdn)32"/>
      <sheetName val="Anx-F_(Cable_Trench)32"/>
      <sheetName val="Anx-G(RCC_Road)32"/>
      <sheetName val="Anx-H_(chain_link_fence)32"/>
      <sheetName val="Anx-_I_(RCC_Sump_Tank)32"/>
      <sheetName val="Anx-J_(Retaining_wall)32"/>
      <sheetName val="Anx-K(Fire_Pump_Station)32"/>
      <sheetName val="Anx-L_(Sign_Board)32"/>
      <sheetName val="Anx-M_(LampPost&amp;RoadLightin_F32"/>
      <sheetName val="Anx-_N_(Soil_inves)_32"/>
      <sheetName val="Anx-O(Bldg_chachoengsao_SS)32"/>
      <sheetName val="Anx-P(Bldg_Samut_shakon_SS)32"/>
      <sheetName val="Anx-Q_(Busduct_Fdn)32"/>
      <sheetName val="Anx-R_(_fdn)_32"/>
      <sheetName val="Anx-S_(RC_Pipe_-water_Supply)32"/>
      <sheetName val="Anx-T_(Drain)32"/>
      <sheetName val="Anx-U(Water_tank_)32"/>
      <sheetName val="Anx-V_(Guard_House)32"/>
      <sheetName val="COSTING_(import)29"/>
      <sheetName val="SchA_220kV_Line29"/>
      <sheetName val="Sch_220kV_Line_Telecom29"/>
      <sheetName val="SCH-B_LINE29"/>
      <sheetName val="SCH-B_Civil_Line29"/>
      <sheetName val="STN_WISE_EMR29"/>
      <sheetName val="Anex-1_Con_Load29"/>
      <sheetName val="Leg_1-129"/>
      <sheetName val="Load_Details(B2)28"/>
      <sheetName val="BREAKUP_OF_OIL27"/>
      <sheetName val="Form_627"/>
      <sheetName val="R_Hrs__Since_Comm21"/>
      <sheetName val="SECONDARY_DESIGN21"/>
      <sheetName val="Tow_Sch12"/>
      <sheetName val="PACK_(B)30"/>
      <sheetName val="Rough_samut_sakhon30"/>
      <sheetName val="basic_rates_Samut_sakhon30"/>
      <sheetName val="Rate_Samut_sakhon30"/>
      <sheetName val="Title-Sh_30"/>
      <sheetName val="Civil_Works30"/>
      <sheetName val="Anx-A_(Gantry_structre)30"/>
      <sheetName val="Anx-B__(Eqpt_structre)30"/>
      <sheetName val="Anx-_C_(Gantry_fdn)30"/>
      <sheetName val="Anx-D_(Eqpt_fdn)30"/>
      <sheetName val="Anx-E_(Transf_fdn)30"/>
      <sheetName val="Anx-F_(Cable_Trench)30"/>
      <sheetName val="Anx-G(RCC_Road)30"/>
      <sheetName val="Anx-H_(chain_link_fence)30"/>
      <sheetName val="Anx-_I_(RCC_Sump_Tank)30"/>
      <sheetName val="Anx-J_(Retaining_wall)30"/>
      <sheetName val="Anx-K(Fire_Pump_Station)30"/>
      <sheetName val="Anx-L_(Sign_Board)30"/>
      <sheetName val="Anx-M_(LampPost&amp;RoadLightin_F30"/>
      <sheetName val="Anx-_N_(Soil_inves)_30"/>
      <sheetName val="Anx-O(Bldg_chachoengsao_SS)30"/>
      <sheetName val="Anx-P(Bldg_Samut_shakon_SS)30"/>
      <sheetName val="Anx-Q_(Busduct_Fdn)30"/>
      <sheetName val="Anx-R_(_fdn)_30"/>
      <sheetName val="Anx-S_(RC_Pipe_-water_Supply)30"/>
      <sheetName val="Anx-T_(Drain)30"/>
      <sheetName val="Anx-U(Water_tank_)30"/>
      <sheetName val="Anx-V_(Guard_House)30"/>
      <sheetName val="COSTING_(import)27"/>
      <sheetName val="SchA_220kV_Line27"/>
      <sheetName val="Sch_220kV_Line_Telecom27"/>
      <sheetName val="SCH-B_LINE27"/>
      <sheetName val="SCH-B_Civil_Line27"/>
      <sheetName val="STN_WISE_EMR27"/>
      <sheetName val="Anex-1_Con_Load27"/>
      <sheetName val="Leg_1-127"/>
      <sheetName val="Load_Details(B2)26"/>
      <sheetName val="BREAKUP_OF_OIL25"/>
      <sheetName val="Form_625"/>
      <sheetName val="R_Hrs__Since_Comm19"/>
      <sheetName val="SECONDARY_DESIGN19"/>
      <sheetName val="Tow_Sch10"/>
      <sheetName val="PACK_(B)31"/>
      <sheetName val="Rough_samut_sakhon31"/>
      <sheetName val="basic_rates_Samut_sakhon31"/>
      <sheetName val="Rate_Samut_sakhon31"/>
      <sheetName val="Title-Sh_31"/>
      <sheetName val="Civil_Works31"/>
      <sheetName val="Anx-A_(Gantry_structre)31"/>
      <sheetName val="Anx-B__(Eqpt_structre)31"/>
      <sheetName val="Anx-_C_(Gantry_fdn)31"/>
      <sheetName val="Anx-D_(Eqpt_fdn)31"/>
      <sheetName val="Anx-E_(Transf_fdn)31"/>
      <sheetName val="Anx-F_(Cable_Trench)31"/>
      <sheetName val="Anx-G(RCC_Road)31"/>
      <sheetName val="Anx-H_(chain_link_fence)31"/>
      <sheetName val="Anx-_I_(RCC_Sump_Tank)31"/>
      <sheetName val="Anx-J_(Retaining_wall)31"/>
      <sheetName val="Anx-K(Fire_Pump_Station)31"/>
      <sheetName val="Anx-L_(Sign_Board)31"/>
      <sheetName val="Anx-M_(LampPost&amp;RoadLightin_F31"/>
      <sheetName val="Anx-_N_(Soil_inves)_31"/>
      <sheetName val="Anx-O(Bldg_chachoengsao_SS)31"/>
      <sheetName val="Anx-P(Bldg_Samut_shakon_SS)31"/>
      <sheetName val="Anx-Q_(Busduct_Fdn)31"/>
      <sheetName val="Anx-R_(_fdn)_31"/>
      <sheetName val="Anx-S_(RC_Pipe_-water_Supply)31"/>
      <sheetName val="Anx-T_(Drain)31"/>
      <sheetName val="Anx-U(Water_tank_)31"/>
      <sheetName val="Anx-V_(Guard_House)31"/>
      <sheetName val="COSTING_(import)28"/>
      <sheetName val="SchA_220kV_Line28"/>
      <sheetName val="Sch_220kV_Line_Telecom28"/>
      <sheetName val="SCH-B_LINE28"/>
      <sheetName val="SCH-B_Civil_Line28"/>
      <sheetName val="STN_WISE_EMR28"/>
      <sheetName val="Anex-1_Con_Load28"/>
      <sheetName val="Leg_1-128"/>
      <sheetName val="Load_Details(B2)27"/>
      <sheetName val="BREAKUP_OF_OIL26"/>
      <sheetName val="Form_626"/>
      <sheetName val="R_Hrs__Since_Comm20"/>
      <sheetName val="SECONDARY_DESIGN20"/>
      <sheetName val="Tow_Sch11"/>
      <sheetName val="PACK_(B)33"/>
      <sheetName val="Rough_samut_sakhon33"/>
      <sheetName val="basic_rates_Samut_sakhon33"/>
      <sheetName val="Rate_Samut_sakhon33"/>
      <sheetName val="Title-Sh_33"/>
      <sheetName val="Civil_Works33"/>
      <sheetName val="Anx-A_(Gantry_structre)33"/>
      <sheetName val="Anx-B__(Eqpt_structre)33"/>
      <sheetName val="Anx-_C_(Gantry_fdn)33"/>
      <sheetName val="Anx-D_(Eqpt_fdn)33"/>
      <sheetName val="Anx-E_(Transf_fdn)33"/>
      <sheetName val="Anx-F_(Cable_Trench)33"/>
      <sheetName val="Anx-G(RCC_Road)33"/>
      <sheetName val="Anx-H_(chain_link_fence)33"/>
      <sheetName val="Anx-_I_(RCC_Sump_Tank)33"/>
      <sheetName val="Anx-J_(Retaining_wall)33"/>
      <sheetName val="Anx-K(Fire_Pump_Station)33"/>
      <sheetName val="Anx-L_(Sign_Board)33"/>
      <sheetName val="Anx-M_(LampPost&amp;RoadLightin_F33"/>
      <sheetName val="Anx-_N_(Soil_inves)_33"/>
      <sheetName val="Anx-O(Bldg_chachoengsao_SS)33"/>
      <sheetName val="Anx-P(Bldg_Samut_shakon_SS)33"/>
      <sheetName val="Anx-Q_(Busduct_Fdn)33"/>
      <sheetName val="Anx-R_(_fdn)_33"/>
      <sheetName val="Anx-S_(RC_Pipe_-water_Supply)33"/>
      <sheetName val="Anx-T_(Drain)33"/>
      <sheetName val="Anx-U(Water_tank_)33"/>
      <sheetName val="Anx-V_(Guard_House)33"/>
      <sheetName val="COSTING_(import)30"/>
      <sheetName val="SchA_220kV_Line30"/>
      <sheetName val="Sch_220kV_Line_Telecom30"/>
      <sheetName val="SCH-B_LINE30"/>
      <sheetName val="SCH-B_Civil_Line30"/>
      <sheetName val="STN_WISE_EMR30"/>
      <sheetName val="Anex-1_Con_Load30"/>
      <sheetName val="Leg_1-130"/>
      <sheetName val="Load_Details(B2)29"/>
      <sheetName val="BREAKUP_OF_OIL28"/>
      <sheetName val="Form_628"/>
      <sheetName val="R_Hrs__Since_Comm22"/>
      <sheetName val="SECONDARY_DESIGN22"/>
      <sheetName val="Tow_Sch13"/>
      <sheetName val="SPT_vs_PHI"/>
      <sheetName val="schedule_nos2"/>
      <sheetName val="_L_-1__sub_R-bar_"/>
      <sheetName val="Scheme_Area_Details_Block___C2"/>
      <sheetName val="Prop_aug_of_Ex_33KVSS_E3a"/>
      <sheetName val="Executive_Summary_-Thermal"/>
      <sheetName val="Stationwise_Thermal_&amp;_Hydel_Gen"/>
      <sheetName val="Ag_LF"/>
      <sheetName val="Design_basis-C"/>
      <sheetName val="E_&amp;_R"/>
      <sheetName val="Rate_Analysis"/>
      <sheetName val="INPUT_SHEET"/>
      <sheetName val="PACK_(B)34"/>
      <sheetName val="Rough_samut_sakhon34"/>
      <sheetName val="basic_rates_Samut_sakhon34"/>
      <sheetName val="Rate_Samut_sakhon34"/>
      <sheetName val="Title-Sh_34"/>
      <sheetName val="Civil_Works34"/>
      <sheetName val="Anx-A_(Gantry_structre)34"/>
      <sheetName val="Anx-B__(Eqpt_structre)34"/>
      <sheetName val="Anx-_C_(Gantry_fdn)34"/>
      <sheetName val="Anx-D_(Eqpt_fdn)34"/>
      <sheetName val="Anx-E_(Transf_fdn)34"/>
      <sheetName val="Anx-F_(Cable_Trench)34"/>
      <sheetName val="Anx-G(RCC_Road)34"/>
      <sheetName val="Anx-H_(chain_link_fence)34"/>
      <sheetName val="Anx-_I_(RCC_Sump_Tank)34"/>
      <sheetName val="Anx-J_(Retaining_wall)34"/>
      <sheetName val="Anx-K(Fire_Pump_Station)34"/>
      <sheetName val="Anx-L_(Sign_Board)34"/>
      <sheetName val="Anx-M_(LampPost&amp;RoadLightin_F34"/>
      <sheetName val="Anx-_N_(Soil_inves)_34"/>
      <sheetName val="Anx-O(Bldg_chachoengsao_SS)34"/>
      <sheetName val="Anx-P(Bldg_Samut_shakon_SS)34"/>
      <sheetName val="Anx-Q_(Busduct_Fdn)34"/>
      <sheetName val="Anx-R_(_fdn)_34"/>
      <sheetName val="Anx-S_(RC_Pipe_-water_Supply)34"/>
      <sheetName val="Anx-T_(Drain)34"/>
      <sheetName val="Anx-U(Water_tank_)34"/>
      <sheetName val="Anx-V_(Guard_House)34"/>
      <sheetName val="COSTING_(import)31"/>
      <sheetName val="SchA_220kV_Line31"/>
      <sheetName val="Sch_220kV_Line_Telecom31"/>
      <sheetName val="SCH-B_LINE31"/>
      <sheetName val="SCH-B_Civil_Line31"/>
      <sheetName val="STN_WISE_EMR31"/>
      <sheetName val="Anex-1_Con_Load31"/>
      <sheetName val="Leg_1-131"/>
      <sheetName val="Load_Details(B2)30"/>
      <sheetName val="BREAKUP_OF_OIL29"/>
      <sheetName val="Form_629"/>
      <sheetName val="R_Hrs__Since_Comm23"/>
      <sheetName val="SECONDARY_DESIGN23"/>
      <sheetName val="Tow_Sch14"/>
      <sheetName val="SPT_vs_PHI1"/>
      <sheetName val="schedule_nos3"/>
      <sheetName val="_L_-1__sub_R-bar_1"/>
      <sheetName val="Scheme_Area_Details_Block___C21"/>
      <sheetName val="Prop_aug_of_Ex_33KVSS_E3a1"/>
      <sheetName val="Executive_Summary_-Thermal1"/>
      <sheetName val="Stationwise_Thermal_&amp;_Hydel_Ge1"/>
      <sheetName val="Ag_LF1"/>
      <sheetName val="Design_basis-C1"/>
      <sheetName val="E_&amp;_R1"/>
      <sheetName val="Rate_Analysis1"/>
      <sheetName val="INPUT_SHEET1"/>
      <sheetName val="PACK_(B)35"/>
      <sheetName val="Rough_samut_sakhon35"/>
      <sheetName val="basic_rates_Samut_sakhon35"/>
      <sheetName val="Rate_Samut_sakhon35"/>
      <sheetName val="Title-Sh_35"/>
      <sheetName val="Civil_Works35"/>
      <sheetName val="Anx-A_(Gantry_structre)35"/>
      <sheetName val="Anx-B__(Eqpt_structre)35"/>
      <sheetName val="Anx-_C_(Gantry_fdn)35"/>
      <sheetName val="Anx-D_(Eqpt_fdn)35"/>
      <sheetName val="Anx-E_(Transf_fdn)35"/>
      <sheetName val="Anx-F_(Cable_Trench)35"/>
      <sheetName val="Anx-G(RCC_Road)35"/>
      <sheetName val="Anx-H_(chain_link_fence)35"/>
      <sheetName val="Anx-_I_(RCC_Sump_Tank)35"/>
      <sheetName val="Anx-J_(Retaining_wall)35"/>
      <sheetName val="Anx-K(Fire_Pump_Station)35"/>
      <sheetName val="Anx-L_(Sign_Board)35"/>
      <sheetName val="Anx-M_(LampPost&amp;RoadLightin_F35"/>
      <sheetName val="Anx-_N_(Soil_inves)_35"/>
      <sheetName val="Anx-O(Bldg_chachoengsao_SS)35"/>
      <sheetName val="Anx-P(Bldg_Samut_shakon_SS)35"/>
      <sheetName val="Anx-Q_(Busduct_Fdn)35"/>
      <sheetName val="Anx-R_(_fdn)_35"/>
      <sheetName val="Anx-S_(RC_Pipe_-water_Supply)35"/>
      <sheetName val="Anx-T_(Drain)35"/>
      <sheetName val="Anx-U(Water_tank_)35"/>
      <sheetName val="Anx-V_(Guard_House)35"/>
      <sheetName val="COSTING_(import)32"/>
      <sheetName val="SchA_220kV_Line32"/>
      <sheetName val="Sch_220kV_Line_Telecom32"/>
      <sheetName val="SCH-B_LINE32"/>
      <sheetName val="SCH-B_Civil_Line32"/>
      <sheetName val="STN_WISE_EMR32"/>
      <sheetName val="Anex-1_Con_Load32"/>
      <sheetName val="Leg_1-132"/>
      <sheetName val="Load_Details(B2)31"/>
      <sheetName val="BREAKUP_OF_OIL30"/>
      <sheetName val="Form_630"/>
      <sheetName val="R_Hrs__Since_Comm24"/>
      <sheetName val="SECONDARY_DESIGN24"/>
      <sheetName val="Tow_Sch15"/>
      <sheetName val="SPT_vs_PHI2"/>
      <sheetName val="schedule_nos4"/>
      <sheetName val="_L_-1__sub_R-bar_2"/>
      <sheetName val="Scheme_Area_Details_Block___C22"/>
      <sheetName val="Prop_aug_of_Ex_33KVSS_E3a2"/>
      <sheetName val="Executive_Summary_-Thermal2"/>
      <sheetName val="Stationwise_Thermal_&amp;_Hydel_Ge2"/>
      <sheetName val="Ag_LF2"/>
      <sheetName val="Design_basis-C2"/>
      <sheetName val="E_&amp;_R2"/>
      <sheetName val="Rate_Analysis2"/>
      <sheetName val="INPUT_SHEET2"/>
      <sheetName val="PACK_(B)36"/>
      <sheetName val="Rough_samut_sakhon36"/>
      <sheetName val="basic_rates_Samut_sakhon36"/>
      <sheetName val="Rate_Samut_sakhon36"/>
      <sheetName val="Title-Sh_36"/>
      <sheetName val="Civil_Works36"/>
      <sheetName val="Anx-A_(Gantry_structre)36"/>
      <sheetName val="Anx-B__(Eqpt_structre)36"/>
      <sheetName val="Anx-_C_(Gantry_fdn)36"/>
      <sheetName val="Anx-D_(Eqpt_fdn)36"/>
      <sheetName val="Anx-E_(Transf_fdn)36"/>
      <sheetName val="Anx-F_(Cable_Trench)36"/>
      <sheetName val="Anx-G(RCC_Road)36"/>
      <sheetName val="Anx-H_(chain_link_fence)36"/>
      <sheetName val="Anx-_I_(RCC_Sump_Tank)36"/>
      <sheetName val="Anx-J_(Retaining_wall)36"/>
      <sheetName val="Anx-K(Fire_Pump_Station)36"/>
      <sheetName val="Anx-L_(Sign_Board)36"/>
      <sheetName val="Anx-M_(LampPost&amp;RoadLightin_F36"/>
      <sheetName val="Anx-_N_(Soil_inves)_36"/>
      <sheetName val="Anx-O(Bldg_chachoengsao_SS)36"/>
      <sheetName val="Anx-P(Bldg_Samut_shakon_SS)36"/>
      <sheetName val="Anx-Q_(Busduct_Fdn)36"/>
      <sheetName val="Anx-R_(_fdn)_36"/>
      <sheetName val="Anx-S_(RC_Pipe_-water_Supply)36"/>
      <sheetName val="Anx-T_(Drain)36"/>
      <sheetName val="Anx-U(Water_tank_)36"/>
      <sheetName val="Anx-V_(Guard_House)36"/>
      <sheetName val="COSTING_(import)33"/>
      <sheetName val="SchA_220kV_Line33"/>
      <sheetName val="Sch_220kV_Line_Telecom33"/>
      <sheetName val="SCH-B_LINE33"/>
      <sheetName val="SCH-B_Civil_Line33"/>
      <sheetName val="STN_WISE_EMR33"/>
      <sheetName val="Anex-1_Con_Load33"/>
      <sheetName val="Leg_1-133"/>
      <sheetName val="Load_Details(B2)32"/>
      <sheetName val="BREAKUP_OF_OIL31"/>
      <sheetName val="Form_631"/>
      <sheetName val="R_Hrs__Since_Comm25"/>
      <sheetName val="SECONDARY_DESIGN25"/>
      <sheetName val="Tow_Sch16"/>
      <sheetName val="SPT_vs_PHI3"/>
      <sheetName val="schedule_nos5"/>
      <sheetName val="_L_-1__sub_R-bar_3"/>
      <sheetName val="Scheme_Area_Details_Block___C23"/>
      <sheetName val="Prop_aug_of_Ex_33KVSS_E3a3"/>
      <sheetName val="Executive_Summary_-Thermal3"/>
      <sheetName val="Stationwise_Thermal_&amp;_Hydel_Ge3"/>
      <sheetName val="Ag_LF3"/>
      <sheetName val="Design_basis-C3"/>
      <sheetName val="E_&amp;_R3"/>
      <sheetName val="Rate_Analysis3"/>
      <sheetName val="INPUT_SHEET3"/>
      <sheetName val="PACK_(B)37"/>
      <sheetName val="Rough_samut_sakhon37"/>
      <sheetName val="basic_rates_Samut_sakhon37"/>
      <sheetName val="Rate_Samut_sakhon37"/>
      <sheetName val="Title-Sh_37"/>
      <sheetName val="Civil_Works37"/>
      <sheetName val="Anx-A_(Gantry_structre)37"/>
      <sheetName val="Anx-B__(Eqpt_structre)37"/>
      <sheetName val="Anx-_C_(Gantry_fdn)37"/>
      <sheetName val="Anx-D_(Eqpt_fdn)37"/>
      <sheetName val="Anx-E_(Transf_fdn)37"/>
      <sheetName val="Anx-F_(Cable_Trench)37"/>
      <sheetName val="Anx-G(RCC_Road)37"/>
      <sheetName val="Anx-H_(chain_link_fence)37"/>
      <sheetName val="Anx-_I_(RCC_Sump_Tank)37"/>
      <sheetName val="Anx-J_(Retaining_wall)37"/>
      <sheetName val="Anx-K(Fire_Pump_Station)37"/>
      <sheetName val="Anx-L_(Sign_Board)37"/>
      <sheetName val="Anx-M_(LampPost&amp;RoadLightin_F37"/>
      <sheetName val="Anx-_N_(Soil_inves)_37"/>
      <sheetName val="Anx-O(Bldg_chachoengsao_SS)37"/>
      <sheetName val="Anx-P(Bldg_Samut_shakon_SS)37"/>
      <sheetName val="Anx-Q_(Busduct_Fdn)37"/>
      <sheetName val="Anx-R_(_fdn)_37"/>
      <sheetName val="Anx-S_(RC_Pipe_-water_Supply)37"/>
      <sheetName val="Anx-T_(Drain)37"/>
      <sheetName val="Anx-U(Water_tank_)37"/>
      <sheetName val="Anx-V_(Guard_House)37"/>
      <sheetName val="COSTING_(import)34"/>
      <sheetName val="SchA_220kV_Line34"/>
      <sheetName val="Sch_220kV_Line_Telecom34"/>
      <sheetName val="SCH-B_LINE34"/>
      <sheetName val="SCH-B_Civil_Line34"/>
      <sheetName val="STN_WISE_EMR34"/>
      <sheetName val="Anex-1_Con_Load34"/>
      <sheetName val="Leg_1-134"/>
      <sheetName val="Load_Details(B2)33"/>
      <sheetName val="BREAKUP_OF_OIL32"/>
      <sheetName val="Form_632"/>
      <sheetName val="R_Hrs__Since_Comm26"/>
      <sheetName val="SECONDARY_DESIGN26"/>
      <sheetName val="Tow_Sch17"/>
      <sheetName val="SPT_vs_PHI4"/>
      <sheetName val="schedule_nos6"/>
      <sheetName val="_L_-1__sub_R-bar_4"/>
      <sheetName val="Scheme_Area_Details_Block___C24"/>
      <sheetName val="Prop_aug_of_Ex_33KVSS_E3a4"/>
      <sheetName val="Executive_Summary_-Thermal4"/>
      <sheetName val="Stationwise_Thermal_&amp;_Hydel_Ge4"/>
      <sheetName val="Ag_LF4"/>
      <sheetName val="Design_basis-C4"/>
      <sheetName val="E_&amp;_R4"/>
      <sheetName val="Rate_Analysis4"/>
      <sheetName val="INPUT_SHEET4"/>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refreshError="1"/>
      <sheetData sheetId="870" refreshError="1"/>
      <sheetData sheetId="871" refreshError="1"/>
      <sheetData sheetId="872" refreshError="1"/>
      <sheetData sheetId="873" refreshError="1"/>
      <sheetData sheetId="874" refreshError="1"/>
      <sheetData sheetId="875"/>
      <sheetData sheetId="876"/>
      <sheetData sheetId="877" refreshError="1"/>
      <sheetData sheetId="878" refreshError="1"/>
      <sheetData sheetId="879" refreshError="1"/>
      <sheetData sheetId="880" refreshError="1"/>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 val="title_(2)18"/>
      <sheetName val="PACK_(B)18"/>
      <sheetName val="DSLP_Calculations-my_R_A18"/>
      <sheetName val="Fee_Rate_Summary15"/>
      <sheetName val="DSLP_CALCULATION13"/>
      <sheetName val="CW_General_Summary_13"/>
      <sheetName val="STRIP_Sizing13"/>
      <sheetName val="Pricing_13"/>
      <sheetName val="Anex-1_Con_Load13"/>
      <sheetName val="SPT_vs_PHI13"/>
      <sheetName val="pile_Fabrication7"/>
      <sheetName val="LIFE_&amp;_REP_PROVN7"/>
      <sheetName val="O&amp;M_CREW7"/>
      <sheetName val="title_(2)5"/>
      <sheetName val="PACK_(B)5"/>
      <sheetName val="DSLP_Calculations-my_R_A5"/>
      <sheetName val="Fee_Rate_Summary2"/>
      <sheetName val="DSLP_CALCULATION"/>
      <sheetName val="CW_General_Summary_"/>
      <sheetName val="STRIP_Sizing"/>
      <sheetName val="Pricing_"/>
      <sheetName val="Anex-1_Con_Load"/>
      <sheetName val="SPT_vs_PHI"/>
      <sheetName val="title_(2)6"/>
      <sheetName val="PACK_(B)6"/>
      <sheetName val="DSLP_Calculations-my_R_A6"/>
      <sheetName val="Fee_Rate_Summary3"/>
      <sheetName val="DSLP_CALCULATION1"/>
      <sheetName val="CW_General_Summary_1"/>
      <sheetName val="STRIP_Sizing1"/>
      <sheetName val="Pricing_1"/>
      <sheetName val="Anex-1_Con_Load1"/>
      <sheetName val="SPT_vs_PHI1"/>
      <sheetName val="title_(2)7"/>
      <sheetName val="PACK_(B)7"/>
      <sheetName val="DSLP_Calculations-my_R_A7"/>
      <sheetName val="Fee_Rate_Summary4"/>
      <sheetName val="DSLP_CALCULATION2"/>
      <sheetName val="CW_General_Summary_2"/>
      <sheetName val="STRIP_Sizing2"/>
      <sheetName val="Pricing_2"/>
      <sheetName val="Anex-1_Con_Load2"/>
      <sheetName val="SPT_vs_PHI2"/>
      <sheetName val="title_(2)8"/>
      <sheetName val="PACK_(B)8"/>
      <sheetName val="DSLP_Calculations-my_R_A8"/>
      <sheetName val="Fee_Rate_Summary5"/>
      <sheetName val="DSLP_CALCULATION3"/>
      <sheetName val="CW_General_Summary_3"/>
      <sheetName val="STRIP_Sizing3"/>
      <sheetName val="Pricing_3"/>
      <sheetName val="Anex-1_Con_Load3"/>
      <sheetName val="SPT_vs_PHI3"/>
      <sheetName val="title_(2)9"/>
      <sheetName val="PACK_(B)9"/>
      <sheetName val="DSLP_Calculations-my_R_A9"/>
      <sheetName val="Fee_Rate_Summary6"/>
      <sheetName val="DSLP_CALCULATION4"/>
      <sheetName val="CW_General_Summary_4"/>
      <sheetName val="STRIP_Sizing4"/>
      <sheetName val="Pricing_4"/>
      <sheetName val="Anex-1_Con_Load4"/>
      <sheetName val="SPT_vs_PHI4"/>
      <sheetName val="title_(2)14"/>
      <sheetName val="PACK_(B)14"/>
      <sheetName val="DSLP_Calculations-my_R_A14"/>
      <sheetName val="Fee_Rate_Summary11"/>
      <sheetName val="DSLP_CALCULATION9"/>
      <sheetName val="CW_General_Summary_9"/>
      <sheetName val="Pricing_9"/>
      <sheetName val="STRIP_Sizing9"/>
      <sheetName val="Anex-1_Con_Load9"/>
      <sheetName val="SPT_vs_PHI9"/>
      <sheetName val="title_(2)10"/>
      <sheetName val="PACK_(B)10"/>
      <sheetName val="DSLP_Calculations-my_R_A10"/>
      <sheetName val="Fee_Rate_Summary7"/>
      <sheetName val="DSLP_CALCULATION5"/>
      <sheetName val="CW_General_Summary_5"/>
      <sheetName val="STRIP_Sizing5"/>
      <sheetName val="Pricing_5"/>
      <sheetName val="Anex-1_Con_Load5"/>
      <sheetName val="SPT_vs_PHI5"/>
      <sheetName val="pile_Fabrication3"/>
      <sheetName val="LIFE_&amp;_REP_PROVN3"/>
      <sheetName val="O&amp;M_CREW3"/>
      <sheetName val="title_(2)12"/>
      <sheetName val="PACK_(B)12"/>
      <sheetName val="DSLP_Calculations-my_R_A12"/>
      <sheetName val="Fee_Rate_Summary9"/>
      <sheetName val="DSLP_CALCULATION7"/>
      <sheetName val="CW_General_Summary_7"/>
      <sheetName val="STRIP_Sizing7"/>
      <sheetName val="Pricing_7"/>
      <sheetName val="Anex-1_Con_Load7"/>
      <sheetName val="SPT_vs_PHI7"/>
      <sheetName val="pile_Fabrication1"/>
      <sheetName val="LIFE_&amp;_REP_PROVN1"/>
      <sheetName val="O&amp;M_CREW1"/>
      <sheetName val="title_(2)11"/>
      <sheetName val="PACK_(B)11"/>
      <sheetName val="DSLP_Calculations-my_R_A11"/>
      <sheetName val="Fee_Rate_Summary8"/>
      <sheetName val="DSLP_CALCULATION6"/>
      <sheetName val="CW_General_Summary_6"/>
      <sheetName val="Pricing_6"/>
      <sheetName val="STRIP_Sizing6"/>
      <sheetName val="Anex-1_Con_Load6"/>
      <sheetName val="SPT_vs_PHI6"/>
      <sheetName val="pile_Fabrication"/>
      <sheetName val="LIFE_&amp;_REP_PROVN"/>
      <sheetName val="O&amp;M_CREW"/>
      <sheetName val="title_(2)13"/>
      <sheetName val="PACK_(B)13"/>
      <sheetName val="DSLP_Calculations-my_R_A13"/>
      <sheetName val="Fee_Rate_Summary10"/>
      <sheetName val="DSLP_CALCULATION8"/>
      <sheetName val="CW_General_Summary_8"/>
      <sheetName val="Pricing_8"/>
      <sheetName val="STRIP_Sizing8"/>
      <sheetName val="Anex-1_Con_Load8"/>
      <sheetName val="SPT_vs_PHI8"/>
      <sheetName val="pile_Fabrication2"/>
      <sheetName val="LIFE_&amp;_REP_PROVN2"/>
      <sheetName val="O&amp;M_CREW2"/>
      <sheetName val="title_(2)15"/>
      <sheetName val="PACK_(B)15"/>
      <sheetName val="DSLP_Calculations-my_R_A15"/>
      <sheetName val="Fee_Rate_Summary12"/>
      <sheetName val="DSLP_CALCULATION10"/>
      <sheetName val="CW_General_Summary_10"/>
      <sheetName val="STRIP_Sizing10"/>
      <sheetName val="Pricing_10"/>
      <sheetName val="Anex-1_Con_Load10"/>
      <sheetName val="SPT_vs_PHI10"/>
      <sheetName val="pile_Fabrication4"/>
      <sheetName val="LIFE_&amp;_REP_PROVN4"/>
      <sheetName val="O&amp;M_CREW4"/>
      <sheetName val="title_(2)16"/>
      <sheetName val="PACK_(B)16"/>
      <sheetName val="DSLP_Calculations-my_R_A16"/>
      <sheetName val="Fee_Rate_Summary13"/>
      <sheetName val="DSLP_CALCULATION11"/>
      <sheetName val="CW_General_Summary_11"/>
      <sheetName val="Pricing_11"/>
      <sheetName val="STRIP_Sizing11"/>
      <sheetName val="Anex-1_Con_Load11"/>
      <sheetName val="SPT_vs_PHI11"/>
      <sheetName val="pile_Fabrication5"/>
      <sheetName val="LIFE_&amp;_REP_PROVN5"/>
      <sheetName val="O&amp;M_CREW5"/>
      <sheetName val="title_(2)17"/>
      <sheetName val="PACK_(B)17"/>
      <sheetName val="DSLP_Calculations-my_R_A17"/>
      <sheetName val="Fee_Rate_Summary14"/>
      <sheetName val="DSLP_CALCULATION12"/>
      <sheetName val="CW_General_Summary_12"/>
      <sheetName val="STRIP_Sizing12"/>
      <sheetName val="Pricing_12"/>
      <sheetName val="Anex-1_Con_Load12"/>
      <sheetName val="SPT_vs_PHI12"/>
      <sheetName val="pile_Fabrication6"/>
      <sheetName val="LIFE_&amp;_REP_PROVN6"/>
      <sheetName val="O&amp;M_CREW6"/>
      <sheetName val="title_(2)19"/>
      <sheetName val="PACK_(B)19"/>
      <sheetName val="DSLP_Calculations-my_R_A19"/>
      <sheetName val="Fee_Rate_Summary16"/>
      <sheetName val="DSLP_CALCULATION14"/>
      <sheetName val="CW_General_Summary_14"/>
      <sheetName val="STRIP_Sizing14"/>
      <sheetName val="Pricing_14"/>
      <sheetName val="Anex-1_Con_Load14"/>
      <sheetName val="SPT_vs_PHI14"/>
      <sheetName val="pile_Fabrication8"/>
      <sheetName val="LIFE_&amp;_REP_PROVN8"/>
      <sheetName val="O&amp;M_CREW8"/>
      <sheetName val="title_(2)20"/>
      <sheetName val="PACK_(B)20"/>
      <sheetName val="DSLP_Calculations-my_R_A20"/>
      <sheetName val="Fee_Rate_Summary17"/>
      <sheetName val="DSLP_CALCULATION15"/>
      <sheetName val="CW_General_Summary_15"/>
      <sheetName val="STRIP_Sizing15"/>
      <sheetName val="Pricing_15"/>
      <sheetName val="Anex-1_Con_Load15"/>
      <sheetName val="SPT_vs_PHI15"/>
      <sheetName val="pile_Fabrication9"/>
      <sheetName val="LIFE_&amp;_REP_PROVN9"/>
      <sheetName val="O&amp;M_CREW9"/>
      <sheetName val="ABOUT"/>
      <sheetName val="Totals"/>
      <sheetName val="Factor Sheet"/>
      <sheetName val="Cable data"/>
      <sheetName val="july-I"/>
      <sheetName val="BREAKUP OF OIL"/>
      <sheetName val="title_(2)21"/>
      <sheetName val="PACK_(B)21"/>
      <sheetName val="DSLP_Calculations-my_R_A21"/>
      <sheetName val="Fee_Rate_Summary18"/>
      <sheetName val="DSLP_CALCULATION16"/>
      <sheetName val="CW_General_Summary_16"/>
      <sheetName val="STRIP_Sizing16"/>
      <sheetName val="Pricing_16"/>
      <sheetName val="Anex-1_Con_Load16"/>
      <sheetName val="SPT_vs_PHI16"/>
      <sheetName val="pile_Fabrication10"/>
      <sheetName val="LIFE_&amp;_REP_PROVN10"/>
      <sheetName val="O&amp;M_CREW10"/>
      <sheetName val="title_(2)22"/>
      <sheetName val="PACK_(B)22"/>
      <sheetName val="DSLP_Calculations-my_R_A22"/>
      <sheetName val="Fee_Rate_Summary19"/>
      <sheetName val="DSLP_CALCULATION17"/>
      <sheetName val="CW_General_Summary_17"/>
      <sheetName val="STRIP_Sizing17"/>
      <sheetName val="Pricing_17"/>
      <sheetName val="Anex-1_Con_Load17"/>
      <sheetName val="SPT_vs_PHI17"/>
      <sheetName val="pile_Fabrication11"/>
      <sheetName val="LIFE_&amp;_REP_PROVN11"/>
      <sheetName val="O&amp;M_CREW11"/>
      <sheetName val="title_(2)23"/>
      <sheetName val="PACK_(B)23"/>
      <sheetName val="DSLP_Calculations-my_R_A23"/>
      <sheetName val="Fee_Rate_Summary20"/>
      <sheetName val="DSLP_CALCULATION18"/>
      <sheetName val="CW_General_Summary_18"/>
      <sheetName val="STRIP_Sizing18"/>
      <sheetName val="Pricing_18"/>
      <sheetName val="Anex-1_Con_Load18"/>
      <sheetName val="SPT_vs_PHI18"/>
      <sheetName val="pile_Fabrication12"/>
      <sheetName val="LIFE_&amp;_REP_PROVN12"/>
      <sheetName val="O&amp;M_CREW12"/>
      <sheetName val="title_(2)28"/>
      <sheetName val="PACK_(B)28"/>
      <sheetName val="DSLP_Calculations-my_R_A28"/>
      <sheetName val="Fee_Rate_Summary25"/>
      <sheetName val="DSLP_CALCULATION23"/>
      <sheetName val="CW_General_Summary_23"/>
      <sheetName val="Pricing_23"/>
      <sheetName val="STRIP_Sizing23"/>
      <sheetName val="Anex-1_Con_Load23"/>
      <sheetName val="SPT_vs_PHI23"/>
      <sheetName val="pile_Fabrication17"/>
      <sheetName val="LIFE_&amp;_REP_PROVN17"/>
      <sheetName val="O&amp;M_CREW17"/>
      <sheetName val="title_(2)27"/>
      <sheetName val="PACK_(B)27"/>
      <sheetName val="DSLP_Calculations-my_R_A27"/>
      <sheetName val="Fee_Rate_Summary24"/>
      <sheetName val="DSLP_CALCULATION22"/>
      <sheetName val="CW_General_Summary_22"/>
      <sheetName val="Pricing_22"/>
      <sheetName val="STRIP_Sizing22"/>
      <sheetName val="Anex-1_Con_Load22"/>
      <sheetName val="SPT_vs_PHI22"/>
      <sheetName val="pile_Fabrication16"/>
      <sheetName val="LIFE_&amp;_REP_PROVN16"/>
      <sheetName val="O&amp;M_CREW16"/>
      <sheetName val="title_(2)24"/>
      <sheetName val="PACK_(B)24"/>
      <sheetName val="DSLP_Calculations-my_R_A24"/>
      <sheetName val="Fee_Rate_Summary21"/>
      <sheetName val="DSLP_CALCULATION19"/>
      <sheetName val="CW_General_Summary_19"/>
      <sheetName val="Pricing_19"/>
      <sheetName val="STRIP_Sizing19"/>
      <sheetName val="Anex-1_Con_Load19"/>
      <sheetName val="SPT_vs_PHI19"/>
      <sheetName val="pile_Fabrication13"/>
      <sheetName val="LIFE_&amp;_REP_PROVN13"/>
      <sheetName val="O&amp;M_CREW13"/>
      <sheetName val="title_(2)25"/>
      <sheetName val="PACK_(B)25"/>
      <sheetName val="DSLP_Calculations-my_R_A25"/>
      <sheetName val="Fee_Rate_Summary22"/>
      <sheetName val="DSLP_CALCULATION20"/>
      <sheetName val="CW_General_Summary_20"/>
      <sheetName val="Pricing_20"/>
      <sheetName val="STRIP_Sizing20"/>
      <sheetName val="Anex-1_Con_Load20"/>
      <sheetName val="SPT_vs_PHI20"/>
      <sheetName val="pile_Fabrication14"/>
      <sheetName val="LIFE_&amp;_REP_PROVN14"/>
      <sheetName val="O&amp;M_CREW14"/>
      <sheetName val="title_(2)26"/>
      <sheetName val="PACK_(B)26"/>
      <sheetName val="DSLP_Calculations-my_R_A26"/>
      <sheetName val="Fee_Rate_Summary23"/>
      <sheetName val="DSLP_CALCULATION21"/>
      <sheetName val="CW_General_Summary_21"/>
      <sheetName val="Pricing_21"/>
      <sheetName val="STRIP_Sizing21"/>
      <sheetName val="Anex-1_Con_Load21"/>
      <sheetName val="SPT_vs_PHI21"/>
      <sheetName val="pile_Fabrication15"/>
      <sheetName val="LIFE_&amp;_REP_PROVN15"/>
      <sheetName val="O&amp;M_CREW15"/>
      <sheetName val="title_(2)29"/>
      <sheetName val="PACK_(B)29"/>
      <sheetName val="DSLP_Calculations-my_R_A29"/>
      <sheetName val="Fee_Rate_Summary26"/>
      <sheetName val="DSLP_CALCULATION24"/>
      <sheetName val="CW_General_Summary_24"/>
      <sheetName val="Pricing_24"/>
      <sheetName val="STRIP_Sizing24"/>
      <sheetName val="Anex-1_Con_Load24"/>
      <sheetName val="SPT_vs_PHI24"/>
      <sheetName val="pile_Fabrication18"/>
      <sheetName val="LIFE_&amp;_REP_PROVN18"/>
      <sheetName val="O&amp;M_CREW18"/>
      <sheetName val="title_(2)32"/>
      <sheetName val="PACK_(B)32"/>
      <sheetName val="DSLP_Calculations-my_R_A32"/>
      <sheetName val="Fee_Rate_Summary29"/>
      <sheetName val="DSLP_CALCULATION27"/>
      <sheetName val="CW_General_Summary_27"/>
      <sheetName val="Pricing_27"/>
      <sheetName val="STRIP_Sizing27"/>
      <sheetName val="Anex-1_Con_Load27"/>
      <sheetName val="SPT_vs_PHI27"/>
      <sheetName val="pile_Fabrication21"/>
      <sheetName val="LIFE_&amp;_REP_PROVN21"/>
      <sheetName val="O&amp;M_CREW21"/>
      <sheetName val="title_(2)30"/>
      <sheetName val="PACK_(B)30"/>
      <sheetName val="DSLP_Calculations-my_R_A30"/>
      <sheetName val="Fee_Rate_Summary27"/>
      <sheetName val="DSLP_CALCULATION25"/>
      <sheetName val="CW_General_Summary_25"/>
      <sheetName val="Pricing_25"/>
      <sheetName val="STRIP_Sizing25"/>
      <sheetName val="Anex-1_Con_Load25"/>
      <sheetName val="SPT_vs_PHI25"/>
      <sheetName val="pile_Fabrication19"/>
      <sheetName val="LIFE_&amp;_REP_PROVN19"/>
      <sheetName val="O&amp;M_CREW19"/>
      <sheetName val="title_(2)31"/>
      <sheetName val="PACK_(B)31"/>
      <sheetName val="DSLP_Calculations-my_R_A31"/>
      <sheetName val="Fee_Rate_Summary28"/>
      <sheetName val="DSLP_CALCULATION26"/>
      <sheetName val="CW_General_Summary_26"/>
      <sheetName val="Pricing_26"/>
      <sheetName val="STRIP_Sizing26"/>
      <sheetName val="Anex-1_Con_Load26"/>
      <sheetName val="SPT_vs_PHI26"/>
      <sheetName val="pile_Fabrication20"/>
      <sheetName val="LIFE_&amp;_REP_PROVN20"/>
      <sheetName val="O&amp;M_CREW20"/>
      <sheetName val="title_(2)33"/>
      <sheetName val="PACK_(B)33"/>
      <sheetName val="DSLP_Calculations-my_R_A33"/>
      <sheetName val="Fee_Rate_Summary30"/>
      <sheetName val="DSLP_CALCULATION28"/>
      <sheetName val="CW_General_Summary_28"/>
      <sheetName val="Pricing_28"/>
      <sheetName val="STRIP_Sizing28"/>
      <sheetName val="Anex-1_Con_Load28"/>
      <sheetName val="SPT_vs_PHI28"/>
      <sheetName val="pile_Fabrication22"/>
      <sheetName val="LIFE_&amp;_REP_PROVN22"/>
      <sheetName val="O&amp;M_CREW22"/>
      <sheetName val="Factor_Sheet"/>
      <sheetName val="Cable_data"/>
      <sheetName val="BREAKUP_OF_OIL"/>
      <sheetName val="title_(2)34"/>
      <sheetName val="PACK_(B)34"/>
      <sheetName val="DSLP_Calculations-my_R_A34"/>
      <sheetName val="Fee_Rate_Summary31"/>
      <sheetName val="DSLP_CALCULATION29"/>
      <sheetName val="CW_General_Summary_29"/>
      <sheetName val="Pricing_29"/>
      <sheetName val="STRIP_Sizing29"/>
      <sheetName val="Anex-1_Con_Load29"/>
      <sheetName val="SPT_vs_PHI29"/>
      <sheetName val="pile_Fabrication23"/>
      <sheetName val="LIFE_&amp;_REP_PROVN23"/>
      <sheetName val="O&amp;M_CREW23"/>
      <sheetName val="Factor_Sheet1"/>
      <sheetName val="Cable_data1"/>
      <sheetName val="BREAKUP_OF_OIL1"/>
      <sheetName val="title_(2)35"/>
      <sheetName val="PACK_(B)35"/>
      <sheetName val="DSLP_Calculations-my_R_A35"/>
      <sheetName val="Fee_Rate_Summary32"/>
      <sheetName val="DSLP_CALCULATION30"/>
      <sheetName val="CW_General_Summary_30"/>
      <sheetName val="Pricing_30"/>
      <sheetName val="STRIP_Sizing30"/>
      <sheetName val="Anex-1_Con_Load30"/>
      <sheetName val="SPT_vs_PHI30"/>
      <sheetName val="pile_Fabrication24"/>
      <sheetName val="LIFE_&amp;_REP_PROVN24"/>
      <sheetName val="O&amp;M_CREW24"/>
      <sheetName val="Factor_Sheet2"/>
      <sheetName val="Cable_data2"/>
      <sheetName val="BREAKUP_OF_OIL2"/>
      <sheetName val="title_(2)36"/>
      <sheetName val="PACK_(B)36"/>
      <sheetName val="DSLP_Calculations-my_R_A36"/>
      <sheetName val="Fee_Rate_Summary33"/>
      <sheetName val="DSLP_CALCULATION31"/>
      <sheetName val="CW_General_Summary_31"/>
      <sheetName val="Pricing_31"/>
      <sheetName val="STRIP_Sizing31"/>
      <sheetName val="Anex-1_Con_Load31"/>
      <sheetName val="SPT_vs_PHI31"/>
      <sheetName val="pile_Fabrication25"/>
      <sheetName val="LIFE_&amp;_REP_PROVN25"/>
      <sheetName val="O&amp;M_CREW25"/>
      <sheetName val="Factor_Sheet3"/>
      <sheetName val="Cable_data3"/>
      <sheetName val="BREAKUP_OF_OIL3"/>
      <sheetName val="title_(2)37"/>
      <sheetName val="PACK_(B)37"/>
      <sheetName val="DSLP_Calculations-my_R_A37"/>
      <sheetName val="Fee_Rate_Summary34"/>
      <sheetName val="DSLP_CALCULATION32"/>
      <sheetName val="CW_General_Summary_32"/>
      <sheetName val="Pricing_32"/>
      <sheetName val="STRIP_Sizing32"/>
      <sheetName val="Anex-1_Con_Load32"/>
      <sheetName val="SPT_vs_PHI32"/>
      <sheetName val="pile_Fabrication26"/>
      <sheetName val="LIFE_&amp;_REP_PROVN26"/>
      <sheetName val="O&amp;M_CREW26"/>
      <sheetName val="Factor_Sheet4"/>
      <sheetName val="Cable_data4"/>
      <sheetName val="BREAKUP_OF_OIL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 val="220 11  BS "/>
      <sheetName val="DSLP CALCULATION"/>
      <sheetName val="장비"/>
      <sheetName val="EDWise"/>
      <sheetName val="220Kv_(2)21"/>
      <sheetName val="Coal_mine_Lightning_protn_REV21"/>
      <sheetName val="SPT_vs_PHI18"/>
      <sheetName val="PACK_(B)18"/>
      <sheetName val="Load_Details-220kV18"/>
      <sheetName val="Scheme_Area_Details_Block___C16"/>
      <sheetName val="Prop_aug_of_Ex_33KVSS_E3a16"/>
      <sheetName val="A_3_716"/>
      <sheetName val="Day_work16"/>
      <sheetName val="220Kv_(2)22"/>
      <sheetName val="Coal_mine_Lightning_protn_REV22"/>
      <sheetName val="SPT_vs_PHI19"/>
      <sheetName val="PACK_(B)19"/>
      <sheetName val="Load_Details-220kV19"/>
      <sheetName val="Scheme_Area_Details_Block___C17"/>
      <sheetName val="Prop_aug_of_Ex_33KVSS_E3a17"/>
      <sheetName val="A_3_717"/>
      <sheetName val="Day_work17"/>
      <sheetName val="220Kv_(2)23"/>
      <sheetName val="Coal_mine_Lightning_protn_REV23"/>
      <sheetName val="SPT_vs_PHI20"/>
      <sheetName val="PACK_(B)20"/>
      <sheetName val="Load_Details-220kV20"/>
      <sheetName val="Scheme_Area_Details_Block___C18"/>
      <sheetName val="Prop_aug_of_Ex_33KVSS_E3a18"/>
      <sheetName val="A_3_718"/>
      <sheetName val="Day_work18"/>
      <sheetName val="220Kv_(2)28"/>
      <sheetName val="Coal_mine_Lightning_protn_REV28"/>
      <sheetName val="SPT_vs_PHI25"/>
      <sheetName val="PACK_(B)25"/>
      <sheetName val="Load_Details-220kV25"/>
      <sheetName val="Scheme_Area_Details_Block___C32"/>
      <sheetName val="Prop_aug_of_Ex_33KVSS_E3a23"/>
      <sheetName val="A_3_723"/>
      <sheetName val="Day_work23"/>
      <sheetName val="220Kv_(2)27"/>
      <sheetName val="Coal_mine_Lightning_protn_REV27"/>
      <sheetName val="SPT_vs_PHI24"/>
      <sheetName val="PACK_(B)24"/>
      <sheetName val="Load_Details-220kV24"/>
      <sheetName val="Scheme_Area_Details_Block___C31"/>
      <sheetName val="Prop_aug_of_Ex_33KVSS_E3a22"/>
      <sheetName val="A_3_722"/>
      <sheetName val="Day_work22"/>
      <sheetName val="220Kv_(2)24"/>
      <sheetName val="Coal_mine_Lightning_protn_REV24"/>
      <sheetName val="SPT_vs_PHI21"/>
      <sheetName val="PACK_(B)21"/>
      <sheetName val="Load_Details-220kV21"/>
      <sheetName val="Scheme_Area_Details_Block___C19"/>
      <sheetName val="Prop_aug_of_Ex_33KVSS_E3a19"/>
      <sheetName val="A_3_719"/>
      <sheetName val="Day_work19"/>
      <sheetName val="220Kv_(2)25"/>
      <sheetName val="Coal_mine_Lightning_protn_REV25"/>
      <sheetName val="SPT_vs_PHI22"/>
      <sheetName val="PACK_(B)22"/>
      <sheetName val="Load_Details-220kV22"/>
      <sheetName val="Scheme_Area_Details_Block___C20"/>
      <sheetName val="Prop_aug_of_Ex_33KVSS_E3a20"/>
      <sheetName val="A_3_720"/>
      <sheetName val="Day_work20"/>
      <sheetName val="220Kv_(2)26"/>
      <sheetName val="Coal_mine_Lightning_protn_REV26"/>
      <sheetName val="SPT_vs_PHI23"/>
      <sheetName val="PACK_(B)23"/>
      <sheetName val="Load_Details-220kV23"/>
      <sheetName val="Scheme_Area_Details_Block___C30"/>
      <sheetName val="Prop_aug_of_Ex_33KVSS_E3a21"/>
      <sheetName val="A_3_721"/>
      <sheetName val="Day_work21"/>
      <sheetName val="220Kv_(2)29"/>
      <sheetName val="Coal_mine_Lightning_protn_REV29"/>
      <sheetName val="SPT_vs_PHI26"/>
      <sheetName val="PACK_(B)26"/>
      <sheetName val="Load_Details-220kV26"/>
      <sheetName val="Scheme_Area_Details_Block___C33"/>
      <sheetName val="Prop_aug_of_Ex_33KVSS_E3a24"/>
      <sheetName val="A_3_724"/>
      <sheetName val="Day_work24"/>
      <sheetName val="220Kv_(2)32"/>
      <sheetName val="Coal_mine_Lightning_protn_REV32"/>
      <sheetName val="SPT_vs_PHI29"/>
      <sheetName val="PACK_(B)29"/>
      <sheetName val="Load_Details-220kV29"/>
      <sheetName val="Scheme_Area_Details_Block___C36"/>
      <sheetName val="Prop_aug_of_Ex_33KVSS_E3a27"/>
      <sheetName val="A_3_727"/>
      <sheetName val="Day_work27"/>
      <sheetName val="220Kv_(2)30"/>
      <sheetName val="Coal_mine_Lightning_protn_REV30"/>
      <sheetName val="SPT_vs_PHI27"/>
      <sheetName val="PACK_(B)27"/>
      <sheetName val="Load_Details-220kV27"/>
      <sheetName val="Scheme_Area_Details_Block___C34"/>
      <sheetName val="Prop_aug_of_Ex_33KVSS_E3a25"/>
      <sheetName val="A_3_725"/>
      <sheetName val="Day_work25"/>
      <sheetName val="220Kv_(2)31"/>
      <sheetName val="Coal_mine_Lightning_protn_REV31"/>
      <sheetName val="SPT_vs_PHI28"/>
      <sheetName val="PACK_(B)28"/>
      <sheetName val="Load_Details-220kV28"/>
      <sheetName val="Scheme_Area_Details_Block___C35"/>
      <sheetName val="Prop_aug_of_Ex_33KVSS_E3a26"/>
      <sheetName val="A_3_726"/>
      <sheetName val="Day_work26"/>
      <sheetName val="220Kv_(2)33"/>
      <sheetName val="Coal_mine_Lightning_protn_REV33"/>
      <sheetName val="SPT_vs_PHI30"/>
      <sheetName val="PACK_(B)30"/>
      <sheetName val="Load_Details-220kV30"/>
      <sheetName val="Scheme_Area_Details_Block___C37"/>
      <sheetName val="Prop_aug_of_Ex_33KVSS_E3a28"/>
      <sheetName val="A_3_728"/>
      <sheetName val="Day_work28"/>
      <sheetName val="DSLP_CALCULATION"/>
      <sheetName val="220Kv_(2)34"/>
      <sheetName val="Coal_mine_Lightning_protn_REV34"/>
      <sheetName val="SPT_vs_PHI31"/>
      <sheetName val="PACK_(B)31"/>
      <sheetName val="Load_Details-220kV31"/>
      <sheetName val="Scheme_Area_Details_Block___C38"/>
      <sheetName val="Prop_aug_of_Ex_33KVSS_E3a29"/>
      <sheetName val="A_3_729"/>
      <sheetName val="Day_work29"/>
      <sheetName val="DSLP_CALCULATION1"/>
      <sheetName val="220Kv_(2)35"/>
      <sheetName val="Coal_mine_Lightning_protn_REV35"/>
      <sheetName val="SPT_vs_PHI32"/>
      <sheetName val="PACK_(B)32"/>
      <sheetName val="Load_Details-220kV32"/>
      <sheetName val="Scheme_Area_Details_Block___C39"/>
      <sheetName val="Prop_aug_of_Ex_33KVSS_E3a30"/>
      <sheetName val="A_3_730"/>
      <sheetName val="Day_work30"/>
      <sheetName val="DSLP_CALCULATION2"/>
      <sheetName val="220Kv_(2)36"/>
      <sheetName val="Coal_mine_Lightning_protn_REV36"/>
      <sheetName val="SPT_vs_PHI33"/>
      <sheetName val="PACK_(B)33"/>
      <sheetName val="Load_Details-220kV33"/>
      <sheetName val="Scheme_Area_Details_Block___C40"/>
      <sheetName val="Prop_aug_of_Ex_33KVSS_E3a31"/>
      <sheetName val="A_3_731"/>
      <sheetName val="Day_work31"/>
      <sheetName val="DSLP_CALCULATION3"/>
      <sheetName val="220Kv_(2)37"/>
      <sheetName val="Coal_mine_Lightning_protn_REV37"/>
      <sheetName val="SPT_vs_PHI34"/>
      <sheetName val="PACK_(B)34"/>
      <sheetName val="Load_Details-220kV34"/>
      <sheetName val="Scheme_Area_Details_Block___C41"/>
      <sheetName val="Prop_aug_of_Ex_33KVSS_E3a32"/>
      <sheetName val="A_3_732"/>
      <sheetName val="Day_work32"/>
      <sheetName val="DSLP_CALCULATION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 val="PACK_(B)18"/>
      <sheetName val="Load_Details-220kV15"/>
      <sheetName val="220Kv_(2)15"/>
      <sheetName val="Coal_mine_Lightning_protn_REV15"/>
      <sheetName val="SPT_vs_PHI15"/>
      <sheetName val="Rate_Analysis15"/>
      <sheetName val="Anex-1_Con_Load13"/>
      <sheetName val="Fee_Rate_Summary13"/>
      <sheetName val="Scheme_Area_Details_Block___C13"/>
      <sheetName val="Prop_aug_of_Ex_33KVSS_E3a13"/>
      <sheetName val="SC_Cost_FEB_0313"/>
      <sheetName val="SPARE_MYSORE13"/>
      <sheetName val="TB_Apr13"/>
      <sheetName val="PACK_(B)5"/>
      <sheetName val="Load_Details-220kV2"/>
      <sheetName val="220Kv_(2)2"/>
      <sheetName val="Coal_mine_Lightning_protn_REV-2"/>
      <sheetName val="SPT_vs_PHI2"/>
      <sheetName val="Rate_Analysis2"/>
      <sheetName val="Anex-1_Con_Load"/>
      <sheetName val="Fee_Rate_Summary"/>
      <sheetName val="Scheme_Area_Details_Block___C2"/>
      <sheetName val="Prop_aug_of_Ex_33KVSS_E3a"/>
      <sheetName val="SC_Cost_FEB_03"/>
      <sheetName val="SPARE_MYSORE"/>
      <sheetName val="TB_Apr"/>
      <sheetName val="PACK_(B)6"/>
      <sheetName val="Load_Details-220kV3"/>
      <sheetName val="220Kv_(2)3"/>
      <sheetName val="Coal_mine_Lightning_protn_REV-3"/>
      <sheetName val="SPT_vs_PHI3"/>
      <sheetName val="Rate_Analysis3"/>
      <sheetName val="Anex-1_Con_Load1"/>
      <sheetName val="Fee_Rate_Summary1"/>
      <sheetName val="Scheme_Area_Details_Block___C21"/>
      <sheetName val="Prop_aug_of_Ex_33KVSS_E3a1"/>
      <sheetName val="SC_Cost_FEB_031"/>
      <sheetName val="SPARE_MYSORE1"/>
      <sheetName val="TB_Apr1"/>
      <sheetName val="PACK_(B)7"/>
      <sheetName val="Load_Details-220kV4"/>
      <sheetName val="220Kv_(2)4"/>
      <sheetName val="Coal_mine_Lightning_protn_REV-4"/>
      <sheetName val="SPT_vs_PHI4"/>
      <sheetName val="Rate_Analysis4"/>
      <sheetName val="Anex-1_Con_Load2"/>
      <sheetName val="Fee_Rate_Summary2"/>
      <sheetName val="Scheme_Area_Details_Block___C22"/>
      <sheetName val="Prop_aug_of_Ex_33KVSS_E3a2"/>
      <sheetName val="SC_Cost_FEB_032"/>
      <sheetName val="SPARE_MYSORE2"/>
      <sheetName val="TB_Apr2"/>
      <sheetName val="PACK_(B)8"/>
      <sheetName val="Load_Details-220kV5"/>
      <sheetName val="220Kv_(2)5"/>
      <sheetName val="Coal_mine_Lightning_protn_REV-5"/>
      <sheetName val="SPT_vs_PHI5"/>
      <sheetName val="Rate_Analysis5"/>
      <sheetName val="Anex-1_Con_Load3"/>
      <sheetName val="Fee_Rate_Summary3"/>
      <sheetName val="Scheme_Area_Details_Block___C23"/>
      <sheetName val="Prop_aug_of_Ex_33KVSS_E3a3"/>
      <sheetName val="SC_Cost_FEB_033"/>
      <sheetName val="SPARE_MYSORE3"/>
      <sheetName val="TB_Apr3"/>
      <sheetName val="PACK_(B)9"/>
      <sheetName val="Load_Details-220kV6"/>
      <sheetName val="220Kv_(2)6"/>
      <sheetName val="Coal_mine_Lightning_protn_REV-6"/>
      <sheetName val="SPT_vs_PHI6"/>
      <sheetName val="Rate_Analysis6"/>
      <sheetName val="Anex-1_Con_Load4"/>
      <sheetName val="Fee_Rate_Summary4"/>
      <sheetName val="Scheme_Area_Details_Block___C24"/>
      <sheetName val="Prop_aug_of_Ex_33KVSS_E3a4"/>
      <sheetName val="SC_Cost_FEB_034"/>
      <sheetName val="SPARE_MYSORE4"/>
      <sheetName val="TB_Apr4"/>
      <sheetName val="PACK_(B)14"/>
      <sheetName val="Load_Details-220kV11"/>
      <sheetName val="220Kv_(2)11"/>
      <sheetName val="Coal_mine_Lightning_protn_REV11"/>
      <sheetName val="SPT_vs_PHI11"/>
      <sheetName val="Rate_Analysis11"/>
      <sheetName val="Anex-1_Con_Load9"/>
      <sheetName val="Fee_Rate_Summary9"/>
      <sheetName val="Scheme_Area_Details_Block___C29"/>
      <sheetName val="Prop_aug_of_Ex_33KVSS_E3a9"/>
      <sheetName val="SC_Cost_FEB_039"/>
      <sheetName val="SPARE_MYSORE9"/>
      <sheetName val="TB_Apr9"/>
      <sheetName val="PACK_(B)10"/>
      <sheetName val="Load_Details-220kV7"/>
      <sheetName val="220Kv_(2)7"/>
      <sheetName val="Coal_mine_Lightning_protn_REV-7"/>
      <sheetName val="SPT_vs_PHI7"/>
      <sheetName val="Rate_Analysis7"/>
      <sheetName val="Anex-1_Con_Load5"/>
      <sheetName val="Fee_Rate_Summary5"/>
      <sheetName val="Scheme_Area_Details_Block___C25"/>
      <sheetName val="Prop_aug_of_Ex_33KVSS_E3a5"/>
      <sheetName val="SC_Cost_FEB_035"/>
      <sheetName val="SPARE_MYSORE5"/>
      <sheetName val="TB_Apr5"/>
      <sheetName val="PACK_(B)12"/>
      <sheetName val="Load_Details-220kV9"/>
      <sheetName val="220Kv_(2)9"/>
      <sheetName val="Coal_mine_Lightning_protn_REV-9"/>
      <sheetName val="SPT_vs_PHI9"/>
      <sheetName val="Rate_Analysis9"/>
      <sheetName val="Anex-1_Con_Load7"/>
      <sheetName val="Fee_Rate_Summary7"/>
      <sheetName val="Scheme_Area_Details_Block___C27"/>
      <sheetName val="Prop_aug_of_Ex_33KVSS_E3a7"/>
      <sheetName val="SC_Cost_FEB_037"/>
      <sheetName val="SPARE_MYSORE7"/>
      <sheetName val="TB_Apr7"/>
      <sheetName val="PACK_(B)11"/>
      <sheetName val="Load_Details-220kV8"/>
      <sheetName val="220Kv_(2)8"/>
      <sheetName val="Coal_mine_Lightning_protn_REV-8"/>
      <sheetName val="SPT_vs_PHI8"/>
      <sheetName val="Rate_Analysis8"/>
      <sheetName val="Anex-1_Con_Load6"/>
      <sheetName val="Fee_Rate_Summary6"/>
      <sheetName val="Scheme_Area_Details_Block___C26"/>
      <sheetName val="Prop_aug_of_Ex_33KVSS_E3a6"/>
      <sheetName val="SC_Cost_FEB_036"/>
      <sheetName val="SPARE_MYSORE6"/>
      <sheetName val="TB_Apr6"/>
      <sheetName val="PACK_(B)13"/>
      <sheetName val="Load_Details-220kV10"/>
      <sheetName val="220Kv_(2)10"/>
      <sheetName val="Coal_mine_Lightning_protn_REV10"/>
      <sheetName val="SPT_vs_PHI10"/>
      <sheetName val="Rate_Analysis10"/>
      <sheetName val="Anex-1_Con_Load8"/>
      <sheetName val="Fee_Rate_Summary8"/>
      <sheetName val="Scheme_Area_Details_Block___C28"/>
      <sheetName val="Prop_aug_of_Ex_33KVSS_E3a8"/>
      <sheetName val="SC_Cost_FEB_038"/>
      <sheetName val="SPARE_MYSORE8"/>
      <sheetName val="TB_Apr8"/>
      <sheetName val="PACK_(B)15"/>
      <sheetName val="Load_Details-220kV12"/>
      <sheetName val="220Kv_(2)12"/>
      <sheetName val="Coal_mine_Lightning_protn_REV12"/>
      <sheetName val="SPT_vs_PHI12"/>
      <sheetName val="Rate_Analysis12"/>
      <sheetName val="Anex-1_Con_Load10"/>
      <sheetName val="Fee_Rate_Summary10"/>
      <sheetName val="Scheme_Area_Details_Block___C10"/>
      <sheetName val="Prop_aug_of_Ex_33KVSS_E3a10"/>
      <sheetName val="SC_Cost_FEB_0310"/>
      <sheetName val="SPARE_MYSORE10"/>
      <sheetName val="TB_Apr10"/>
      <sheetName val="PACK_(B)16"/>
      <sheetName val="Load_Details-220kV13"/>
      <sheetName val="220Kv_(2)13"/>
      <sheetName val="Coal_mine_Lightning_protn_REV13"/>
      <sheetName val="SPT_vs_PHI13"/>
      <sheetName val="Rate_Analysis13"/>
      <sheetName val="Anex-1_Con_Load11"/>
      <sheetName val="Fee_Rate_Summary11"/>
      <sheetName val="Scheme_Area_Details_Block___C11"/>
      <sheetName val="Prop_aug_of_Ex_33KVSS_E3a11"/>
      <sheetName val="SC_Cost_FEB_0311"/>
      <sheetName val="SPARE_MYSORE11"/>
      <sheetName val="TB_Apr11"/>
      <sheetName val="PACK_(B)17"/>
      <sheetName val="Load_Details-220kV14"/>
      <sheetName val="220Kv_(2)14"/>
      <sheetName val="Coal_mine_Lightning_protn_REV14"/>
      <sheetName val="SPT_vs_PHI14"/>
      <sheetName val="Rate_Analysis14"/>
      <sheetName val="Anex-1_Con_Load12"/>
      <sheetName val="Fee_Rate_Summary12"/>
      <sheetName val="Scheme_Area_Details_Block___C12"/>
      <sheetName val="Prop_aug_of_Ex_33KVSS_E3a12"/>
      <sheetName val="SC_Cost_FEB_0312"/>
      <sheetName val="SPARE_MYSORE12"/>
      <sheetName val="TB_Apr12"/>
      <sheetName val="PACK_(B)19"/>
      <sheetName val="Load_Details-220kV16"/>
      <sheetName val="220Kv_(2)16"/>
      <sheetName val="Coal_mine_Lightning_protn_REV16"/>
      <sheetName val="SPT_vs_PHI16"/>
      <sheetName val="Rate_Analysis16"/>
      <sheetName val="Anex-1_Con_Load14"/>
      <sheetName val="Fee_Rate_Summary14"/>
      <sheetName val="Scheme_Area_Details_Block___C14"/>
      <sheetName val="Prop_aug_of_Ex_33KVSS_E3a14"/>
      <sheetName val="SC_Cost_FEB_0314"/>
      <sheetName val="SPARE_MYSORE14"/>
      <sheetName val="TB_Apr14"/>
      <sheetName val="PACK_(B)20"/>
      <sheetName val="Load_Details-220kV17"/>
      <sheetName val="220Kv_(2)17"/>
      <sheetName val="Coal_mine_Lightning_protn_REV17"/>
      <sheetName val="SPT_vs_PHI17"/>
      <sheetName val="Rate_Analysis17"/>
      <sheetName val="Anex-1_Con_Load15"/>
      <sheetName val="Fee_Rate_Summary15"/>
      <sheetName val="Scheme_Area_Details_Block___C15"/>
      <sheetName val="Prop_aug_of_Ex_33KVSS_E3a15"/>
      <sheetName val="SC_Cost_FEB_0315"/>
      <sheetName val="SPARE_MYSORE15"/>
      <sheetName val="TB_Apr15"/>
      <sheetName val="Sheet5"/>
      <sheetName val="main1"/>
      <sheetName val="PACK_(B)21"/>
      <sheetName val="Load_Details-220kV18"/>
      <sheetName val="220Kv_(2)18"/>
      <sheetName val="Coal_mine_Lightning_protn_REV18"/>
      <sheetName val="SPT_vs_PHI18"/>
      <sheetName val="Rate_Analysis18"/>
      <sheetName val="Anex-1_Con_Load16"/>
      <sheetName val="Fee_Rate_Summary16"/>
      <sheetName val="TB_Apr16"/>
      <sheetName val="Scheme_Area_Details_Block___C16"/>
      <sheetName val="Prop_aug_of_Ex_33KVSS_E3a16"/>
      <sheetName val="SC_Cost_FEB_0316"/>
      <sheetName val="SPARE_MYSORE16"/>
      <sheetName val="PACK_(B)22"/>
      <sheetName val="Load_Details-220kV19"/>
      <sheetName val="220Kv_(2)19"/>
      <sheetName val="Coal_mine_Lightning_protn_REV19"/>
      <sheetName val="SPT_vs_PHI19"/>
      <sheetName val="Rate_Analysis19"/>
      <sheetName val="Anex-1_Con_Load17"/>
      <sheetName val="Fee_Rate_Summary17"/>
      <sheetName val="Scheme_Area_Details_Block___C17"/>
      <sheetName val="Prop_aug_of_Ex_33KVSS_E3a17"/>
      <sheetName val="SC_Cost_FEB_0317"/>
      <sheetName val="SPARE_MYSORE17"/>
      <sheetName val="TB_Apr17"/>
      <sheetName val="PACK_(B)23"/>
      <sheetName val="Load_Details-220kV20"/>
      <sheetName val="220Kv_(2)20"/>
      <sheetName val="Coal_mine_Lightning_protn_REV20"/>
      <sheetName val="SPT_vs_PHI20"/>
      <sheetName val="Rate_Analysis20"/>
      <sheetName val="Anex-1_Con_Load18"/>
      <sheetName val="Fee_Rate_Summary18"/>
      <sheetName val="TB_Apr18"/>
      <sheetName val="Scheme_Area_Details_Block___C18"/>
      <sheetName val="Prop_aug_of_Ex_33KVSS_E3a18"/>
      <sheetName val="SC_Cost_FEB_0318"/>
      <sheetName val="SPARE_MYSORE18"/>
      <sheetName val="PACK_(B)28"/>
      <sheetName val="Load_Details-220kV25"/>
      <sheetName val="220Kv_(2)25"/>
      <sheetName val="Coal_mine_Lightning_protn_REV25"/>
      <sheetName val="SPT_vs_PHI25"/>
      <sheetName val="Rate_Analysis25"/>
      <sheetName val="Anex-1_Con_Load23"/>
      <sheetName val="Fee_Rate_Summary23"/>
      <sheetName val="Scheme_Area_Details_Block___C32"/>
      <sheetName val="Prop_aug_of_Ex_33KVSS_E3a23"/>
      <sheetName val="SC_Cost_FEB_0323"/>
      <sheetName val="SPARE_MYSORE23"/>
      <sheetName val="TB_Apr23"/>
      <sheetName val="PACK_(B)27"/>
      <sheetName val="Load_Details-220kV24"/>
      <sheetName val="220Kv_(2)24"/>
      <sheetName val="Coal_mine_Lightning_protn_REV24"/>
      <sheetName val="SPT_vs_PHI24"/>
      <sheetName val="Rate_Analysis24"/>
      <sheetName val="Anex-1_Con_Load22"/>
      <sheetName val="Fee_Rate_Summary22"/>
      <sheetName val="Scheme_Area_Details_Block___C31"/>
      <sheetName val="Prop_aug_of_Ex_33KVSS_E3a22"/>
      <sheetName val="SC_Cost_FEB_0322"/>
      <sheetName val="SPARE_MYSORE22"/>
      <sheetName val="TB_Apr22"/>
      <sheetName val="PACK_(B)24"/>
      <sheetName val="Load_Details-220kV21"/>
      <sheetName val="220Kv_(2)21"/>
      <sheetName val="Coal_mine_Lightning_protn_REV21"/>
      <sheetName val="SPT_vs_PHI21"/>
      <sheetName val="Rate_Analysis21"/>
      <sheetName val="Anex-1_Con_Load19"/>
      <sheetName val="Fee_Rate_Summary19"/>
      <sheetName val="Scheme_Area_Details_Block___C19"/>
      <sheetName val="Prop_aug_of_Ex_33KVSS_E3a19"/>
      <sheetName val="SC_Cost_FEB_0319"/>
      <sheetName val="SPARE_MYSORE19"/>
      <sheetName val="TB_Apr19"/>
      <sheetName val="PACK_(B)25"/>
      <sheetName val="Load_Details-220kV22"/>
      <sheetName val="220Kv_(2)22"/>
      <sheetName val="Coal_mine_Lightning_protn_REV22"/>
      <sheetName val="SPT_vs_PHI22"/>
      <sheetName val="Rate_Analysis22"/>
      <sheetName val="Anex-1_Con_Load20"/>
      <sheetName val="Fee_Rate_Summary20"/>
      <sheetName val="Scheme_Area_Details_Block___C20"/>
      <sheetName val="Prop_aug_of_Ex_33KVSS_E3a20"/>
      <sheetName val="SC_Cost_FEB_0320"/>
      <sheetName val="SPARE_MYSORE20"/>
      <sheetName val="TB_Apr20"/>
      <sheetName val="PACK_(B)26"/>
      <sheetName val="Load_Details-220kV23"/>
      <sheetName val="220Kv_(2)23"/>
      <sheetName val="Coal_mine_Lightning_protn_REV23"/>
      <sheetName val="SPT_vs_PHI23"/>
      <sheetName val="Rate_Analysis23"/>
      <sheetName val="Anex-1_Con_Load21"/>
      <sheetName val="Fee_Rate_Summary21"/>
      <sheetName val="Scheme_Area_Details_Block___C30"/>
      <sheetName val="Prop_aug_of_Ex_33KVSS_E3a21"/>
      <sheetName val="SC_Cost_FEB_0321"/>
      <sheetName val="SPARE_MYSORE21"/>
      <sheetName val="TB_Apr21"/>
      <sheetName val="PACK_(B)29"/>
      <sheetName val="Load_Details-220kV26"/>
      <sheetName val="220Kv_(2)26"/>
      <sheetName val="Coal_mine_Lightning_protn_REV26"/>
      <sheetName val="SPT_vs_PHI26"/>
      <sheetName val="Rate_Analysis26"/>
      <sheetName val="Anex-1_Con_Load24"/>
      <sheetName val="Fee_Rate_Summary24"/>
      <sheetName val="Scheme_Area_Details_Block___C33"/>
      <sheetName val="Prop_aug_of_Ex_33KVSS_E3a24"/>
      <sheetName val="SC_Cost_FEB_0324"/>
      <sheetName val="SPARE_MYSORE24"/>
      <sheetName val="TB_Apr24"/>
      <sheetName val="PACK_(B)32"/>
      <sheetName val="Load_Details-220kV29"/>
      <sheetName val="220Kv_(2)29"/>
      <sheetName val="Coal_mine_Lightning_protn_REV29"/>
      <sheetName val="SPT_vs_PHI29"/>
      <sheetName val="Rate_Analysis29"/>
      <sheetName val="Anex-1_Con_Load27"/>
      <sheetName val="Fee_Rate_Summary27"/>
      <sheetName val="Scheme_Area_Details_Block___C36"/>
      <sheetName val="Prop_aug_of_Ex_33KVSS_E3a27"/>
      <sheetName val="SC_Cost_FEB_0327"/>
      <sheetName val="SPARE_MYSORE27"/>
      <sheetName val="TB_Apr27"/>
      <sheetName val="PACK_(B)30"/>
      <sheetName val="Load_Details-220kV27"/>
      <sheetName val="220Kv_(2)27"/>
      <sheetName val="Coal_mine_Lightning_protn_REV27"/>
      <sheetName val="SPT_vs_PHI27"/>
      <sheetName val="Rate_Analysis27"/>
      <sheetName val="Anex-1_Con_Load25"/>
      <sheetName val="Fee_Rate_Summary25"/>
      <sheetName val="Scheme_Area_Details_Block___C34"/>
      <sheetName val="Prop_aug_of_Ex_33KVSS_E3a25"/>
      <sheetName val="SC_Cost_FEB_0325"/>
      <sheetName val="SPARE_MYSORE25"/>
      <sheetName val="TB_Apr25"/>
      <sheetName val="PACK_(B)31"/>
      <sheetName val="Load_Details-220kV28"/>
      <sheetName val="220Kv_(2)28"/>
      <sheetName val="Coal_mine_Lightning_protn_REV28"/>
      <sheetName val="SPT_vs_PHI28"/>
      <sheetName val="Rate_Analysis28"/>
      <sheetName val="Anex-1_Con_Load26"/>
      <sheetName val="Fee_Rate_Summary26"/>
      <sheetName val="Scheme_Area_Details_Block___C35"/>
      <sheetName val="Prop_aug_of_Ex_33KVSS_E3a26"/>
      <sheetName val="SC_Cost_FEB_0326"/>
      <sheetName val="SPARE_MYSORE26"/>
      <sheetName val="TB_Apr26"/>
      <sheetName val="Debits as on 12.04.08"/>
      <sheetName val="BLK2"/>
      <sheetName val="BLK3"/>
      <sheetName val="E &amp; R"/>
      <sheetName val="radar"/>
      <sheetName val="UG"/>
      <sheetName val="Costing"/>
      <sheetName val="BOQ"/>
      <sheetName val="upa"/>
      <sheetName val="PRECAST lightconc-II"/>
      <sheetName val="Debits_as_on_12_04_08"/>
      <sheetName val="E_&amp;_R"/>
      <sheetName val="VCH-SLC"/>
      <sheetName val="PACK_(B)33"/>
      <sheetName val="Load_Details-220kV30"/>
      <sheetName val="220Kv_(2)30"/>
      <sheetName val="Coal_mine_Lightning_protn_REV30"/>
      <sheetName val="SPT_vs_PHI30"/>
      <sheetName val="Rate_Analysis30"/>
      <sheetName val="Anex-1_Con_Load28"/>
      <sheetName val="Fee_Rate_Summary28"/>
      <sheetName val="Scheme_Area_Details_Block___C37"/>
      <sheetName val="Prop_aug_of_Ex_33KVSS_E3a28"/>
      <sheetName val="SC_Cost_FEB_0328"/>
      <sheetName val="SPARE_MYSORE28"/>
      <sheetName val="TB_Apr28"/>
      <sheetName val="Debits_as_on_12_04_081"/>
      <sheetName val="E_&amp;_R1"/>
      <sheetName val="PRECAST_lightconc-II"/>
      <sheetName val="PACK_(B)34"/>
      <sheetName val="Load_Details-220kV31"/>
      <sheetName val="220Kv_(2)31"/>
      <sheetName val="Coal_mine_Lightning_protn_REV31"/>
      <sheetName val="SPT_vs_PHI31"/>
      <sheetName val="Rate_Analysis31"/>
      <sheetName val="Anex-1_Con_Load29"/>
      <sheetName val="Fee_Rate_Summary29"/>
      <sheetName val="Scheme_Area_Details_Block___C38"/>
      <sheetName val="Prop_aug_of_Ex_33KVSS_E3a29"/>
      <sheetName val="SC_Cost_FEB_0329"/>
      <sheetName val="SPARE_MYSORE29"/>
      <sheetName val="TB_Apr29"/>
      <sheetName val="Debits_as_on_12_04_082"/>
      <sheetName val="E_&amp;_R2"/>
      <sheetName val="PRECAST_lightconc-II1"/>
      <sheetName val="PACK_(B)35"/>
      <sheetName val="Load_Details-220kV32"/>
      <sheetName val="220Kv_(2)32"/>
      <sheetName val="Coal_mine_Lightning_protn_REV32"/>
      <sheetName val="SPT_vs_PHI32"/>
      <sheetName val="Rate_Analysis32"/>
      <sheetName val="Anex-1_Con_Load30"/>
      <sheetName val="Fee_Rate_Summary30"/>
      <sheetName val="Scheme_Area_Details_Block___C39"/>
      <sheetName val="Prop_aug_of_Ex_33KVSS_E3a30"/>
      <sheetName val="SC_Cost_FEB_0330"/>
      <sheetName val="SPARE_MYSORE30"/>
      <sheetName val="TB_Apr30"/>
      <sheetName val="Debits_as_on_12_04_083"/>
      <sheetName val="E_&amp;_R3"/>
      <sheetName val="PRECAST_lightconc-II2"/>
      <sheetName val="PACK_(B)36"/>
      <sheetName val="Load_Details-220kV33"/>
      <sheetName val="220Kv_(2)33"/>
      <sheetName val="Coal_mine_Lightning_protn_REV33"/>
      <sheetName val="SPT_vs_PHI33"/>
      <sheetName val="Rate_Analysis33"/>
      <sheetName val="Anex-1_Con_Load31"/>
      <sheetName val="Fee_Rate_Summary31"/>
      <sheetName val="Scheme_Area_Details_Block___C40"/>
      <sheetName val="Prop_aug_of_Ex_33KVSS_E3a31"/>
      <sheetName val="SC_Cost_FEB_0331"/>
      <sheetName val="SPARE_MYSORE31"/>
      <sheetName val="TB_Apr31"/>
      <sheetName val="Debits_as_on_12_04_084"/>
      <sheetName val="E_&amp;_R4"/>
      <sheetName val="PRECAST_lightconc-II3"/>
      <sheetName val="PACK_(B)37"/>
      <sheetName val="Load_Details-220kV34"/>
      <sheetName val="220Kv_(2)34"/>
      <sheetName val="Coal_mine_Lightning_protn_REV34"/>
      <sheetName val="SPT_vs_PHI34"/>
      <sheetName val="Rate_Analysis34"/>
      <sheetName val="Anex-1_Con_Load32"/>
      <sheetName val="Fee_Rate_Summary32"/>
      <sheetName val="Scheme_Area_Details_Block___C41"/>
      <sheetName val="Prop_aug_of_Ex_33KVSS_E3a32"/>
      <sheetName val="SC_Cost_FEB_0332"/>
      <sheetName val="SPARE_MYSORE32"/>
      <sheetName val="TB_Apr32"/>
      <sheetName val="Debits_as_on_12_04_085"/>
      <sheetName val="E_&amp;_R5"/>
      <sheetName val="PRECAST_lightconc-II4"/>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refreshError="1"/>
      <sheetData sheetId="416"/>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 val="Dom"/>
      <sheetName val="main1"/>
      <sheetName val="Executive Summary -Thermal"/>
      <sheetName val="Stationwise Thermal &amp; Hydel Gen"/>
      <sheetName val="TWELVE"/>
      <sheetName val="Riser-1"/>
      <sheetName val="3A_400kV_IT5"/>
      <sheetName val="400kV_SA5"/>
      <sheetName val="400kV_SCADA5"/>
      <sheetName val="gpr_bpu5"/>
      <sheetName val="attach_3B5"/>
      <sheetName val="attach_3c5"/>
      <sheetName val="Attachment-_3D5"/>
      <sheetName val="Attachment-_3E5"/>
      <sheetName val="Attachment-_3G5"/>
      <sheetName val="Attachment-_3H5"/>
      <sheetName val="Attachment-_45"/>
      <sheetName val="Annex-I_5"/>
      <sheetName val="Attachment-6A___5"/>
      <sheetName val="Attachment-7_5"/>
      <sheetName val="Attachment-10_5"/>
      <sheetName val="Attachment-11_5"/>
      <sheetName val="Attachment-13___5"/>
      <sheetName val="Attachment-14_5"/>
      <sheetName val="Attachment-15_5"/>
      <sheetName val="SC_Cost_FEB_031"/>
      <sheetName val="STN_WISE_EMR1"/>
      <sheetName val="CW_General_Summary_1"/>
      <sheetName val="SPT_vs_PHI1"/>
      <sheetName val="Form_61"/>
      <sheetName val="DETAILED__BOQ"/>
      <sheetName val="3A_400kV_IT6"/>
      <sheetName val="400kV_SA6"/>
      <sheetName val="400kV_SCADA6"/>
      <sheetName val="gpr_bpu6"/>
      <sheetName val="attach_3B6"/>
      <sheetName val="attach_3c6"/>
      <sheetName val="Attachment-_3D6"/>
      <sheetName val="Attachment-_3E6"/>
      <sheetName val="Attachment-_3G6"/>
      <sheetName val="Attachment-_3H6"/>
      <sheetName val="Attachment-_46"/>
      <sheetName val="Annex-I_6"/>
      <sheetName val="Attachment-6A___6"/>
      <sheetName val="Attachment-7_6"/>
      <sheetName val="Attachment-10_6"/>
      <sheetName val="Attachment-11_6"/>
      <sheetName val="Attachment-13___6"/>
      <sheetName val="Attachment-14_6"/>
      <sheetName val="Attachment-15_6"/>
      <sheetName val="SC_Cost_FEB_032"/>
      <sheetName val="STN_WISE_EMR2"/>
      <sheetName val="CW_General_Summary_2"/>
      <sheetName val="SPT_vs_PHI2"/>
      <sheetName val="Form_62"/>
      <sheetName val="DETAILED__BOQ1"/>
      <sheetName val="3A_400kV_IT7"/>
      <sheetName val="400kV_SA7"/>
      <sheetName val="400kV_SCADA7"/>
      <sheetName val="gpr_bpu7"/>
      <sheetName val="attach_3B7"/>
      <sheetName val="attach_3c7"/>
      <sheetName val="Attachment-_3D7"/>
      <sheetName val="Attachment-_3E7"/>
      <sheetName val="Attachment-_3G7"/>
      <sheetName val="Attachment-_3H7"/>
      <sheetName val="Attachment-_47"/>
      <sheetName val="Annex-I_7"/>
      <sheetName val="Attachment-6A___7"/>
      <sheetName val="Attachment-7_7"/>
      <sheetName val="Attachment-10_7"/>
      <sheetName val="Attachment-11_7"/>
      <sheetName val="Attachment-13___7"/>
      <sheetName val="Attachment-14_7"/>
      <sheetName val="Attachment-15_7"/>
      <sheetName val="SC_Cost_FEB_033"/>
      <sheetName val="STN_WISE_EMR3"/>
      <sheetName val="CW_General_Summary_3"/>
      <sheetName val="SPT_vs_PHI3"/>
      <sheetName val="Form_63"/>
      <sheetName val="DETAILED__BOQ2"/>
      <sheetName val="BOQ_Analysis_LT"/>
      <sheetName val="BP-Other_strs"/>
      <sheetName val="PROJECT_"/>
      <sheetName val="PRODUCTION_DATA"/>
      <sheetName val="CO_FORMS"/>
      <sheetName val="INV_COST"/>
      <sheetName val="MATERIAL_AC"/>
      <sheetName val="FOR_VARIANCE_CALC_"/>
      <sheetName val="VARIANCE_SUMMARY"/>
      <sheetName val="access_road"/>
      <sheetName val="Executive_Summary_-Thermal"/>
      <sheetName val="Stationwise_Thermal_&amp;_Hydel_Gen"/>
      <sheetName val="3A_400kV_IT8"/>
      <sheetName val="400kV_SA8"/>
      <sheetName val="400kV_SCADA8"/>
      <sheetName val="gpr_bpu8"/>
      <sheetName val="attach_3B8"/>
      <sheetName val="attach_3c8"/>
      <sheetName val="Attachment-_3D8"/>
      <sheetName val="Attachment-_3E8"/>
      <sheetName val="Attachment-_3G8"/>
      <sheetName val="Attachment-_3H8"/>
      <sheetName val="Attachment-_48"/>
      <sheetName val="Annex-I_8"/>
      <sheetName val="Attachment-6A___8"/>
      <sheetName val="Attachment-7_8"/>
      <sheetName val="Attachment-10_8"/>
      <sheetName val="Attachment-11_8"/>
      <sheetName val="Attachment-13___8"/>
      <sheetName val="Attachment-14_8"/>
      <sheetName val="Attachment-15_8"/>
      <sheetName val="SC_Cost_FEB_034"/>
      <sheetName val="STN_WISE_EMR4"/>
      <sheetName val="CW_General_Summary_4"/>
      <sheetName val="SPT_vs_PHI4"/>
      <sheetName val="Form_64"/>
      <sheetName val="DETAILED__BOQ3"/>
      <sheetName val="BOQ_Analysis_LT1"/>
      <sheetName val="BP-Other_strs1"/>
      <sheetName val="PROJECT_1"/>
      <sheetName val="PRODUCTION_DATA1"/>
      <sheetName val="CO_FORMS1"/>
      <sheetName val="INV_COST1"/>
      <sheetName val="MATERIAL_AC1"/>
      <sheetName val="FOR_VARIANCE_CALC_1"/>
      <sheetName val="VARIANCE_SUMMARY1"/>
      <sheetName val="access_road1"/>
      <sheetName val="Executive_Summary_-Thermal1"/>
      <sheetName val="Stationwise_Thermal_&amp;_Hydel_Ge1"/>
      <sheetName val="3A_400kV_IT9"/>
      <sheetName val="400kV_SA9"/>
      <sheetName val="400kV_SCADA9"/>
      <sheetName val="gpr_bpu9"/>
      <sheetName val="attach_3B9"/>
      <sheetName val="attach_3c9"/>
      <sheetName val="Attachment-_3D9"/>
      <sheetName val="Attachment-_3E9"/>
      <sheetName val="Attachment-_3G9"/>
      <sheetName val="Attachment-_3H9"/>
      <sheetName val="Attachment-_49"/>
      <sheetName val="Annex-I_9"/>
      <sheetName val="Attachment-6A___9"/>
      <sheetName val="Attachment-7_9"/>
      <sheetName val="Attachment-10_9"/>
      <sheetName val="Attachment-11_9"/>
      <sheetName val="Attachment-13___9"/>
      <sheetName val="Attachment-14_9"/>
      <sheetName val="Attachment-15_9"/>
      <sheetName val="SC_Cost_FEB_035"/>
      <sheetName val="STN_WISE_EMR5"/>
      <sheetName val="CW_General_Summary_5"/>
      <sheetName val="SPT_vs_PHI5"/>
      <sheetName val="Form_65"/>
      <sheetName val="DETAILED__BOQ4"/>
      <sheetName val="BOQ_Analysis_LT2"/>
      <sheetName val="BP-Other_strs2"/>
      <sheetName val="PROJECT_2"/>
      <sheetName val="PRODUCTION_DATA2"/>
      <sheetName val="CO_FORMS2"/>
      <sheetName val="INV_COST2"/>
      <sheetName val="MATERIAL_AC2"/>
      <sheetName val="FOR_VARIANCE_CALC_2"/>
      <sheetName val="VARIANCE_SUMMARY2"/>
      <sheetName val="access_road2"/>
      <sheetName val="Executive_Summary_-Thermal2"/>
      <sheetName val="Stationwise_Thermal_&amp;_Hydel_Ge2"/>
      <sheetName val="3A_400kV_IT10"/>
      <sheetName val="400kV_SA10"/>
      <sheetName val="400kV_SCADA10"/>
      <sheetName val="gpr_bpu10"/>
      <sheetName val="attach_3B10"/>
      <sheetName val="attach_3c10"/>
      <sheetName val="Attachment-_3D10"/>
      <sheetName val="Attachment-_3E10"/>
      <sheetName val="Attachment-_3G10"/>
      <sheetName val="Attachment-_3H10"/>
      <sheetName val="Attachment-_410"/>
      <sheetName val="Annex-I_10"/>
      <sheetName val="Attachment-6A___10"/>
      <sheetName val="Attachment-7_10"/>
      <sheetName val="Attachment-10_10"/>
      <sheetName val="Attachment-11_10"/>
      <sheetName val="Attachment-13___10"/>
      <sheetName val="Attachment-14_10"/>
      <sheetName val="Attachment-15_10"/>
      <sheetName val="SC_Cost_FEB_036"/>
      <sheetName val="STN_WISE_EMR6"/>
      <sheetName val="CW_General_Summary_6"/>
      <sheetName val="SPT_vs_PHI6"/>
      <sheetName val="Form_66"/>
      <sheetName val="DETAILED__BOQ5"/>
      <sheetName val="BOQ_Analysis_LT3"/>
      <sheetName val="BP-Other_strs3"/>
      <sheetName val="PROJECT_3"/>
      <sheetName val="PRODUCTION_DATA3"/>
      <sheetName val="CO_FORMS3"/>
      <sheetName val="INV_COST3"/>
      <sheetName val="MATERIAL_AC3"/>
      <sheetName val="FOR_VARIANCE_CALC_3"/>
      <sheetName val="VARIANCE_SUMMARY3"/>
      <sheetName val="access_road3"/>
      <sheetName val="Executive_Summary_-Thermal3"/>
      <sheetName val="Stationwise_Thermal_&amp;_Hydel_Ge3"/>
      <sheetName val="3A_400kV_IT11"/>
      <sheetName val="400kV_SA11"/>
      <sheetName val="400kV_SCADA11"/>
      <sheetName val="gpr_bpu11"/>
      <sheetName val="attach_3B11"/>
      <sheetName val="attach_3c11"/>
      <sheetName val="Attachment-_3D11"/>
      <sheetName val="Attachment-_3E11"/>
      <sheetName val="Attachment-_3G11"/>
      <sheetName val="Attachment-_3H11"/>
      <sheetName val="Attachment-_411"/>
      <sheetName val="Annex-I_11"/>
      <sheetName val="Attachment-6A___11"/>
      <sheetName val="Attachment-7_11"/>
      <sheetName val="Attachment-10_11"/>
      <sheetName val="Attachment-11_11"/>
      <sheetName val="Attachment-13___11"/>
      <sheetName val="Attachment-14_11"/>
      <sheetName val="Attachment-15_11"/>
      <sheetName val="SC_Cost_FEB_037"/>
      <sheetName val="STN_WISE_EMR7"/>
      <sheetName val="CW_General_Summary_7"/>
      <sheetName val="SPT_vs_PHI7"/>
      <sheetName val="Form_67"/>
      <sheetName val="DETAILED__BOQ6"/>
      <sheetName val="BOQ_Analysis_LT4"/>
      <sheetName val="BP-Other_strs4"/>
      <sheetName val="PROJECT_4"/>
      <sheetName val="PRODUCTION_DATA4"/>
      <sheetName val="CO_FORMS4"/>
      <sheetName val="INV_COST4"/>
      <sheetName val="MATERIAL_AC4"/>
      <sheetName val="FOR_VARIANCE_CALC_4"/>
      <sheetName val="VARIANCE_SUMMARY4"/>
      <sheetName val="access_road4"/>
      <sheetName val="Executive_Summary_-Thermal4"/>
      <sheetName val="Stationwise_Thermal_&amp;_Hydel_Ge4"/>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 val="Trade Summary"/>
      <sheetName val="BUR "/>
      <sheetName val="TSA"/>
      <sheetName val="15.Rd"/>
      <sheetName val="Materials Cost(PCC)"/>
      <sheetName val="beam-reinft-machine rm"/>
      <sheetName val="foot-slab reinft"/>
      <sheetName val="Material_15"/>
      <sheetName val="Labour_&amp;_Plant15"/>
      <sheetName val="01_11_200415"/>
      <sheetName val="beam-reinft-IIInd_floor15"/>
      <sheetName val="SPT_vs_PHI15"/>
      <sheetName val="Rate_Analysis14"/>
      <sheetName val="pile_Fabrication14"/>
      <sheetName val="Materials_14"/>
      <sheetName val="P-Ins_&amp;_Bonds14"/>
      <sheetName val="LIFE_&amp;_REP_PROVN14"/>
      <sheetName val="O&amp;M_CREW14"/>
      <sheetName val="Risk_Te__Co_14"/>
      <sheetName val="Informa_14"/>
      <sheetName val="Z-_GENERAL_PRICE_SUMMARY14"/>
      <sheetName val="WITHOUT_C&amp;I_PROFIT_(3)14"/>
      <sheetName val="Final_Basic_rate14"/>
      <sheetName val="Hume_Pipe14"/>
      <sheetName val="Labour_rates14"/>
      <sheetName val="SC_Cost_FEB_0314"/>
      <sheetName val="Raw_Data13"/>
      <sheetName val="Day_work13"/>
      <sheetName val="33628-Rev__A13"/>
      <sheetName val="Eq__Mobilization13"/>
      <sheetName val="Materials_Cost13"/>
      <sheetName val="2_대외공문13"/>
      <sheetName val="Z-_GENERAL_PRICE_SUMMARY1"/>
      <sheetName val="WITHOUT_C&amp;I_PROFIT_(3)1"/>
      <sheetName val="Final_Basic_rate1"/>
      <sheetName val="Hume_Pipe1"/>
      <sheetName val="Labour_rates1"/>
      <sheetName val="SC_Cost_FEB_031"/>
      <sheetName val="Raw_Data"/>
      <sheetName val="Day_work"/>
      <sheetName val="33628-Rev__A"/>
      <sheetName val="Eq__Mobilization"/>
      <sheetName val="Materials_Cost"/>
      <sheetName val="2_대외공문"/>
      <sheetName val="Material_3"/>
      <sheetName val="Labour_&amp;_Plant3"/>
      <sheetName val="01_11_20043"/>
      <sheetName val="beam-reinft-IIInd_floor3"/>
      <sheetName val="SPT_vs_PHI3"/>
      <sheetName val="Rate_Analysis2"/>
      <sheetName val="pile_Fabrication2"/>
      <sheetName val="Materials_2"/>
      <sheetName val="P-Ins_&amp;_Bonds2"/>
      <sheetName val="LIFE_&amp;_REP_PROVN2"/>
      <sheetName val="O&amp;M_CREW2"/>
      <sheetName val="Risk_Te__Co_2"/>
      <sheetName val="Informa_2"/>
      <sheetName val="Z-_GENERAL_PRICE_SUMMARY2"/>
      <sheetName val="WITHOUT_C&amp;I_PROFIT_(3)2"/>
      <sheetName val="Final_Basic_rate2"/>
      <sheetName val="Hume_Pipe2"/>
      <sheetName val="Labour_rates2"/>
      <sheetName val="SC_Cost_FEB_032"/>
      <sheetName val="Raw_Data1"/>
      <sheetName val="Day_work1"/>
      <sheetName val="33628-Rev__A1"/>
      <sheetName val="Eq__Mobilization1"/>
      <sheetName val="Materials_Cost1"/>
      <sheetName val="2_대외공문1"/>
      <sheetName val="Material_4"/>
      <sheetName val="Labour_&amp;_Plant4"/>
      <sheetName val="01_11_20044"/>
      <sheetName val="beam-reinft-IIInd_floor4"/>
      <sheetName val="SPT_vs_PHI4"/>
      <sheetName val="Rate_Analysis3"/>
      <sheetName val="pile_Fabrication3"/>
      <sheetName val="Materials_3"/>
      <sheetName val="P-Ins_&amp;_Bonds3"/>
      <sheetName val="LIFE_&amp;_REP_PROVN3"/>
      <sheetName val="O&amp;M_CREW3"/>
      <sheetName val="Risk_Te__Co_3"/>
      <sheetName val="Informa_3"/>
      <sheetName val="Z-_GENERAL_PRICE_SUMMARY3"/>
      <sheetName val="WITHOUT_C&amp;I_PROFIT_(3)3"/>
      <sheetName val="Final_Basic_rate3"/>
      <sheetName val="Hume_Pipe3"/>
      <sheetName val="Labour_rates3"/>
      <sheetName val="SC_Cost_FEB_033"/>
      <sheetName val="Raw_Data2"/>
      <sheetName val="Day_work2"/>
      <sheetName val="33628-Rev__A2"/>
      <sheetName val="Eq__Mobilization2"/>
      <sheetName val="Materials_Cost2"/>
      <sheetName val="2_대외공문2"/>
      <sheetName val="Material_5"/>
      <sheetName val="Labour_&amp;_Plant5"/>
      <sheetName val="01_11_20045"/>
      <sheetName val="beam-reinft-IIInd_floor5"/>
      <sheetName val="SPT_vs_PHI5"/>
      <sheetName val="Rate_Analysis4"/>
      <sheetName val="pile_Fabrication4"/>
      <sheetName val="Materials_4"/>
      <sheetName val="P-Ins_&amp;_Bonds4"/>
      <sheetName val="LIFE_&amp;_REP_PROVN4"/>
      <sheetName val="O&amp;M_CREW4"/>
      <sheetName val="Risk_Te__Co_4"/>
      <sheetName val="Informa_4"/>
      <sheetName val="Z-_GENERAL_PRICE_SUMMARY4"/>
      <sheetName val="WITHOUT_C&amp;I_PROFIT_(3)4"/>
      <sheetName val="Final_Basic_rate4"/>
      <sheetName val="Hume_Pipe4"/>
      <sheetName val="Labour_rates4"/>
      <sheetName val="SC_Cost_FEB_034"/>
      <sheetName val="Raw_Data3"/>
      <sheetName val="Day_work3"/>
      <sheetName val="33628-Rev__A3"/>
      <sheetName val="Eq__Mobilization3"/>
      <sheetName val="Materials_Cost3"/>
      <sheetName val="2_대외공문3"/>
      <sheetName val="Material_6"/>
      <sheetName val="Labour_&amp;_Plant6"/>
      <sheetName val="01_11_20046"/>
      <sheetName val="beam-reinft-IIInd_floor6"/>
      <sheetName val="SPT_vs_PHI6"/>
      <sheetName val="Rate_Analysis5"/>
      <sheetName val="pile_Fabrication5"/>
      <sheetName val="Materials_5"/>
      <sheetName val="P-Ins_&amp;_Bonds5"/>
      <sheetName val="LIFE_&amp;_REP_PROVN5"/>
      <sheetName val="O&amp;M_CREW5"/>
      <sheetName val="Risk_Te__Co_5"/>
      <sheetName val="Informa_5"/>
      <sheetName val="Z-_GENERAL_PRICE_SUMMARY5"/>
      <sheetName val="WITHOUT_C&amp;I_PROFIT_(3)5"/>
      <sheetName val="Final_Basic_rate5"/>
      <sheetName val="Hume_Pipe5"/>
      <sheetName val="Labour_rates5"/>
      <sheetName val="SC_Cost_FEB_035"/>
      <sheetName val="Raw_Data4"/>
      <sheetName val="Day_work4"/>
      <sheetName val="33628-Rev__A4"/>
      <sheetName val="Eq__Mobilization4"/>
      <sheetName val="Materials_Cost4"/>
      <sheetName val="2_대외공문4"/>
      <sheetName val="Material_11"/>
      <sheetName val="Labour_&amp;_Plant11"/>
      <sheetName val="01_11_200411"/>
      <sheetName val="beam-reinft-IIInd_floor11"/>
      <sheetName val="SPT_vs_PHI11"/>
      <sheetName val="Rate_Analysis10"/>
      <sheetName val="pile_Fabrication10"/>
      <sheetName val="Materials_10"/>
      <sheetName val="P-Ins_&amp;_Bonds10"/>
      <sheetName val="LIFE_&amp;_REP_PROVN10"/>
      <sheetName val="O&amp;M_CREW10"/>
      <sheetName val="Risk_Te__Co_10"/>
      <sheetName val="Informa_10"/>
      <sheetName val="Z-_GENERAL_PRICE_SUMMARY10"/>
      <sheetName val="WITHOUT_C&amp;I_PROFIT_(3)10"/>
      <sheetName val="Final_Basic_rate10"/>
      <sheetName val="Hume_Pipe10"/>
      <sheetName val="Labour_rates10"/>
      <sheetName val="SC_Cost_FEB_0310"/>
      <sheetName val="Raw_Data9"/>
      <sheetName val="Day_work9"/>
      <sheetName val="33628-Rev__A9"/>
      <sheetName val="Eq__Mobilization9"/>
      <sheetName val="Materials_Cost9"/>
      <sheetName val="2_대외공문9"/>
      <sheetName val="Material_7"/>
      <sheetName val="Labour_&amp;_Plant7"/>
      <sheetName val="01_11_20047"/>
      <sheetName val="beam-reinft-IIInd_floor7"/>
      <sheetName val="SPT_vs_PHI7"/>
      <sheetName val="Rate_Analysis6"/>
      <sheetName val="pile_Fabrication6"/>
      <sheetName val="Materials_6"/>
      <sheetName val="P-Ins_&amp;_Bonds6"/>
      <sheetName val="LIFE_&amp;_REP_PROVN6"/>
      <sheetName val="O&amp;M_CREW6"/>
      <sheetName val="Risk_Te__Co_6"/>
      <sheetName val="Informa_6"/>
      <sheetName val="Z-_GENERAL_PRICE_SUMMARY6"/>
      <sheetName val="WITHOUT_C&amp;I_PROFIT_(3)6"/>
      <sheetName val="Final_Basic_rate6"/>
      <sheetName val="Hume_Pipe6"/>
      <sheetName val="Labour_rates6"/>
      <sheetName val="SC_Cost_FEB_036"/>
      <sheetName val="Raw_Data5"/>
      <sheetName val="Day_work5"/>
      <sheetName val="33628-Rev__A5"/>
      <sheetName val="Eq__Mobilization5"/>
      <sheetName val="Materials_Cost5"/>
      <sheetName val="2_대외공문5"/>
      <sheetName val="Material_9"/>
      <sheetName val="Labour_&amp;_Plant9"/>
      <sheetName val="01_11_20049"/>
      <sheetName val="beam-reinft-IIInd_floor9"/>
      <sheetName val="SPT_vs_PHI9"/>
      <sheetName val="Rate_Analysis8"/>
      <sheetName val="pile_Fabrication8"/>
      <sheetName val="Materials_8"/>
      <sheetName val="P-Ins_&amp;_Bonds8"/>
      <sheetName val="LIFE_&amp;_REP_PROVN8"/>
      <sheetName val="O&amp;M_CREW8"/>
      <sheetName val="Risk_Te__Co_8"/>
      <sheetName val="Informa_8"/>
      <sheetName val="Z-_GENERAL_PRICE_SUMMARY8"/>
      <sheetName val="WITHOUT_C&amp;I_PROFIT_(3)8"/>
      <sheetName val="Final_Basic_rate8"/>
      <sheetName val="Hume_Pipe8"/>
      <sheetName val="Labour_rates8"/>
      <sheetName val="SC_Cost_FEB_038"/>
      <sheetName val="Raw_Data7"/>
      <sheetName val="Day_work7"/>
      <sheetName val="33628-Rev__A7"/>
      <sheetName val="Eq__Mobilization7"/>
      <sheetName val="Materials_Cost7"/>
      <sheetName val="2_대외공문7"/>
      <sheetName val="Material_8"/>
      <sheetName val="Labour_&amp;_Plant8"/>
      <sheetName val="01_11_20048"/>
      <sheetName val="beam-reinft-IIInd_floor8"/>
      <sheetName val="SPT_vs_PHI8"/>
      <sheetName val="Rate_Analysis7"/>
      <sheetName val="pile_Fabrication7"/>
      <sheetName val="Materials_7"/>
      <sheetName val="P-Ins_&amp;_Bonds7"/>
      <sheetName val="LIFE_&amp;_REP_PROVN7"/>
      <sheetName val="O&amp;M_CREW7"/>
      <sheetName val="Risk_Te__Co_7"/>
      <sheetName val="Informa_7"/>
      <sheetName val="Z-_GENERAL_PRICE_SUMMARY7"/>
      <sheetName val="WITHOUT_C&amp;I_PROFIT_(3)7"/>
      <sheetName val="Final_Basic_rate7"/>
      <sheetName val="Hume_Pipe7"/>
      <sheetName val="Labour_rates7"/>
      <sheetName val="SC_Cost_FEB_037"/>
      <sheetName val="Raw_Data6"/>
      <sheetName val="Day_work6"/>
      <sheetName val="33628-Rev__A6"/>
      <sheetName val="Eq__Mobilization6"/>
      <sheetName val="Materials_Cost6"/>
      <sheetName val="2_대외공문6"/>
      <sheetName val="Material_10"/>
      <sheetName val="Labour_&amp;_Plant10"/>
      <sheetName val="01_11_200410"/>
      <sheetName val="beam-reinft-IIInd_floor10"/>
      <sheetName val="SPT_vs_PHI10"/>
      <sheetName val="Rate_Analysis9"/>
      <sheetName val="pile_Fabrication9"/>
      <sheetName val="Materials_9"/>
      <sheetName val="P-Ins_&amp;_Bonds9"/>
      <sheetName val="LIFE_&amp;_REP_PROVN9"/>
      <sheetName val="O&amp;M_CREW9"/>
      <sheetName val="Risk_Te__Co_9"/>
      <sheetName val="Informa_9"/>
      <sheetName val="Z-_GENERAL_PRICE_SUMMARY9"/>
      <sheetName val="WITHOUT_C&amp;I_PROFIT_(3)9"/>
      <sheetName val="Final_Basic_rate9"/>
      <sheetName val="Hume_Pipe9"/>
      <sheetName val="Labour_rates9"/>
      <sheetName val="SC_Cost_FEB_039"/>
      <sheetName val="Raw_Data8"/>
      <sheetName val="Day_work8"/>
      <sheetName val="33628-Rev__A8"/>
      <sheetName val="Eq__Mobilization8"/>
      <sheetName val="Materials_Cost8"/>
      <sheetName val="2_대외공문8"/>
      <sheetName val="Material_12"/>
      <sheetName val="Labour_&amp;_Plant12"/>
      <sheetName val="01_11_200412"/>
      <sheetName val="beam-reinft-IIInd_floor12"/>
      <sheetName val="SPT_vs_PHI12"/>
      <sheetName val="Rate_Analysis11"/>
      <sheetName val="pile_Fabrication11"/>
      <sheetName val="Materials_11"/>
      <sheetName val="P-Ins_&amp;_Bonds11"/>
      <sheetName val="LIFE_&amp;_REP_PROVN11"/>
      <sheetName val="O&amp;M_CREW11"/>
      <sheetName val="Risk_Te__Co_11"/>
      <sheetName val="Informa_11"/>
      <sheetName val="Z-_GENERAL_PRICE_SUMMARY11"/>
      <sheetName val="WITHOUT_C&amp;I_PROFIT_(3)11"/>
      <sheetName val="Final_Basic_rate11"/>
      <sheetName val="Hume_Pipe11"/>
      <sheetName val="Labour_rates11"/>
      <sheetName val="SC_Cost_FEB_0311"/>
      <sheetName val="Raw_Data10"/>
      <sheetName val="Day_work10"/>
      <sheetName val="33628-Rev__A10"/>
      <sheetName val="Eq__Mobilization10"/>
      <sheetName val="Materials_Cost10"/>
      <sheetName val="2_대외공문10"/>
      <sheetName val="Material_13"/>
      <sheetName val="Labour_&amp;_Plant13"/>
      <sheetName val="01_11_200413"/>
      <sheetName val="beam-reinft-IIInd_floor13"/>
      <sheetName val="SPT_vs_PHI13"/>
      <sheetName val="Rate_Analysis12"/>
      <sheetName val="pile_Fabrication12"/>
      <sheetName val="Materials_12"/>
      <sheetName val="P-Ins_&amp;_Bonds12"/>
      <sheetName val="LIFE_&amp;_REP_PROVN12"/>
      <sheetName val="O&amp;M_CREW12"/>
      <sheetName val="Risk_Te__Co_12"/>
      <sheetName val="Informa_12"/>
      <sheetName val="Z-_GENERAL_PRICE_SUMMARY12"/>
      <sheetName val="WITHOUT_C&amp;I_PROFIT_(3)12"/>
      <sheetName val="Final_Basic_rate12"/>
      <sheetName val="Hume_Pipe12"/>
      <sheetName val="Labour_rates12"/>
      <sheetName val="SC_Cost_FEB_0312"/>
      <sheetName val="Raw_Data11"/>
      <sheetName val="Day_work11"/>
      <sheetName val="33628-Rev__A11"/>
      <sheetName val="Eq__Mobilization11"/>
      <sheetName val="Materials_Cost11"/>
      <sheetName val="2_대외공문11"/>
      <sheetName val="Material_14"/>
      <sheetName val="Labour_&amp;_Plant14"/>
      <sheetName val="01_11_200414"/>
      <sheetName val="beam-reinft-IIInd_floor14"/>
      <sheetName val="SPT_vs_PHI14"/>
      <sheetName val="Rate_Analysis13"/>
      <sheetName val="pile_Fabrication13"/>
      <sheetName val="Materials_13"/>
      <sheetName val="P-Ins_&amp;_Bonds13"/>
      <sheetName val="LIFE_&amp;_REP_PROVN13"/>
      <sheetName val="O&amp;M_CREW13"/>
      <sheetName val="Risk_Te__Co_13"/>
      <sheetName val="Informa_13"/>
      <sheetName val="Z-_GENERAL_PRICE_SUMMARY13"/>
      <sheetName val="WITHOUT_C&amp;I_PROFIT_(3)13"/>
      <sheetName val="Final_Basic_rate13"/>
      <sheetName val="Hume_Pipe13"/>
      <sheetName val="Labour_rates13"/>
      <sheetName val="SC_Cost_FEB_0313"/>
      <sheetName val="Raw_Data12"/>
      <sheetName val="Day_work12"/>
      <sheetName val="33628-Rev__A12"/>
      <sheetName val="Eq__Mobilization12"/>
      <sheetName val="Materials_Cost12"/>
      <sheetName val="2_대외공문12"/>
      <sheetName val="Material_16"/>
      <sheetName val="Labour_&amp;_Plant16"/>
      <sheetName val="01_11_200416"/>
      <sheetName val="beam-reinft-IIInd_floor16"/>
      <sheetName val="SPT_vs_PHI16"/>
      <sheetName val="Rate_Analysis15"/>
      <sheetName val="pile_Fabrication15"/>
      <sheetName val="Materials_15"/>
      <sheetName val="P-Ins_&amp;_Bonds15"/>
      <sheetName val="LIFE_&amp;_REP_PROVN15"/>
      <sheetName val="O&amp;M_CREW15"/>
      <sheetName val="Risk_Te__Co_15"/>
      <sheetName val="Informa_15"/>
      <sheetName val="Z-_GENERAL_PRICE_SUMMARY15"/>
      <sheetName val="WITHOUT_C&amp;I_PROFIT_(3)15"/>
      <sheetName val="Final_Basic_rate15"/>
      <sheetName val="Hume_Pipe15"/>
      <sheetName val="Labour_rates15"/>
      <sheetName val="SC_Cost_FEB_0315"/>
      <sheetName val="Raw_Data14"/>
      <sheetName val="Day_work14"/>
      <sheetName val="33628-Rev__A14"/>
      <sheetName val="Eq__Mobilization14"/>
      <sheetName val="Materials_Cost14"/>
      <sheetName val="2_대외공문14"/>
      <sheetName val="Material_17"/>
      <sheetName val="Labour_&amp;_Plant17"/>
      <sheetName val="01_11_200417"/>
      <sheetName val="beam-reinft-IIInd_floor17"/>
      <sheetName val="SPT_vs_PHI17"/>
      <sheetName val="Rate_Analysis16"/>
      <sheetName val="pile_Fabrication16"/>
      <sheetName val="Materials_16"/>
      <sheetName val="P-Ins_&amp;_Bonds16"/>
      <sheetName val="LIFE_&amp;_REP_PROVN16"/>
      <sheetName val="O&amp;M_CREW16"/>
      <sheetName val="Risk_Te__Co_16"/>
      <sheetName val="Informa_16"/>
      <sheetName val="Z-_GENERAL_PRICE_SUMMARY16"/>
      <sheetName val="WITHOUT_C&amp;I_PROFIT_(3)16"/>
      <sheetName val="Final_Basic_rate16"/>
      <sheetName val="Hume_Pipe16"/>
      <sheetName val="Labour_rates16"/>
      <sheetName val="SC_Cost_FEB_0316"/>
      <sheetName val="Raw_Data15"/>
      <sheetName val="Day_work15"/>
      <sheetName val="33628-Rev__A15"/>
      <sheetName val="Eq__Mobilization15"/>
      <sheetName val="Materials_Cost15"/>
      <sheetName val="2_대외공문15"/>
      <sheetName val="Material_18"/>
      <sheetName val="Labour_&amp;_Plant18"/>
      <sheetName val="01_11_200418"/>
      <sheetName val="beam-reinft-IIInd_floor18"/>
      <sheetName val="SPT_vs_PHI18"/>
      <sheetName val="Rate_Analysis17"/>
      <sheetName val="pile_Fabrication17"/>
      <sheetName val="Materials_17"/>
      <sheetName val="P-Ins_&amp;_Bonds17"/>
      <sheetName val="LIFE_&amp;_REP_PROVN17"/>
      <sheetName val="O&amp;M_CREW17"/>
      <sheetName val="Risk_Te__Co_17"/>
      <sheetName val="Informa_17"/>
      <sheetName val="Z-_GENERAL_PRICE_SUMMARY17"/>
      <sheetName val="WITHOUT_C&amp;I_PROFIT_(3)17"/>
      <sheetName val="Final_Basic_rate17"/>
      <sheetName val="Hume_Pipe17"/>
      <sheetName val="Labour_rates17"/>
      <sheetName val="SC_Cost_FEB_0317"/>
      <sheetName val="Raw_Data16"/>
      <sheetName val="Day_work16"/>
      <sheetName val="33628-Rev__A16"/>
      <sheetName val="Eq__Mobilization16"/>
      <sheetName val="Materials_Cost16"/>
      <sheetName val="2_대외공문16"/>
      <sheetName val="Material_19"/>
      <sheetName val="Labour_&amp;_Plant19"/>
      <sheetName val="01_11_200419"/>
      <sheetName val="beam-reinft-IIInd_floor19"/>
      <sheetName val="SPT_vs_PHI19"/>
      <sheetName val="Rate_Analysis18"/>
      <sheetName val="pile_Fabrication18"/>
      <sheetName val="Materials_18"/>
      <sheetName val="P-Ins_&amp;_Bonds18"/>
      <sheetName val="LIFE_&amp;_REP_PROVN18"/>
      <sheetName val="O&amp;M_CREW18"/>
      <sheetName val="Risk_Te__Co_18"/>
      <sheetName val="Informa_18"/>
      <sheetName val="Z-_GENERAL_PRICE_SUMMARY18"/>
      <sheetName val="WITHOUT_C&amp;I_PROFIT_(3)18"/>
      <sheetName val="Final_Basic_rate18"/>
      <sheetName val="Hume_Pipe18"/>
      <sheetName val="Labour_rates18"/>
      <sheetName val="SC_Cost_FEB_0318"/>
      <sheetName val="Raw_Data17"/>
      <sheetName val="Day_work17"/>
      <sheetName val="33628-Rev__A17"/>
      <sheetName val="Eq__Mobilization17"/>
      <sheetName val="Materials_Cost17"/>
      <sheetName val="2_대외공문17"/>
      <sheetName val="Material_20"/>
      <sheetName val="Labour_&amp;_Plant20"/>
      <sheetName val="01_11_200420"/>
      <sheetName val="beam-reinft-IIInd_floor20"/>
      <sheetName val="SPT_vs_PHI20"/>
      <sheetName val="Rate_Analysis19"/>
      <sheetName val="pile_Fabrication19"/>
      <sheetName val="Materials_19"/>
      <sheetName val="P-Ins_&amp;_Bonds19"/>
      <sheetName val="LIFE_&amp;_REP_PROVN19"/>
      <sheetName val="O&amp;M_CREW19"/>
      <sheetName val="Risk_Te__Co_19"/>
      <sheetName val="Informa_19"/>
      <sheetName val="Z-_GENERAL_PRICE_SUMMARY19"/>
      <sheetName val="WITHOUT_C&amp;I_PROFIT_(3)19"/>
      <sheetName val="Final_Basic_rate19"/>
      <sheetName val="Hume_Pipe19"/>
      <sheetName val="Labour_rates19"/>
      <sheetName val="SC_Cost_FEB_0319"/>
      <sheetName val="Raw_Data18"/>
      <sheetName val="Day_work18"/>
      <sheetName val="33628-Rev__A18"/>
      <sheetName val="Eq__Mobilization18"/>
      <sheetName val="Materials_Cost18"/>
      <sheetName val="2_대외공문18"/>
      <sheetName val="Material_25"/>
      <sheetName val="Labour_&amp;_Plant25"/>
      <sheetName val="01_11_200425"/>
      <sheetName val="beam-reinft-IIInd_floor25"/>
      <sheetName val="SPT_vs_PHI25"/>
      <sheetName val="Rate_Analysis24"/>
      <sheetName val="pile_Fabrication24"/>
      <sheetName val="Materials_24"/>
      <sheetName val="P-Ins_&amp;_Bonds24"/>
      <sheetName val="LIFE_&amp;_REP_PROVN24"/>
      <sheetName val="O&amp;M_CREW24"/>
      <sheetName val="Risk_Te__Co_24"/>
      <sheetName val="Informa_24"/>
      <sheetName val="Z-_GENERAL_PRICE_SUMMARY24"/>
      <sheetName val="WITHOUT_C&amp;I_PROFIT_(3)24"/>
      <sheetName val="Final_Basic_rate24"/>
      <sheetName val="Hume_Pipe24"/>
      <sheetName val="Labour_rates24"/>
      <sheetName val="SC_Cost_FEB_0324"/>
      <sheetName val="Raw_Data23"/>
      <sheetName val="Day_work23"/>
      <sheetName val="33628-Rev__A23"/>
      <sheetName val="Eq__Mobilization23"/>
      <sheetName val="Materials_Cost23"/>
      <sheetName val="2_대외공문23"/>
      <sheetName val="Trade_Summary4"/>
      <sheetName val="BUR_4"/>
      <sheetName val="15_Rd4"/>
      <sheetName val="Materials_Cost(PCC)4"/>
      <sheetName val="beam-reinft-machine_rm4"/>
      <sheetName val="foot-slab_reinft4"/>
      <sheetName val="Material_24"/>
      <sheetName val="Labour_&amp;_Plant24"/>
      <sheetName val="01_11_200424"/>
      <sheetName val="beam-reinft-IIInd_floor24"/>
      <sheetName val="SPT_vs_PHI24"/>
      <sheetName val="Rate_Analysis23"/>
      <sheetName val="pile_Fabrication23"/>
      <sheetName val="Materials_23"/>
      <sheetName val="P-Ins_&amp;_Bonds23"/>
      <sheetName val="LIFE_&amp;_REP_PROVN23"/>
      <sheetName val="O&amp;M_CREW23"/>
      <sheetName val="Risk_Te__Co_23"/>
      <sheetName val="Informa_23"/>
      <sheetName val="Z-_GENERAL_PRICE_SUMMARY23"/>
      <sheetName val="WITHOUT_C&amp;I_PROFIT_(3)23"/>
      <sheetName val="Final_Basic_rate23"/>
      <sheetName val="Hume_Pipe23"/>
      <sheetName val="Labour_rates23"/>
      <sheetName val="SC_Cost_FEB_0323"/>
      <sheetName val="Raw_Data22"/>
      <sheetName val="Day_work22"/>
      <sheetName val="33628-Rev__A22"/>
      <sheetName val="Eq__Mobilization22"/>
      <sheetName val="Materials_Cost22"/>
      <sheetName val="2_대외공문22"/>
      <sheetName val="Trade_Summary3"/>
      <sheetName val="BUR_3"/>
      <sheetName val="15_Rd3"/>
      <sheetName val="Materials_Cost(PCC)3"/>
      <sheetName val="beam-reinft-machine_rm3"/>
      <sheetName val="foot-slab_reinft3"/>
      <sheetName val="Material_21"/>
      <sheetName val="Labour_&amp;_Plant21"/>
      <sheetName val="01_11_200421"/>
      <sheetName val="beam-reinft-IIInd_floor21"/>
      <sheetName val="SPT_vs_PHI21"/>
      <sheetName val="Rate_Analysis20"/>
      <sheetName val="pile_Fabrication20"/>
      <sheetName val="Materials_20"/>
      <sheetName val="P-Ins_&amp;_Bonds20"/>
      <sheetName val="LIFE_&amp;_REP_PROVN20"/>
      <sheetName val="O&amp;M_CREW20"/>
      <sheetName val="Risk_Te__Co_20"/>
      <sheetName val="Informa_20"/>
      <sheetName val="Z-_GENERAL_PRICE_SUMMARY20"/>
      <sheetName val="WITHOUT_C&amp;I_PROFIT_(3)20"/>
      <sheetName val="Final_Basic_rate20"/>
      <sheetName val="Hume_Pipe20"/>
      <sheetName val="Labour_rates20"/>
      <sheetName val="SC_Cost_FEB_0320"/>
      <sheetName val="Raw_Data19"/>
      <sheetName val="Day_work19"/>
      <sheetName val="33628-Rev__A19"/>
      <sheetName val="Eq__Mobilization19"/>
      <sheetName val="Materials_Cost19"/>
      <sheetName val="2_대외공문19"/>
      <sheetName val="Trade_Summary"/>
      <sheetName val="BUR_"/>
      <sheetName val="15_Rd"/>
      <sheetName val="Materials_Cost(PCC)"/>
      <sheetName val="beam-reinft-machine_rm"/>
      <sheetName val="foot-slab_reinft"/>
      <sheetName val="Material_22"/>
      <sheetName val="Labour_&amp;_Plant22"/>
      <sheetName val="01_11_200422"/>
      <sheetName val="beam-reinft-IIInd_floor22"/>
      <sheetName val="SPT_vs_PHI22"/>
      <sheetName val="Rate_Analysis21"/>
      <sheetName val="pile_Fabrication21"/>
      <sheetName val="Materials_21"/>
      <sheetName val="P-Ins_&amp;_Bonds21"/>
      <sheetName val="LIFE_&amp;_REP_PROVN21"/>
      <sheetName val="O&amp;M_CREW21"/>
      <sheetName val="Risk_Te__Co_21"/>
      <sheetName val="Informa_21"/>
      <sheetName val="Z-_GENERAL_PRICE_SUMMARY21"/>
      <sheetName val="WITHOUT_C&amp;I_PROFIT_(3)21"/>
      <sheetName val="Final_Basic_rate21"/>
      <sheetName val="Hume_Pipe21"/>
      <sheetName val="Labour_rates21"/>
      <sheetName val="SC_Cost_FEB_0321"/>
      <sheetName val="Raw_Data20"/>
      <sheetName val="Day_work20"/>
      <sheetName val="33628-Rev__A20"/>
      <sheetName val="Eq__Mobilization20"/>
      <sheetName val="Materials_Cost20"/>
      <sheetName val="2_대외공문20"/>
      <sheetName val="Trade_Summary1"/>
      <sheetName val="BUR_1"/>
      <sheetName val="15_Rd1"/>
      <sheetName val="Materials_Cost(PCC)1"/>
      <sheetName val="beam-reinft-machine_rm1"/>
      <sheetName val="foot-slab_reinft1"/>
      <sheetName val="Material_23"/>
      <sheetName val="Labour_&amp;_Plant23"/>
      <sheetName val="01_11_200423"/>
      <sheetName val="beam-reinft-IIInd_floor23"/>
      <sheetName val="SPT_vs_PHI23"/>
      <sheetName val="Rate_Analysis22"/>
      <sheetName val="pile_Fabrication22"/>
      <sheetName val="Materials_22"/>
      <sheetName val="P-Ins_&amp;_Bonds22"/>
      <sheetName val="LIFE_&amp;_REP_PROVN22"/>
      <sheetName val="O&amp;M_CREW22"/>
      <sheetName val="Risk_Te__Co_22"/>
      <sheetName val="Informa_22"/>
      <sheetName val="Z-_GENERAL_PRICE_SUMMARY22"/>
      <sheetName val="WITHOUT_C&amp;I_PROFIT_(3)22"/>
      <sheetName val="Final_Basic_rate22"/>
      <sheetName val="Hume_Pipe22"/>
      <sheetName val="Labour_rates22"/>
      <sheetName val="SC_Cost_FEB_0322"/>
      <sheetName val="Raw_Data21"/>
      <sheetName val="Day_work21"/>
      <sheetName val="33628-Rev__A21"/>
      <sheetName val="Eq__Mobilization21"/>
      <sheetName val="Materials_Cost21"/>
      <sheetName val="2_대외공문21"/>
      <sheetName val="Trade_Summary2"/>
      <sheetName val="BUR_2"/>
      <sheetName val="15_Rd2"/>
      <sheetName val="Materials_Cost(PCC)2"/>
      <sheetName val="beam-reinft-machine_rm2"/>
      <sheetName val="foot-slab_reinft2"/>
      <sheetName val="Material_26"/>
      <sheetName val="Labour_&amp;_Plant26"/>
      <sheetName val="01_11_200426"/>
      <sheetName val="beam-reinft-IIInd_floor26"/>
      <sheetName val="SPT_vs_PHI26"/>
      <sheetName val="Rate_Analysis25"/>
      <sheetName val="pile_Fabrication25"/>
      <sheetName val="Materials_25"/>
      <sheetName val="P-Ins_&amp;_Bonds25"/>
      <sheetName val="LIFE_&amp;_REP_PROVN25"/>
      <sheetName val="O&amp;M_CREW25"/>
      <sheetName val="Risk_Te__Co_25"/>
      <sheetName val="Informa_25"/>
      <sheetName val="Z-_GENERAL_PRICE_SUMMARY25"/>
      <sheetName val="WITHOUT_C&amp;I_PROFIT_(3)25"/>
      <sheetName val="Final_Basic_rate25"/>
      <sheetName val="Hume_Pipe25"/>
      <sheetName val="Labour_rates25"/>
      <sheetName val="SC_Cost_FEB_0325"/>
      <sheetName val="Raw_Data24"/>
      <sheetName val="Day_work24"/>
      <sheetName val="33628-Rev__A24"/>
      <sheetName val="Eq__Mobilization24"/>
      <sheetName val="Materials_Cost24"/>
      <sheetName val="2_대외공문24"/>
      <sheetName val="Trade_Summary5"/>
      <sheetName val="BUR_5"/>
      <sheetName val="15_Rd5"/>
      <sheetName val="Materials_Cost(PCC)5"/>
      <sheetName val="beam-reinft-machine_rm5"/>
      <sheetName val="foot-slab_reinft5"/>
      <sheetName val="Material_29"/>
      <sheetName val="Labour_&amp;_Plant29"/>
      <sheetName val="01_11_200429"/>
      <sheetName val="beam-reinft-IIInd_floor29"/>
      <sheetName val="SPT_vs_PHI29"/>
      <sheetName val="Rate_Analysis28"/>
      <sheetName val="pile_Fabrication28"/>
      <sheetName val="Materials_28"/>
      <sheetName val="P-Ins_&amp;_Bonds28"/>
      <sheetName val="LIFE_&amp;_REP_PROVN28"/>
      <sheetName val="O&amp;M_CREW28"/>
      <sheetName val="Risk_Te__Co_28"/>
      <sheetName val="Informa_28"/>
      <sheetName val="Z-_GENERAL_PRICE_SUMMARY28"/>
      <sheetName val="WITHOUT_C&amp;I_PROFIT_(3)28"/>
      <sheetName val="Final_Basic_rate28"/>
      <sheetName val="Hume_Pipe28"/>
      <sheetName val="Labour_rates28"/>
      <sheetName val="SC_Cost_FEB_0328"/>
      <sheetName val="Raw_Data27"/>
      <sheetName val="Day_work27"/>
      <sheetName val="33628-Rev__A27"/>
      <sheetName val="Eq__Mobilization27"/>
      <sheetName val="Materials_Cost27"/>
      <sheetName val="2_대외공문27"/>
      <sheetName val="Trade_Summary8"/>
      <sheetName val="BUR_8"/>
      <sheetName val="15_Rd8"/>
      <sheetName val="Materials_Cost(PCC)8"/>
      <sheetName val="beam-reinft-machine_rm8"/>
      <sheetName val="foot-slab_reinft8"/>
      <sheetName val="Material_27"/>
      <sheetName val="Labour_&amp;_Plant27"/>
      <sheetName val="01_11_200427"/>
      <sheetName val="beam-reinft-IIInd_floor27"/>
      <sheetName val="SPT_vs_PHI27"/>
      <sheetName val="Rate_Analysis26"/>
      <sheetName val="pile_Fabrication26"/>
      <sheetName val="Materials_26"/>
      <sheetName val="P-Ins_&amp;_Bonds26"/>
      <sheetName val="LIFE_&amp;_REP_PROVN26"/>
      <sheetName val="O&amp;M_CREW26"/>
      <sheetName val="Risk_Te__Co_26"/>
      <sheetName val="Informa_26"/>
      <sheetName val="Z-_GENERAL_PRICE_SUMMARY26"/>
      <sheetName val="WITHOUT_C&amp;I_PROFIT_(3)26"/>
      <sheetName val="Final_Basic_rate26"/>
      <sheetName val="Hume_Pipe26"/>
      <sheetName val="Labour_rates26"/>
      <sheetName val="SC_Cost_FEB_0326"/>
      <sheetName val="Raw_Data25"/>
      <sheetName val="Day_work25"/>
      <sheetName val="33628-Rev__A25"/>
      <sheetName val="Eq__Mobilization25"/>
      <sheetName val="Materials_Cost25"/>
      <sheetName val="2_대외공문25"/>
      <sheetName val="Trade_Summary6"/>
      <sheetName val="BUR_6"/>
      <sheetName val="15_Rd6"/>
      <sheetName val="Materials_Cost(PCC)6"/>
      <sheetName val="beam-reinft-machine_rm6"/>
      <sheetName val="foot-slab_reinft6"/>
      <sheetName val="Material_28"/>
      <sheetName val="Labour_&amp;_Plant28"/>
      <sheetName val="01_11_200428"/>
      <sheetName val="beam-reinft-IIInd_floor28"/>
      <sheetName val="SPT_vs_PHI28"/>
      <sheetName val="Rate_Analysis27"/>
      <sheetName val="pile_Fabrication27"/>
      <sheetName val="Materials_27"/>
      <sheetName val="P-Ins_&amp;_Bonds27"/>
      <sheetName val="LIFE_&amp;_REP_PROVN27"/>
      <sheetName val="O&amp;M_CREW27"/>
      <sheetName val="Risk_Te__Co_27"/>
      <sheetName val="Informa_27"/>
      <sheetName val="Z-_GENERAL_PRICE_SUMMARY27"/>
      <sheetName val="WITHOUT_C&amp;I_PROFIT_(3)27"/>
      <sheetName val="Final_Basic_rate27"/>
      <sheetName val="Hume_Pipe27"/>
      <sheetName val="Labour_rates27"/>
      <sheetName val="SC_Cost_FEB_0327"/>
      <sheetName val="Raw_Data26"/>
      <sheetName val="Day_work26"/>
      <sheetName val="33628-Rev__A26"/>
      <sheetName val="Eq__Mobilization26"/>
      <sheetName val="Materials_Cost26"/>
      <sheetName val="2_대외공문26"/>
      <sheetName val="Trade_Summary7"/>
      <sheetName val="BUR_7"/>
      <sheetName val="15_Rd7"/>
      <sheetName val="Materials_Cost(PCC)7"/>
      <sheetName val="beam-reinft-machine_rm7"/>
      <sheetName val="foot-slab_reinft7"/>
      <sheetName val="Load Details(B2)"/>
      <sheetName val="Quantities"/>
      <sheetName val="pvc"/>
      <sheetName val="DSLP"/>
      <sheetName val="COMPLEXALL"/>
      <sheetName val="PACK (B)"/>
      <sheetName val="Load_Details(B2)"/>
      <sheetName val="PACK_(B)"/>
      <sheetName val="Report"/>
      <sheetName val="DLC"/>
      <sheetName val="P Staff fac"/>
      <sheetName val="Load_Details(B2)1"/>
      <sheetName val="PACK_(B)1"/>
      <sheetName val="Load_Details(B2)2"/>
      <sheetName val="PACK_(B)2"/>
      <sheetName val="P_Staff_fac"/>
      <sheetName val="Material_30"/>
      <sheetName val="Labour_&amp;_Plant30"/>
      <sheetName val="01_11_200430"/>
      <sheetName val="beam-reinft-IIInd_floor30"/>
      <sheetName val="SPT_vs_PHI30"/>
      <sheetName val="Rate_Analysis29"/>
      <sheetName val="pile_Fabrication29"/>
      <sheetName val="Materials_29"/>
      <sheetName val="P-Ins_&amp;_Bonds29"/>
      <sheetName val="LIFE_&amp;_REP_PROVN29"/>
      <sheetName val="O&amp;M_CREW29"/>
      <sheetName val="Risk_Te__Co_29"/>
      <sheetName val="Informa_29"/>
      <sheetName val="Z-_GENERAL_PRICE_SUMMARY29"/>
      <sheetName val="WITHOUT_C&amp;I_PROFIT_(3)29"/>
      <sheetName val="Final_Basic_rate29"/>
      <sheetName val="Hume_Pipe29"/>
      <sheetName val="Labour_rates29"/>
      <sheetName val="SC_Cost_FEB_0329"/>
      <sheetName val="Raw_Data28"/>
      <sheetName val="Day_work28"/>
      <sheetName val="33628-Rev__A28"/>
      <sheetName val="Eq__Mobilization28"/>
      <sheetName val="Materials_Cost28"/>
      <sheetName val="2_대외공문28"/>
      <sheetName val="Trade_Summary9"/>
      <sheetName val="BUR_9"/>
      <sheetName val="15_Rd9"/>
      <sheetName val="Materials_Cost(PCC)9"/>
      <sheetName val="beam-reinft-machine_rm9"/>
      <sheetName val="foot-slab_reinft9"/>
      <sheetName val="Load_Details(B2)3"/>
      <sheetName val="PACK_(B)3"/>
      <sheetName val="P_Staff_fac1"/>
      <sheetName val="Material_31"/>
      <sheetName val="Labour_&amp;_Plant31"/>
      <sheetName val="01_11_200431"/>
      <sheetName val="beam-reinft-IIInd_floor31"/>
      <sheetName val="SPT_vs_PHI31"/>
      <sheetName val="Rate_Analysis30"/>
      <sheetName val="pile_Fabrication30"/>
      <sheetName val="Materials_30"/>
      <sheetName val="P-Ins_&amp;_Bonds30"/>
      <sheetName val="LIFE_&amp;_REP_PROVN30"/>
      <sheetName val="O&amp;M_CREW30"/>
      <sheetName val="Risk_Te__Co_30"/>
      <sheetName val="Informa_30"/>
      <sheetName val="Z-_GENERAL_PRICE_SUMMARY30"/>
      <sheetName val="WITHOUT_C&amp;I_PROFIT_(3)30"/>
      <sheetName val="Final_Basic_rate30"/>
      <sheetName val="Hume_Pipe30"/>
      <sheetName val="Labour_rates30"/>
      <sheetName val="SC_Cost_FEB_0330"/>
      <sheetName val="Raw_Data29"/>
      <sheetName val="Day_work29"/>
      <sheetName val="33628-Rev__A29"/>
      <sheetName val="Eq__Mobilization29"/>
      <sheetName val="Materials_Cost29"/>
      <sheetName val="2_대외공문29"/>
      <sheetName val="Trade_Summary10"/>
      <sheetName val="BUR_10"/>
      <sheetName val="15_Rd10"/>
      <sheetName val="Materials_Cost(PCC)10"/>
      <sheetName val="beam-reinft-machine_rm10"/>
      <sheetName val="foot-slab_reinft10"/>
      <sheetName val="Load_Details(B2)4"/>
      <sheetName val="PACK_(B)4"/>
      <sheetName val="P_Staff_fac2"/>
      <sheetName val="Material_32"/>
      <sheetName val="Labour_&amp;_Plant32"/>
      <sheetName val="01_11_200432"/>
      <sheetName val="beam-reinft-IIInd_floor32"/>
      <sheetName val="SPT_vs_PHI32"/>
      <sheetName val="Rate_Analysis31"/>
      <sheetName val="pile_Fabrication31"/>
      <sheetName val="Materials_31"/>
      <sheetName val="P-Ins_&amp;_Bonds31"/>
      <sheetName val="LIFE_&amp;_REP_PROVN31"/>
      <sheetName val="O&amp;M_CREW31"/>
      <sheetName val="Risk_Te__Co_31"/>
      <sheetName val="Informa_31"/>
      <sheetName val="Z-_GENERAL_PRICE_SUMMARY31"/>
      <sheetName val="WITHOUT_C&amp;I_PROFIT_(3)31"/>
      <sheetName val="Final_Basic_rate31"/>
      <sheetName val="Hume_Pipe31"/>
      <sheetName val="Labour_rates31"/>
      <sheetName val="SC_Cost_FEB_0331"/>
      <sheetName val="Raw_Data30"/>
      <sheetName val="Day_work30"/>
      <sheetName val="33628-Rev__A30"/>
      <sheetName val="Eq__Mobilization30"/>
      <sheetName val="Materials_Cost30"/>
      <sheetName val="2_대외공문30"/>
      <sheetName val="Trade_Summary11"/>
      <sheetName val="BUR_11"/>
      <sheetName val="15_Rd11"/>
      <sheetName val="Materials_Cost(PCC)11"/>
      <sheetName val="beam-reinft-machine_rm11"/>
      <sheetName val="foot-slab_reinft11"/>
      <sheetName val="Load_Details(B2)5"/>
      <sheetName val="PACK_(B)5"/>
      <sheetName val="P_Staff_fac3"/>
      <sheetName val="Material_33"/>
      <sheetName val="Labour_&amp;_Plant33"/>
      <sheetName val="01_11_200433"/>
      <sheetName val="beam-reinft-IIInd_floor33"/>
      <sheetName val="SPT_vs_PHI33"/>
      <sheetName val="Rate_Analysis32"/>
      <sheetName val="pile_Fabrication32"/>
      <sheetName val="Materials_32"/>
      <sheetName val="P-Ins_&amp;_Bonds32"/>
      <sheetName val="LIFE_&amp;_REP_PROVN32"/>
      <sheetName val="O&amp;M_CREW32"/>
      <sheetName val="Risk_Te__Co_32"/>
      <sheetName val="Informa_32"/>
      <sheetName val="Z-_GENERAL_PRICE_SUMMARY32"/>
      <sheetName val="WITHOUT_C&amp;I_PROFIT_(3)32"/>
      <sheetName val="Final_Basic_rate32"/>
      <sheetName val="Hume_Pipe32"/>
      <sheetName val="Labour_rates32"/>
      <sheetName val="SC_Cost_FEB_0332"/>
      <sheetName val="Raw_Data31"/>
      <sheetName val="Day_work31"/>
      <sheetName val="33628-Rev__A31"/>
      <sheetName val="Eq__Mobilization31"/>
      <sheetName val="Materials_Cost31"/>
      <sheetName val="2_대외공문31"/>
      <sheetName val="Trade_Summary12"/>
      <sheetName val="BUR_12"/>
      <sheetName val="15_Rd12"/>
      <sheetName val="Materials_Cost(PCC)12"/>
      <sheetName val="beam-reinft-machine_rm12"/>
      <sheetName val="foot-slab_reinft12"/>
      <sheetName val="Load_Details(B2)6"/>
      <sheetName val="PACK_(B)6"/>
      <sheetName val="P_Staff_fac4"/>
      <sheetName val="Material_34"/>
      <sheetName val="Labour_&amp;_Plant34"/>
      <sheetName val="01_11_200434"/>
      <sheetName val="beam-reinft-IIInd_floor34"/>
      <sheetName val="SPT_vs_PHI34"/>
      <sheetName val="Rate_Analysis33"/>
      <sheetName val="pile_Fabrication33"/>
      <sheetName val="Materials_33"/>
      <sheetName val="P-Ins_&amp;_Bonds33"/>
      <sheetName val="LIFE_&amp;_REP_PROVN33"/>
      <sheetName val="O&amp;M_CREW33"/>
      <sheetName val="Risk_Te__Co_33"/>
      <sheetName val="Informa_33"/>
      <sheetName val="Z-_GENERAL_PRICE_SUMMARY33"/>
      <sheetName val="WITHOUT_C&amp;I_PROFIT_(3)33"/>
      <sheetName val="Final_Basic_rate33"/>
      <sheetName val="Hume_Pipe33"/>
      <sheetName val="Labour_rates33"/>
      <sheetName val="SC_Cost_FEB_0333"/>
      <sheetName val="Raw_Data32"/>
      <sheetName val="Day_work32"/>
      <sheetName val="33628-Rev__A32"/>
      <sheetName val="Eq__Mobilization32"/>
      <sheetName val="Materials_Cost32"/>
      <sheetName val="2_대외공문32"/>
      <sheetName val="Trade_Summary13"/>
      <sheetName val="BUR_13"/>
      <sheetName val="15_Rd13"/>
      <sheetName val="Materials_Cost(PCC)13"/>
      <sheetName val="beam-reinft-machine_rm13"/>
      <sheetName val="foot-slab_reinft13"/>
      <sheetName val="Load_Details(B2)7"/>
      <sheetName val="PACK_(B)7"/>
      <sheetName val="P_Staff_fac5"/>
      <sheetName val="Material_35"/>
      <sheetName val="Labour_&amp;_Plant35"/>
      <sheetName val="01_11_200435"/>
      <sheetName val="beam-reinft-IIInd_floor35"/>
      <sheetName val="SPT_vs_PHI35"/>
      <sheetName val="Rate_Analysis34"/>
      <sheetName val="pile_Fabrication34"/>
      <sheetName val="Materials_34"/>
      <sheetName val="P-Ins_&amp;_Bonds34"/>
      <sheetName val="LIFE_&amp;_REP_PROVN34"/>
      <sheetName val="O&amp;M_CREW34"/>
      <sheetName val="Risk_Te__Co_34"/>
      <sheetName val="Informa_34"/>
      <sheetName val="Z-_GENERAL_PRICE_SUMMARY34"/>
      <sheetName val="WITHOUT_C&amp;I_PROFIT_(3)34"/>
      <sheetName val="Final_Basic_rate34"/>
      <sheetName val="Hume_Pipe34"/>
      <sheetName val="Labour_rates34"/>
      <sheetName val="SC_Cost_FEB_0334"/>
      <sheetName val="Raw_Data33"/>
      <sheetName val="Day_work33"/>
      <sheetName val="33628-Rev__A33"/>
      <sheetName val="Eq__Mobilization33"/>
      <sheetName val="Materials_Cost33"/>
      <sheetName val="2_대외공문33"/>
      <sheetName val="Trade_Summary14"/>
      <sheetName val="BUR_14"/>
      <sheetName val="15_Rd14"/>
      <sheetName val="Materials_Cost(PCC)14"/>
      <sheetName val="beam-reinft-machine_rm14"/>
      <sheetName val="foot-slab_reinft14"/>
      <sheetName val="Load_Details(B2)8"/>
      <sheetName val="PACK_(B)8"/>
      <sheetName val="P_Staff_fac6"/>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refreshError="1"/>
      <sheetData sheetId="872" refreshError="1"/>
      <sheetData sheetId="873" refreshError="1"/>
      <sheetData sheetId="874" refreshError="1"/>
      <sheetData sheetId="875" refreshError="1"/>
      <sheetData sheetId="876" refreshError="1"/>
      <sheetData sheetId="877"/>
      <sheetData sheetId="878"/>
      <sheetData sheetId="879" refreshError="1"/>
      <sheetData sheetId="880" refreshError="1"/>
      <sheetData sheetId="881" refreshError="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 val="Jindal-Control_Cable_Sch-_40015"/>
      <sheetName val="UNP-NCW_15"/>
      <sheetName val="Rate_Analysis15"/>
      <sheetName val="Cond_data13"/>
      <sheetName val="Form_613"/>
      <sheetName val="Data_Sheet13"/>
      <sheetName val="CABLE-_New13"/>
      <sheetName val="STAFFSCHED_13"/>
      <sheetName val="pack_(b)7"/>
      <sheetName val="220kV_Main_Bus_(56_5m)7"/>
      <sheetName val="220kV_Jack_Bus_(54_5m)7"/>
      <sheetName val="400kV_Jack_Bus_(55_5m)7"/>
      <sheetName val="Data_Sheet"/>
      <sheetName val="CABLE-_New"/>
      <sheetName val="STAFFSCHED_"/>
      <sheetName val="Jindal-Control_Cable_Sch-_400K3"/>
      <sheetName val="UNP-NCW_3"/>
      <sheetName val="Rate_Analysis3"/>
      <sheetName val="Cond_data1"/>
      <sheetName val="Form_61"/>
      <sheetName val="Data_Sheet1"/>
      <sheetName val="CABLE-_New1"/>
      <sheetName val="STAFFSCHED_1"/>
      <sheetName val="Jindal-Control_Cable_Sch-_400K4"/>
      <sheetName val="UNP-NCW_4"/>
      <sheetName val="Rate_Analysis4"/>
      <sheetName val="Cond_data2"/>
      <sheetName val="Form_62"/>
      <sheetName val="Data_Sheet2"/>
      <sheetName val="CABLE-_New2"/>
      <sheetName val="STAFFSCHED_2"/>
      <sheetName val="Jindal-Control_Cable_Sch-_400K5"/>
      <sheetName val="UNP-NCW_5"/>
      <sheetName val="Rate_Analysis5"/>
      <sheetName val="Cond_data3"/>
      <sheetName val="Form_63"/>
      <sheetName val="Data_Sheet3"/>
      <sheetName val="CABLE-_New3"/>
      <sheetName val="STAFFSCHED_3"/>
      <sheetName val="Jindal-Control_Cable_Sch-_400K6"/>
      <sheetName val="UNP-NCW_6"/>
      <sheetName val="Rate_Analysis6"/>
      <sheetName val="Cond_data4"/>
      <sheetName val="Form_64"/>
      <sheetName val="Data_Sheet4"/>
      <sheetName val="CABLE-_New4"/>
      <sheetName val="STAFFSCHED_4"/>
      <sheetName val="Jindal-Control_Cable_Sch-_40011"/>
      <sheetName val="UNP-NCW_11"/>
      <sheetName val="Rate_Analysis11"/>
      <sheetName val="Cond_data9"/>
      <sheetName val="Form_69"/>
      <sheetName val="Data_Sheet9"/>
      <sheetName val="CABLE-_New9"/>
      <sheetName val="STAFFSCHED_9"/>
      <sheetName val="Jindal-Control_Cable_Sch-_400K7"/>
      <sheetName val="UNP-NCW_7"/>
      <sheetName val="Rate_Analysis7"/>
      <sheetName val="Cond_data5"/>
      <sheetName val="Form_65"/>
      <sheetName val="Data_Sheet5"/>
      <sheetName val="CABLE-_New5"/>
      <sheetName val="STAFFSCHED_5"/>
      <sheetName val="pack_(b)3"/>
      <sheetName val="220kV_Main_Bus_(56_5m)3"/>
      <sheetName val="220kV_Jack_Bus_(54_5m)3"/>
      <sheetName val="400kV_Jack_Bus_(55_5m)3"/>
      <sheetName val="Jindal-Control_Cable_Sch-_400K9"/>
      <sheetName val="UNP-NCW_9"/>
      <sheetName val="Rate_Analysis9"/>
      <sheetName val="Cond_data7"/>
      <sheetName val="Form_67"/>
      <sheetName val="Data_Sheet7"/>
      <sheetName val="CABLE-_New7"/>
      <sheetName val="STAFFSCHED_7"/>
      <sheetName val="pack_(b)1"/>
      <sheetName val="220kV_Main_Bus_(56_5m)1"/>
      <sheetName val="220kV_Jack_Bus_(54_5m)1"/>
      <sheetName val="400kV_Jack_Bus_(55_5m)1"/>
      <sheetName val="Jindal-Control_Cable_Sch-_400K8"/>
      <sheetName val="UNP-NCW_8"/>
      <sheetName val="Rate_Analysis8"/>
      <sheetName val="Cond_data6"/>
      <sheetName val="Form_66"/>
      <sheetName val="Data_Sheet6"/>
      <sheetName val="CABLE-_New6"/>
      <sheetName val="STAFFSCHED_6"/>
      <sheetName val="pack_(b)"/>
      <sheetName val="220kV_Main_Bus_(56_5m)"/>
      <sheetName val="220kV_Jack_Bus_(54_5m)"/>
      <sheetName val="400kV_Jack_Bus_(55_5m)"/>
      <sheetName val="Jindal-Control_Cable_Sch-_40010"/>
      <sheetName val="UNP-NCW_10"/>
      <sheetName val="Rate_Analysis10"/>
      <sheetName val="Cond_data8"/>
      <sheetName val="Form_68"/>
      <sheetName val="Data_Sheet8"/>
      <sheetName val="CABLE-_New8"/>
      <sheetName val="STAFFSCHED_8"/>
      <sheetName val="pack_(b)2"/>
      <sheetName val="220kV_Main_Bus_(56_5m)2"/>
      <sheetName val="220kV_Jack_Bus_(54_5m)2"/>
      <sheetName val="400kV_Jack_Bus_(55_5m)2"/>
      <sheetName val="Jindal-Control_Cable_Sch-_40012"/>
      <sheetName val="UNP-NCW_12"/>
      <sheetName val="Rate_Analysis12"/>
      <sheetName val="Cond_data10"/>
      <sheetName val="Form_610"/>
      <sheetName val="Data_Sheet10"/>
      <sheetName val="CABLE-_New10"/>
      <sheetName val="STAFFSCHED_10"/>
      <sheetName val="pack_(b)4"/>
      <sheetName val="220kV_Main_Bus_(56_5m)4"/>
      <sheetName val="220kV_Jack_Bus_(54_5m)4"/>
      <sheetName val="400kV_Jack_Bus_(55_5m)4"/>
      <sheetName val="Jindal-Control_Cable_Sch-_40013"/>
      <sheetName val="UNP-NCW_13"/>
      <sheetName val="Rate_Analysis13"/>
      <sheetName val="Cond_data11"/>
      <sheetName val="Form_611"/>
      <sheetName val="Data_Sheet11"/>
      <sheetName val="CABLE-_New11"/>
      <sheetName val="STAFFSCHED_11"/>
      <sheetName val="pack_(b)5"/>
      <sheetName val="220kV_Main_Bus_(56_5m)5"/>
      <sheetName val="220kV_Jack_Bus_(54_5m)5"/>
      <sheetName val="400kV_Jack_Bus_(55_5m)5"/>
      <sheetName val="Jindal-Control_Cable_Sch-_40014"/>
      <sheetName val="UNP-NCW_14"/>
      <sheetName val="Rate_Analysis14"/>
      <sheetName val="Cond_data12"/>
      <sheetName val="Form_612"/>
      <sheetName val="Data_Sheet12"/>
      <sheetName val="CABLE-_New12"/>
      <sheetName val="STAFFSCHED_12"/>
      <sheetName val="pack_(b)6"/>
      <sheetName val="220kV_Main_Bus_(56_5m)6"/>
      <sheetName val="220kV_Jack_Bus_(54_5m)6"/>
      <sheetName val="400kV_Jack_Bus_(55_5m)6"/>
      <sheetName val="Jindal-Control_Cable_Sch-_40016"/>
      <sheetName val="UNP-NCW_16"/>
      <sheetName val="Rate_Analysis16"/>
      <sheetName val="Cond_data14"/>
      <sheetName val="Form_614"/>
      <sheetName val="Data_Sheet14"/>
      <sheetName val="CABLE-_New14"/>
      <sheetName val="STAFFSCHED_14"/>
      <sheetName val="pack_(b)8"/>
      <sheetName val="220kV_Main_Bus_(56_5m)8"/>
      <sheetName val="220kV_Jack_Bus_(54_5m)8"/>
      <sheetName val="400kV_Jack_Bus_(55_5m)8"/>
      <sheetName val="Jindal-Control_Cable_Sch-_40017"/>
      <sheetName val="UNP-NCW_17"/>
      <sheetName val="Rate_Analysis17"/>
      <sheetName val="Cond_data15"/>
      <sheetName val="Form_615"/>
      <sheetName val="Data_Sheet15"/>
      <sheetName val="CABLE-_New15"/>
      <sheetName val="STAFFSCHED_15"/>
      <sheetName val="pack_(b)9"/>
      <sheetName val="220kV_Main_Bus_(56_5m)9"/>
      <sheetName val="220kV_Jack_Bus_(54_5m)9"/>
      <sheetName val="400kV_Jack_Bus_(55_5m)9"/>
      <sheetName val="CLAY"/>
      <sheetName val="Load Details(B2)"/>
      <sheetName val="ENTRY"/>
      <sheetName val="Jindal-Control_Cable_Sch-_40018"/>
      <sheetName val="UNP-NCW_18"/>
      <sheetName val="Rate_Analysis18"/>
      <sheetName val="Cond_data16"/>
      <sheetName val="Form_616"/>
      <sheetName val="Data_Sheet16"/>
      <sheetName val="CABLE-_New16"/>
      <sheetName val="STAFFSCHED_16"/>
      <sheetName val="pack_(b)10"/>
      <sheetName val="220kV_Main_Bus_(56_5m)10"/>
      <sheetName val="220kV_Jack_Bus_(54_5m)10"/>
      <sheetName val="400kV_Jack_Bus_(55_5m)10"/>
      <sheetName val="Jindal-Control_Cable_Sch-_40019"/>
      <sheetName val="UNP-NCW_19"/>
      <sheetName val="Rate_Analysis19"/>
      <sheetName val="Cond_data17"/>
      <sheetName val="Form_617"/>
      <sheetName val="Data_Sheet17"/>
      <sheetName val="CABLE-_New17"/>
      <sheetName val="STAFFSCHED_17"/>
      <sheetName val="pack_(b)11"/>
      <sheetName val="220kV_Main_Bus_(56_5m)11"/>
      <sheetName val="220kV_Jack_Bus_(54_5m)11"/>
      <sheetName val="400kV_Jack_Bus_(55_5m)11"/>
      <sheetName val="Jindal-Control_Cable_Sch-_40020"/>
      <sheetName val="UNP-NCW_20"/>
      <sheetName val="Rate_Analysis20"/>
      <sheetName val="Cond_data18"/>
      <sheetName val="Form_618"/>
      <sheetName val="Data_Sheet18"/>
      <sheetName val="CABLE-_New18"/>
      <sheetName val="STAFFSCHED_18"/>
      <sheetName val="pack_(b)12"/>
      <sheetName val="220kV_Main_Bus_(56_5m)12"/>
      <sheetName val="220kV_Jack_Bus_(54_5m)12"/>
      <sheetName val="400kV_Jack_Bus_(55_5m)12"/>
      <sheetName val="Jindal-Control_Cable_Sch-_40025"/>
      <sheetName val="UNP-NCW_25"/>
      <sheetName val="Rate_Analysis25"/>
      <sheetName val="Cond_data23"/>
      <sheetName val="Form_623"/>
      <sheetName val="Data_Sheet23"/>
      <sheetName val="CABLE-_New23"/>
      <sheetName val="STAFFSCHED_23"/>
      <sheetName val="pack_(b)17"/>
      <sheetName val="220kV_Main_Bus_(56_5m)17"/>
      <sheetName val="220kV_Jack_Bus_(54_5m)17"/>
      <sheetName val="400kV_Jack_Bus_(55_5m)17"/>
      <sheetName val="Jindal-Control_Cable_Sch-_40024"/>
      <sheetName val="UNP-NCW_24"/>
      <sheetName val="Rate_Analysis24"/>
      <sheetName val="Cond_data22"/>
      <sheetName val="Form_622"/>
      <sheetName val="Data_Sheet22"/>
      <sheetName val="CABLE-_New22"/>
      <sheetName val="STAFFSCHED_22"/>
      <sheetName val="pack_(b)16"/>
      <sheetName val="220kV_Main_Bus_(56_5m)16"/>
      <sheetName val="220kV_Jack_Bus_(54_5m)16"/>
      <sheetName val="400kV_Jack_Bus_(55_5m)16"/>
      <sheetName val="Jindal-Control_Cable_Sch-_40021"/>
      <sheetName val="UNP-NCW_21"/>
      <sheetName val="Rate_Analysis21"/>
      <sheetName val="Cond_data19"/>
      <sheetName val="Form_619"/>
      <sheetName val="Data_Sheet19"/>
      <sheetName val="CABLE-_New19"/>
      <sheetName val="STAFFSCHED_19"/>
      <sheetName val="pack_(b)13"/>
      <sheetName val="220kV_Main_Bus_(56_5m)13"/>
      <sheetName val="220kV_Jack_Bus_(54_5m)13"/>
      <sheetName val="400kV_Jack_Bus_(55_5m)13"/>
      <sheetName val="Jindal-Control_Cable_Sch-_40022"/>
      <sheetName val="UNP-NCW_22"/>
      <sheetName val="Rate_Analysis22"/>
      <sheetName val="Cond_data20"/>
      <sheetName val="Form_620"/>
      <sheetName val="Data_Sheet20"/>
      <sheetName val="CABLE-_New20"/>
      <sheetName val="STAFFSCHED_20"/>
      <sheetName val="pack_(b)14"/>
      <sheetName val="220kV_Main_Bus_(56_5m)14"/>
      <sheetName val="220kV_Jack_Bus_(54_5m)14"/>
      <sheetName val="400kV_Jack_Bus_(55_5m)14"/>
      <sheetName val="Jindal-Control_Cable_Sch-_40023"/>
      <sheetName val="UNP-NCW_23"/>
      <sheetName val="Rate_Analysis23"/>
      <sheetName val="Cond_data21"/>
      <sheetName val="Form_621"/>
      <sheetName val="Data_Sheet21"/>
      <sheetName val="CABLE-_New21"/>
      <sheetName val="STAFFSCHED_21"/>
      <sheetName val="pack_(b)15"/>
      <sheetName val="220kV_Main_Bus_(56_5m)15"/>
      <sheetName val="220kV_Jack_Bus_(54_5m)15"/>
      <sheetName val="400kV_Jack_Bus_(55_5m)15"/>
      <sheetName val="Jindal-Control_Cable_Sch-_40026"/>
      <sheetName val="UNP-NCW_26"/>
      <sheetName val="Rate_Analysis26"/>
      <sheetName val="Cond_data24"/>
      <sheetName val="Form_624"/>
      <sheetName val="Data_Sheet24"/>
      <sheetName val="CABLE-_New24"/>
      <sheetName val="STAFFSCHED_24"/>
      <sheetName val="pack_(b)18"/>
      <sheetName val="220kV_Main_Bus_(56_5m)18"/>
      <sheetName val="220kV_Jack_Bus_(54_5m)18"/>
      <sheetName val="400kV_Jack_Bus_(55_5m)18"/>
      <sheetName val="Jindal-Control_Cable_Sch-_40029"/>
      <sheetName val="UNP-NCW_29"/>
      <sheetName val="Rate_Analysis29"/>
      <sheetName val="Cond_data27"/>
      <sheetName val="Form_627"/>
      <sheetName val="Data_Sheet27"/>
      <sheetName val="CABLE-_New27"/>
      <sheetName val="STAFFSCHED_27"/>
      <sheetName val="pack_(b)21"/>
      <sheetName val="220kV_Main_Bus_(56_5m)21"/>
      <sheetName val="220kV_Jack_Bus_(54_5m)21"/>
      <sheetName val="400kV_Jack_Bus_(55_5m)21"/>
      <sheetName val="Jindal-Control_Cable_Sch-_40027"/>
      <sheetName val="UNP-NCW_27"/>
      <sheetName val="Rate_Analysis27"/>
      <sheetName val="Cond_data25"/>
      <sheetName val="Form_625"/>
      <sheetName val="Data_Sheet25"/>
      <sheetName val="CABLE-_New25"/>
      <sheetName val="STAFFSCHED_25"/>
      <sheetName val="pack_(b)19"/>
      <sheetName val="220kV_Main_Bus_(56_5m)19"/>
      <sheetName val="220kV_Jack_Bus_(54_5m)19"/>
      <sheetName val="400kV_Jack_Bus_(55_5m)19"/>
      <sheetName val="Jindal-Control_Cable_Sch-_40028"/>
      <sheetName val="UNP-NCW_28"/>
      <sheetName val="Rate_Analysis28"/>
      <sheetName val="Cond_data26"/>
      <sheetName val="Form_626"/>
      <sheetName val="Data_Sheet26"/>
      <sheetName val="CABLE-_New26"/>
      <sheetName val="STAFFSCHED_26"/>
      <sheetName val="pack_(b)20"/>
      <sheetName val="220kV_Main_Bus_(56_5m)20"/>
      <sheetName val="220kV_Jack_Bus_(54_5m)20"/>
      <sheetName val="400kV_Jack_Bus_(55_5m)20"/>
      <sheetName val="Jindal-Control_Cable_Sch-_40030"/>
      <sheetName val="UNP-NCW_30"/>
      <sheetName val="Rate_Analysis30"/>
      <sheetName val="Cond_data28"/>
      <sheetName val="Form_628"/>
      <sheetName val="Data_Sheet28"/>
      <sheetName val="CABLE-_New28"/>
      <sheetName val="STAFFSCHED_28"/>
      <sheetName val="pack_(b)22"/>
      <sheetName val="220kV_Main_Bus_(56_5m)22"/>
      <sheetName val="220kV_Jack_Bus_(54_5m)22"/>
      <sheetName val="400kV_Jack_Bus_(55_5m)22"/>
      <sheetName val="Load_Details(B2)"/>
      <sheetName val="sc_cost_feb_03"/>
      <sheetName val="Jindal-Control_Cable_Sch-_40031"/>
      <sheetName val="UNP-NCW_31"/>
      <sheetName val="Rate_Analysis31"/>
      <sheetName val="Cond_data29"/>
      <sheetName val="Form_629"/>
      <sheetName val="Data_Sheet29"/>
      <sheetName val="CABLE-_New29"/>
      <sheetName val="STAFFSCHED_29"/>
      <sheetName val="pack_(b)23"/>
      <sheetName val="220kV_Main_Bus_(56_5m)23"/>
      <sheetName val="220kV_Jack_Bus_(54_5m)23"/>
      <sheetName val="400kV_Jack_Bus_(55_5m)23"/>
      <sheetName val="Load_Details(B2)1"/>
      <sheetName val="sc_cost_feb_031"/>
      <sheetName val="Jindal-Control_Cable_Sch-_40032"/>
      <sheetName val="UNP-NCW_32"/>
      <sheetName val="Rate_Analysis32"/>
      <sheetName val="Cond_data30"/>
      <sheetName val="Form_630"/>
      <sheetName val="Data_Sheet30"/>
      <sheetName val="CABLE-_New30"/>
      <sheetName val="STAFFSCHED_30"/>
      <sheetName val="pack_(b)24"/>
      <sheetName val="220kV_Main_Bus_(56_5m)24"/>
      <sheetName val="220kV_Jack_Bus_(54_5m)24"/>
      <sheetName val="400kV_Jack_Bus_(55_5m)24"/>
      <sheetName val="Load_Details(B2)2"/>
      <sheetName val="sc_cost_feb_032"/>
      <sheetName val="Jindal-Control_Cable_Sch-_40033"/>
      <sheetName val="UNP-NCW_33"/>
      <sheetName val="Rate_Analysis33"/>
      <sheetName val="Cond_data31"/>
      <sheetName val="Form_631"/>
      <sheetName val="Data_Sheet31"/>
      <sheetName val="CABLE-_New31"/>
      <sheetName val="STAFFSCHED_31"/>
      <sheetName val="pack_(b)25"/>
      <sheetName val="220kV_Main_Bus_(56_5m)25"/>
      <sheetName val="220kV_Jack_Bus_(54_5m)25"/>
      <sheetName val="400kV_Jack_Bus_(55_5m)25"/>
      <sheetName val="Load_Details(B2)3"/>
      <sheetName val="sc_cost_feb_033"/>
      <sheetName val="Jindal-Control_Cable_Sch-_40034"/>
      <sheetName val="UNP-NCW_34"/>
      <sheetName val="Rate_Analysis34"/>
      <sheetName val="Cond_data32"/>
      <sheetName val="Form_632"/>
      <sheetName val="Data_Sheet32"/>
      <sheetName val="CABLE-_New32"/>
      <sheetName val="STAFFSCHED_32"/>
      <sheetName val="pack_(b)26"/>
      <sheetName val="220kV_Main_Bus_(56_5m)26"/>
      <sheetName val="220kV_Jack_Bus_(54_5m)26"/>
      <sheetName val="400kV_Jack_Bus_(55_5m)26"/>
      <sheetName val="Load_Details(B2)4"/>
      <sheetName val="sc_cost_feb_03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 val="reference"/>
      <sheetName val="R2"/>
      <sheetName val="Model, 6mo"/>
      <sheetName val="Cost buildup"/>
      <sheetName val="Annual summary"/>
      <sheetName val="Tables"/>
      <sheetName val="Codes"/>
      <sheetName val="Control_Page3"/>
      <sheetName val="schg-brk_up3"/>
      <sheetName val="schh-brk_up_3"/>
      <sheetName val="full_fin3"/>
      <sheetName val="BUD_07-083"/>
      <sheetName val="UNP-NCW_3"/>
      <sheetName val="Materials_Cost2"/>
      <sheetName val="Addl_402"/>
      <sheetName val="@risk_rents_and_incentives2"/>
      <sheetName val="Car_park_lease2"/>
      <sheetName val="Net_rent_analysis2"/>
      <sheetName val="Rate_Analysis2"/>
      <sheetName val="factor_2"/>
      <sheetName val="220Kv_(2)2"/>
      <sheetName val="1603_Furniture2"/>
      <sheetName val="Administrative_Prices2"/>
      <sheetName val="Slope_area2"/>
      <sheetName val="PRECAST_lightconc-II2"/>
      <sheetName val="TB-JUNE-2003-18_7_032"/>
      <sheetName val="Load_Details(B2)2"/>
      <sheetName val="SPT_vs_PHI2"/>
      <sheetName val="IS_Material1"/>
      <sheetName val="Traffic_Managemet_&amp;_Common1"/>
      <sheetName val="Bulk_Material_RREC1"/>
      <sheetName val="Basic_Data1"/>
      <sheetName val="Protection_Work1"/>
      <sheetName val="Transportation_Rate1"/>
      <sheetName val="BOQ_1"/>
      <sheetName val="BOQ_Summ1"/>
      <sheetName val="Top_Sheet1"/>
      <sheetName val="IS_LABOR1"/>
      <sheetName val="Blanket_Lead_Chart1"/>
      <sheetName val="OH_Calculation1"/>
      <sheetName val="Shuttering_working1"/>
      <sheetName val="Mix_Design1"/>
      <sheetName val="Design_Sheet1"/>
      <sheetName val="MN_T_B_1"/>
      <sheetName val="Direct_cost_shed_A-2_1"/>
      <sheetName val="Mix_Design_R1"/>
      <sheetName val="ABS_R&amp;M_PSS"/>
      <sheetName val="Augumentation_Chatra"/>
      <sheetName val="ABS_11KV"/>
      <sheetName val="ABS_SC_33KV"/>
      <sheetName val="OLS_1_6T"/>
      <sheetName val="Model,_6mo"/>
      <sheetName val="Cost_buildup"/>
      <sheetName val="Annual_summary"/>
      <sheetName val="Specification report"/>
      <sheetName val="COUPLER"/>
      <sheetName val="AC"/>
      <sheetName val="CID JT"/>
      <sheetName val="CIDFPipe&amp;spl"/>
      <sheetName val="DIFlK9"/>
      <sheetName val="DIK7"/>
      <sheetName val="DIK9"/>
      <sheetName val="DISpl"/>
      <sheetName val="GIpipe "/>
      <sheetName val="GI Spls"/>
      <sheetName val="PSC "/>
      <sheetName val="C.S.GENERATION"/>
      <sheetName val="Form 6"/>
      <sheetName val="factors"/>
      <sheetName val="titles"/>
      <sheetName val="BASE"/>
      <sheetName val="biologie"/>
      <sheetName val="IDCCALHYD-GOO"/>
      <sheetName val="04REL"/>
      <sheetName val="Control_Page4"/>
      <sheetName val="schg-brk_up4"/>
      <sheetName val="schh-brk_up_4"/>
      <sheetName val="full_fin4"/>
      <sheetName val="BUD_07-084"/>
      <sheetName val="UNP-NCW_4"/>
      <sheetName val="Materials_Cost3"/>
      <sheetName val="Addl_403"/>
      <sheetName val="@risk_rents_and_incentives3"/>
      <sheetName val="Car_park_lease3"/>
      <sheetName val="Net_rent_analysis3"/>
      <sheetName val="Rate_Analysis3"/>
      <sheetName val="factor_3"/>
      <sheetName val="220Kv_(2)3"/>
      <sheetName val="1603_Furniture3"/>
      <sheetName val="Administrative_Prices3"/>
      <sheetName val="Slope_area3"/>
      <sheetName val="PRECAST_lightconc-II3"/>
      <sheetName val="TB-JUNE-2003-18_7_033"/>
      <sheetName val="Load_Details(B2)3"/>
      <sheetName val="SPT_vs_PHI3"/>
      <sheetName val="IS_Material2"/>
      <sheetName val="Traffic_Managemet_&amp;_Common2"/>
      <sheetName val="Bulk_Material_RREC2"/>
      <sheetName val="Basic_Data2"/>
      <sheetName val="Protection_Work2"/>
      <sheetName val="Transportation_Rate2"/>
      <sheetName val="BOQ_2"/>
      <sheetName val="BOQ_Summ2"/>
      <sheetName val="Top_Sheet2"/>
      <sheetName val="IS_LABOR2"/>
      <sheetName val="Blanket_Lead_Chart2"/>
      <sheetName val="OH_Calculation2"/>
      <sheetName val="Shuttering_working2"/>
      <sheetName val="Mix_Design2"/>
      <sheetName val="Design_Sheet2"/>
      <sheetName val="MN_T_B_2"/>
      <sheetName val="Direct_cost_shed_A-2_2"/>
      <sheetName val="Mix_Design_R11"/>
      <sheetName val="ABS_R&amp;M_PSS1"/>
      <sheetName val="Augumentation_Chatra1"/>
      <sheetName val="ABS_11KV1"/>
      <sheetName val="ABS_SC_33KV1"/>
      <sheetName val="OLS_1_6T1"/>
      <sheetName val="Model,_6mo1"/>
      <sheetName val="Cost_buildup1"/>
      <sheetName val="Annual_summary1"/>
      <sheetName val="OVERHEADS"/>
      <sheetName val="GR.slab-reinft"/>
      <sheetName val="Control_Page5"/>
      <sheetName val="schg-brk_up5"/>
      <sheetName val="schh-brk_up_5"/>
      <sheetName val="full_fin5"/>
      <sheetName val="BUD_07-085"/>
      <sheetName val="UNP-NCW_5"/>
      <sheetName val="Materials_Cost4"/>
      <sheetName val="Addl_404"/>
      <sheetName val="@risk_rents_and_incentives4"/>
      <sheetName val="Car_park_lease4"/>
      <sheetName val="Net_rent_analysis4"/>
      <sheetName val="Rate_Analysis4"/>
      <sheetName val="factor_4"/>
      <sheetName val="220Kv_(2)4"/>
      <sheetName val="1603_Furniture4"/>
      <sheetName val="Administrative_Prices4"/>
      <sheetName val="Slope_area4"/>
      <sheetName val="PRECAST_lightconc-II4"/>
      <sheetName val="TB-JUNE-2003-18_7_034"/>
      <sheetName val="Load_Details(B2)4"/>
      <sheetName val="SPT_vs_PHI4"/>
      <sheetName val="IS_Material3"/>
      <sheetName val="Traffic_Managemet_&amp;_Common3"/>
      <sheetName val="Bulk_Material_RREC3"/>
      <sheetName val="Basic_Data3"/>
      <sheetName val="Protection_Work3"/>
      <sheetName val="Transportation_Rate3"/>
      <sheetName val="BOQ_3"/>
      <sheetName val="BOQ_Summ3"/>
      <sheetName val="Top_Sheet3"/>
      <sheetName val="IS_LABOR3"/>
      <sheetName val="Blanket_Lead_Chart3"/>
      <sheetName val="OH_Calculation3"/>
      <sheetName val="Shuttering_working3"/>
      <sheetName val="Mix_Design3"/>
      <sheetName val="Design_Sheet3"/>
      <sheetName val="MN_T_B_3"/>
      <sheetName val="OLS_1_6T2"/>
      <sheetName val="Direct_cost_shed_A-2_3"/>
      <sheetName val="Tax_Status"/>
      <sheetName val="Mix_Design_R12"/>
      <sheetName val="ABS_R&amp;M_PSS2"/>
      <sheetName val="Augumentation_Chatra2"/>
      <sheetName val="ABS_11KV2"/>
      <sheetName val="ABS_SC_33KV2"/>
      <sheetName val="Model,_6mo2"/>
      <sheetName val="Cost_buildup2"/>
      <sheetName val="Annual_summary2"/>
      <sheetName val="Specification_report"/>
      <sheetName val="CID_JT"/>
      <sheetName val="GIpipe_"/>
      <sheetName val="GI_Spls"/>
      <sheetName val="PSC_"/>
      <sheetName val="C_S_GENERATION"/>
      <sheetName val="Form_6"/>
      <sheetName val="GR_slab-reinft"/>
      <sheetName val="Control_Page6"/>
      <sheetName val="schg-brk_up6"/>
      <sheetName val="schh-brk_up_6"/>
      <sheetName val="full_fin6"/>
      <sheetName val="BUD_07-086"/>
      <sheetName val="UNP-NCW_6"/>
      <sheetName val="Materials_Cost5"/>
      <sheetName val="Addl_405"/>
      <sheetName val="@risk_rents_and_incentives5"/>
      <sheetName val="Car_park_lease5"/>
      <sheetName val="Net_rent_analysis5"/>
      <sheetName val="Rate_Analysis5"/>
      <sheetName val="factor_5"/>
      <sheetName val="220Kv_(2)5"/>
      <sheetName val="1603_Furniture5"/>
      <sheetName val="Administrative_Prices5"/>
      <sheetName val="Slope_area5"/>
      <sheetName val="PRECAST_lightconc-II5"/>
      <sheetName val="TB-JUNE-2003-18_7_035"/>
      <sheetName val="Load_Details(B2)5"/>
      <sheetName val="SPT_vs_PHI5"/>
      <sheetName val="IS_Material4"/>
      <sheetName val="Traffic_Managemet_&amp;_Common4"/>
      <sheetName val="Bulk_Material_RREC4"/>
      <sheetName val="Basic_Data4"/>
      <sheetName val="Protection_Work4"/>
      <sheetName val="Transportation_Rate4"/>
      <sheetName val="BOQ_4"/>
      <sheetName val="BOQ_Summ4"/>
      <sheetName val="Top_Sheet4"/>
      <sheetName val="IS_LABOR4"/>
      <sheetName val="Blanket_Lead_Chart4"/>
      <sheetName val="OH_Calculation4"/>
      <sheetName val="Shuttering_working4"/>
      <sheetName val="Mix_Design4"/>
      <sheetName val="Design_Sheet4"/>
      <sheetName val="MN_T_B_4"/>
      <sheetName val="OLS_1_6T3"/>
      <sheetName val="Direct_cost_shed_A-2_4"/>
      <sheetName val="Tax_Status1"/>
      <sheetName val="Mix_Design_R13"/>
      <sheetName val="ABS_R&amp;M_PSS3"/>
      <sheetName val="Augumentation_Chatra3"/>
      <sheetName val="ABS_11KV3"/>
      <sheetName val="ABS_SC_33KV3"/>
      <sheetName val="Model,_6mo3"/>
      <sheetName val="Cost_buildup3"/>
      <sheetName val="Annual_summary3"/>
      <sheetName val="Specification_report1"/>
      <sheetName val="CID_JT1"/>
      <sheetName val="GIpipe_1"/>
      <sheetName val="GI_Spls1"/>
      <sheetName val="PSC_1"/>
      <sheetName val="C_S_GENERATION1"/>
      <sheetName val="Form_61"/>
      <sheetName val="GR_slab-reinf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 val="Load_Details(B2)18"/>
      <sheetName val="Administrative_Prices15"/>
      <sheetName val="13-Progress_Curve14"/>
      <sheetName val="VKFdn_420_(2)14"/>
      <sheetName val="Bed_Class14"/>
      <sheetName val="NLD_-_Assum14"/>
      <sheetName val="Basic_Rates14"/>
      <sheetName val="GR_slab-reinft14"/>
      <sheetName val="STN_WISE_EMR14"/>
      <sheetName val="PRECAST_lightconc-II14"/>
      <sheetName val="Khalifa_Parkf14"/>
      <sheetName val="Amortissement_de_prêt13"/>
      <sheetName val="Operating_charges_Odour_contr13"/>
      <sheetName val="Addl_4013"/>
      <sheetName val="PRODUCTION_DATA13"/>
      <sheetName val="CO_FORMS13"/>
      <sheetName val="INV_COST13"/>
      <sheetName val="MATERIAL_AC13"/>
      <sheetName val="FOR_VARIANCE_CALC_13"/>
      <sheetName val="VARIANCE_SUMMARY13"/>
      <sheetName val="OLS_1_6T13"/>
      <sheetName val="DOT_PRODUCTION13"/>
      <sheetName val="FITZ_MORT_9413"/>
      <sheetName val="Cat_A_Change_Control13"/>
      <sheetName val="PRODUCTION_DATA"/>
      <sheetName val="CO_FORMS"/>
      <sheetName val="INV_COST"/>
      <sheetName val="MATERIAL_AC"/>
      <sheetName val="FOR_VARIANCE_CALC_"/>
      <sheetName val="VARIANCE_SUMMARY"/>
      <sheetName val="OLS_1_6T"/>
      <sheetName val="DOT_PRODUCTION"/>
      <sheetName val="FITZ_MORT_94"/>
      <sheetName val="Cat_A_Change_Control"/>
      <sheetName val="Amortissement_de_prêt1"/>
      <sheetName val="Operating_charges_Odour_contro1"/>
      <sheetName val="Addl_401"/>
      <sheetName val="PRODUCTION_DATA1"/>
      <sheetName val="CO_FORMS1"/>
      <sheetName val="INV_COST1"/>
      <sheetName val="MATERIAL_AC1"/>
      <sheetName val="FOR_VARIANCE_CALC_1"/>
      <sheetName val="VARIANCE_SUMMARY1"/>
      <sheetName val="OLS_1_6T1"/>
      <sheetName val="DOT_PRODUCTION1"/>
      <sheetName val="FITZ_MORT_941"/>
      <sheetName val="Cat_A_Change_Control1"/>
      <sheetName val="Load_Details(B2)7"/>
      <sheetName val="Administrative_Prices4"/>
      <sheetName val="Khalifa_Parkf3"/>
      <sheetName val="Amortissement_de_prêt2"/>
      <sheetName val="Operating_charges_Odour_contro2"/>
      <sheetName val="Addl_402"/>
      <sheetName val="PRODUCTION_DATA2"/>
      <sheetName val="CO_FORMS2"/>
      <sheetName val="INV_COST2"/>
      <sheetName val="MATERIAL_AC2"/>
      <sheetName val="FOR_VARIANCE_CALC_2"/>
      <sheetName val="VARIANCE_SUMMARY2"/>
      <sheetName val="OLS_1_6T2"/>
      <sheetName val="DOT_PRODUCTION2"/>
      <sheetName val="FITZ_MORT_942"/>
      <sheetName val="Cat_A_Change_Control2"/>
      <sheetName val="Load_Details(B2)8"/>
      <sheetName val="Administrative_Prices5"/>
      <sheetName val="13-Progress_Curve4"/>
      <sheetName val="VKFdn_420_(2)4"/>
      <sheetName val="Bed_Class4"/>
      <sheetName val="NLD_-_Assum4"/>
      <sheetName val="Basic_Rates4"/>
      <sheetName val="GR_slab-reinft4"/>
      <sheetName val="STN_WISE_EMR4"/>
      <sheetName val="PRECAST_lightconc-II4"/>
      <sheetName val="Khalifa_Parkf4"/>
      <sheetName val="Amortissement_de_prêt3"/>
      <sheetName val="Operating_charges_Odour_contro3"/>
      <sheetName val="Addl_403"/>
      <sheetName val="PRODUCTION_DATA3"/>
      <sheetName val="CO_FORMS3"/>
      <sheetName val="INV_COST3"/>
      <sheetName val="MATERIAL_AC3"/>
      <sheetName val="FOR_VARIANCE_CALC_3"/>
      <sheetName val="VARIANCE_SUMMARY3"/>
      <sheetName val="OLS_1_6T3"/>
      <sheetName val="DOT_PRODUCTION3"/>
      <sheetName val="FITZ_MORT_943"/>
      <sheetName val="Cat_A_Change_Control3"/>
      <sheetName val="Load_Details(B2)9"/>
      <sheetName val="Administrative_Prices6"/>
      <sheetName val="13-Progress_Curve5"/>
      <sheetName val="VKFdn_420_(2)5"/>
      <sheetName val="Bed_Class5"/>
      <sheetName val="NLD_-_Assum5"/>
      <sheetName val="Basic_Rates5"/>
      <sheetName val="GR_slab-reinft5"/>
      <sheetName val="STN_WISE_EMR5"/>
      <sheetName val="PRECAST_lightconc-II5"/>
      <sheetName val="Khalifa_Parkf5"/>
      <sheetName val="Amortissement_de_prêt4"/>
      <sheetName val="Operating_charges_Odour_contro4"/>
      <sheetName val="Addl_404"/>
      <sheetName val="PRODUCTION_DATA4"/>
      <sheetName val="CO_FORMS4"/>
      <sheetName val="INV_COST4"/>
      <sheetName val="MATERIAL_AC4"/>
      <sheetName val="FOR_VARIANCE_CALC_4"/>
      <sheetName val="VARIANCE_SUMMARY4"/>
      <sheetName val="OLS_1_6T4"/>
      <sheetName val="DOT_PRODUCTION4"/>
      <sheetName val="FITZ_MORT_944"/>
      <sheetName val="Cat_A_Change_Control4"/>
      <sheetName val="Load_Details(B2)14"/>
      <sheetName val="Administrative_Prices11"/>
      <sheetName val="13-Progress_Curve10"/>
      <sheetName val="VKFdn_420_(2)10"/>
      <sheetName val="Bed_Class10"/>
      <sheetName val="NLD_-_Assum10"/>
      <sheetName val="Basic_Rates10"/>
      <sheetName val="GR_slab-reinft10"/>
      <sheetName val="STN_WISE_EMR10"/>
      <sheetName val="PRECAST_lightconc-II10"/>
      <sheetName val="Khalifa_Parkf10"/>
      <sheetName val="Amortissement_de_prêt9"/>
      <sheetName val="Operating_charges_Odour_contro9"/>
      <sheetName val="Addl_409"/>
      <sheetName val="FITZ_MORT_949"/>
      <sheetName val="Cat_A_Change_Control9"/>
      <sheetName val="PRODUCTION_DATA9"/>
      <sheetName val="CO_FORMS9"/>
      <sheetName val="INV_COST9"/>
      <sheetName val="MATERIAL_AC9"/>
      <sheetName val="FOR_VARIANCE_CALC_9"/>
      <sheetName val="VARIANCE_SUMMARY9"/>
      <sheetName val="OLS_1_6T9"/>
      <sheetName val="DOT_PRODUCTION9"/>
      <sheetName val="Load_Details(B2)10"/>
      <sheetName val="Administrative_Prices7"/>
      <sheetName val="13-Progress_Curve6"/>
      <sheetName val="VKFdn_420_(2)6"/>
      <sheetName val="Bed_Class6"/>
      <sheetName val="NLD_-_Assum6"/>
      <sheetName val="Basic_Rates6"/>
      <sheetName val="GR_slab-reinft6"/>
      <sheetName val="STN_WISE_EMR6"/>
      <sheetName val="PRECAST_lightconc-II6"/>
      <sheetName val="Khalifa_Parkf6"/>
      <sheetName val="Amortissement_de_prêt5"/>
      <sheetName val="Operating_charges_Odour_contro5"/>
      <sheetName val="Addl_405"/>
      <sheetName val="PRODUCTION_DATA5"/>
      <sheetName val="CO_FORMS5"/>
      <sheetName val="INV_COST5"/>
      <sheetName val="MATERIAL_AC5"/>
      <sheetName val="FOR_VARIANCE_CALC_5"/>
      <sheetName val="VARIANCE_SUMMARY5"/>
      <sheetName val="OLS_1_6T5"/>
      <sheetName val="DOT_PRODUCTION5"/>
      <sheetName val="FITZ_MORT_945"/>
      <sheetName val="Cat_A_Change_Control5"/>
      <sheetName val="Load_Details(B2)12"/>
      <sheetName val="Administrative_Prices9"/>
      <sheetName val="13-Progress_Curve8"/>
      <sheetName val="VKFdn_420_(2)8"/>
      <sheetName val="Bed_Class8"/>
      <sheetName val="NLD_-_Assum8"/>
      <sheetName val="Basic_Rates8"/>
      <sheetName val="GR_slab-reinft8"/>
      <sheetName val="STN_WISE_EMR8"/>
      <sheetName val="PRECAST_lightconc-II8"/>
      <sheetName val="Khalifa_Parkf8"/>
      <sheetName val="Amortissement_de_prêt7"/>
      <sheetName val="Operating_charges_Odour_contro7"/>
      <sheetName val="Addl_407"/>
      <sheetName val="PRODUCTION_DATA7"/>
      <sheetName val="CO_FORMS7"/>
      <sheetName val="INV_COST7"/>
      <sheetName val="MATERIAL_AC7"/>
      <sheetName val="FOR_VARIANCE_CALC_7"/>
      <sheetName val="VARIANCE_SUMMARY7"/>
      <sheetName val="OLS_1_6T7"/>
      <sheetName val="DOT_PRODUCTION7"/>
      <sheetName val="FITZ_MORT_947"/>
      <sheetName val="Cat_A_Change_Control7"/>
      <sheetName val="Load_Details(B2)11"/>
      <sheetName val="Administrative_Prices8"/>
      <sheetName val="13-Progress_Curve7"/>
      <sheetName val="VKFdn_420_(2)7"/>
      <sheetName val="Bed_Class7"/>
      <sheetName val="NLD_-_Assum7"/>
      <sheetName val="Basic_Rates7"/>
      <sheetName val="GR_slab-reinft7"/>
      <sheetName val="STN_WISE_EMR7"/>
      <sheetName val="PRECAST_lightconc-II7"/>
      <sheetName val="Khalifa_Parkf7"/>
      <sheetName val="Amortissement_de_prêt6"/>
      <sheetName val="Operating_charges_Odour_contro6"/>
      <sheetName val="Addl_406"/>
      <sheetName val="FITZ_MORT_946"/>
      <sheetName val="Cat_A_Change_Control6"/>
      <sheetName val="PRODUCTION_DATA6"/>
      <sheetName val="CO_FORMS6"/>
      <sheetName val="INV_COST6"/>
      <sheetName val="MATERIAL_AC6"/>
      <sheetName val="FOR_VARIANCE_CALC_6"/>
      <sheetName val="VARIANCE_SUMMARY6"/>
      <sheetName val="OLS_1_6T6"/>
      <sheetName val="DOT_PRODUCTION6"/>
      <sheetName val="Load_Details(B2)13"/>
      <sheetName val="Administrative_Prices10"/>
      <sheetName val="13-Progress_Curve9"/>
      <sheetName val="VKFdn_420_(2)9"/>
      <sheetName val="Bed_Class9"/>
      <sheetName val="NLD_-_Assum9"/>
      <sheetName val="Basic_Rates9"/>
      <sheetName val="GR_slab-reinft9"/>
      <sheetName val="STN_WISE_EMR9"/>
      <sheetName val="PRECAST_lightconc-II9"/>
      <sheetName val="Khalifa_Parkf9"/>
      <sheetName val="Amortissement_de_prêt8"/>
      <sheetName val="Operating_charges_Odour_contro8"/>
      <sheetName val="Addl_408"/>
      <sheetName val="FITZ_MORT_948"/>
      <sheetName val="Cat_A_Change_Control8"/>
      <sheetName val="PRODUCTION_DATA8"/>
      <sheetName val="CO_FORMS8"/>
      <sheetName val="INV_COST8"/>
      <sheetName val="MATERIAL_AC8"/>
      <sheetName val="FOR_VARIANCE_CALC_8"/>
      <sheetName val="VARIANCE_SUMMARY8"/>
      <sheetName val="OLS_1_6T8"/>
      <sheetName val="DOT_PRODUCTION8"/>
      <sheetName val="Load_Details(B2)15"/>
      <sheetName val="Administrative_Prices12"/>
      <sheetName val="13-Progress_Curve11"/>
      <sheetName val="VKFdn_420_(2)11"/>
      <sheetName val="Bed_Class11"/>
      <sheetName val="NLD_-_Assum11"/>
      <sheetName val="Basic_Rates11"/>
      <sheetName val="GR_slab-reinft11"/>
      <sheetName val="STN_WISE_EMR11"/>
      <sheetName val="PRECAST_lightconc-II11"/>
      <sheetName val="Khalifa_Parkf11"/>
      <sheetName val="Amortissement_de_prêt10"/>
      <sheetName val="Operating_charges_Odour_contr10"/>
      <sheetName val="Addl_4010"/>
      <sheetName val="PRODUCTION_DATA10"/>
      <sheetName val="CO_FORMS10"/>
      <sheetName val="INV_COST10"/>
      <sheetName val="MATERIAL_AC10"/>
      <sheetName val="FOR_VARIANCE_CALC_10"/>
      <sheetName val="VARIANCE_SUMMARY10"/>
      <sheetName val="OLS_1_6T10"/>
      <sheetName val="DOT_PRODUCTION10"/>
      <sheetName val="FITZ_MORT_9410"/>
      <sheetName val="Cat_A_Change_Control10"/>
      <sheetName val="Load_Details(B2)16"/>
      <sheetName val="Administrative_Prices13"/>
      <sheetName val="13-Progress_Curve12"/>
      <sheetName val="VKFdn_420_(2)12"/>
      <sheetName val="Bed_Class12"/>
      <sheetName val="NLD_-_Assum12"/>
      <sheetName val="Basic_Rates12"/>
      <sheetName val="GR_slab-reinft12"/>
      <sheetName val="STN_WISE_EMR12"/>
      <sheetName val="PRECAST_lightconc-II12"/>
      <sheetName val="Khalifa_Parkf12"/>
      <sheetName val="Amortissement_de_prêt11"/>
      <sheetName val="Operating_charges_Odour_contr11"/>
      <sheetName val="Addl_4011"/>
      <sheetName val="FITZ_MORT_9411"/>
      <sheetName val="Cat_A_Change_Control11"/>
      <sheetName val="PRODUCTION_DATA11"/>
      <sheetName val="CO_FORMS11"/>
      <sheetName val="INV_COST11"/>
      <sheetName val="MATERIAL_AC11"/>
      <sheetName val="FOR_VARIANCE_CALC_11"/>
      <sheetName val="VARIANCE_SUMMARY11"/>
      <sheetName val="OLS_1_6T11"/>
      <sheetName val="DOT_PRODUCTION11"/>
      <sheetName val="Load_Details(B2)17"/>
      <sheetName val="Administrative_Prices14"/>
      <sheetName val="13-Progress_Curve13"/>
      <sheetName val="VKFdn_420_(2)13"/>
      <sheetName val="Bed_Class13"/>
      <sheetName val="NLD_-_Assum13"/>
      <sheetName val="Basic_Rates13"/>
      <sheetName val="GR_slab-reinft13"/>
      <sheetName val="STN_WISE_EMR13"/>
      <sheetName val="PRECAST_lightconc-II13"/>
      <sheetName val="Khalifa_Parkf13"/>
      <sheetName val="Amortissement_de_prêt12"/>
      <sheetName val="Operating_charges_Odour_contr12"/>
      <sheetName val="Addl_4012"/>
      <sheetName val="PRODUCTION_DATA12"/>
      <sheetName val="CO_FORMS12"/>
      <sheetName val="INV_COST12"/>
      <sheetName val="MATERIAL_AC12"/>
      <sheetName val="FOR_VARIANCE_CALC_12"/>
      <sheetName val="VARIANCE_SUMMARY12"/>
      <sheetName val="OLS_1_6T12"/>
      <sheetName val="DOT_PRODUCTION12"/>
      <sheetName val="FITZ_MORT_9412"/>
      <sheetName val="Cat_A_Change_Control12"/>
      <sheetName val="Load_Details(B2)19"/>
      <sheetName val="Administrative_Prices16"/>
      <sheetName val="13-Progress_Curve15"/>
      <sheetName val="VKFdn_420_(2)15"/>
      <sheetName val="Bed_Class15"/>
      <sheetName val="NLD_-_Assum15"/>
      <sheetName val="Basic_Rates15"/>
      <sheetName val="GR_slab-reinft15"/>
      <sheetName val="STN_WISE_EMR15"/>
      <sheetName val="PRECAST_lightconc-II15"/>
      <sheetName val="Khalifa_Parkf15"/>
      <sheetName val="Amortissement_de_prêt14"/>
      <sheetName val="Operating_charges_Odour_contr14"/>
      <sheetName val="Addl_4014"/>
      <sheetName val="PRODUCTION_DATA14"/>
      <sheetName val="CO_FORMS14"/>
      <sheetName val="INV_COST14"/>
      <sheetName val="MATERIAL_AC14"/>
      <sheetName val="FOR_VARIANCE_CALC_14"/>
      <sheetName val="VARIANCE_SUMMARY14"/>
      <sheetName val="OLS_1_6T14"/>
      <sheetName val="DOT_PRODUCTION14"/>
      <sheetName val="FITZ_MORT_9414"/>
      <sheetName val="Cat_A_Change_Control14"/>
      <sheetName val="Load_Details(B2)20"/>
      <sheetName val="Administrative_Prices17"/>
      <sheetName val="13-Progress_Curve16"/>
      <sheetName val="VKFdn_420_(2)16"/>
      <sheetName val="Bed_Class16"/>
      <sheetName val="NLD_-_Assum16"/>
      <sheetName val="Basic_Rates16"/>
      <sheetName val="GR_slab-reinft16"/>
      <sheetName val="STN_WISE_EMR16"/>
      <sheetName val="PRECAST_lightconc-II16"/>
      <sheetName val="Khalifa_Parkf16"/>
      <sheetName val="Amortissement_de_prêt15"/>
      <sheetName val="Operating_charges_Odour_contr15"/>
      <sheetName val="Addl_4015"/>
      <sheetName val="PRODUCTION_DATA15"/>
      <sheetName val="CO_FORMS15"/>
      <sheetName val="INV_COST15"/>
      <sheetName val="MATERIAL_AC15"/>
      <sheetName val="FOR_VARIANCE_CALC_15"/>
      <sheetName val="VARIANCE_SUMMARY15"/>
      <sheetName val="OLS_1_6T15"/>
      <sheetName val="DOT_PRODUCTION15"/>
      <sheetName val="FITZ_MORT_9415"/>
      <sheetName val="Cat_A_Change_Control15"/>
      <sheetName val="UK"/>
      <sheetName val="Costing"/>
      <sheetName val="Voucher"/>
      <sheetName val="INPUT SHEET"/>
      <sheetName val="RES-PLANNING"/>
      <sheetName val="WORK TABLE"/>
      <sheetName val="dlvoid"/>
      <sheetName val="Groupings-final"/>
      <sheetName val="Sched"/>
      <sheetName val="Trial"/>
      <sheetName val="FA_Final"/>
      <sheetName val="Staff Acco."/>
      <sheetName val="Sheet4"/>
      <sheetName val="water prop."/>
      <sheetName val="angles"/>
      <sheetName val="co_5"/>
      <sheetName val="220v Cell Size &amp; Charger 1"/>
      <sheetName val="BTB"/>
      <sheetName val="cf"/>
      <sheetName val="orders"/>
      <sheetName val="Abstract"/>
      <sheetName val="1.Assumptions"/>
      <sheetName val="Beam-design_exp"/>
      <sheetName val="Load_Details(B2)21"/>
      <sheetName val="Administrative_Prices18"/>
      <sheetName val="13-Progress_Curve17"/>
      <sheetName val="VKFdn_420_(2)17"/>
      <sheetName val="Bed_Class17"/>
      <sheetName val="NLD_-_Assum17"/>
      <sheetName val="Basic_Rates17"/>
      <sheetName val="GR_slab-reinft17"/>
      <sheetName val="STN_WISE_EMR17"/>
      <sheetName val="PRECAST_lightconc-II17"/>
      <sheetName val="Khalifa_Parkf17"/>
      <sheetName val="Amortissement_de_prêt16"/>
      <sheetName val="Operating_charges_Odour_contr16"/>
      <sheetName val="Addl_4016"/>
      <sheetName val="DOT_PRODUCTION16"/>
      <sheetName val="PRODUCTION_DATA16"/>
      <sheetName val="CO_FORMS16"/>
      <sheetName val="INV_COST16"/>
      <sheetName val="MATERIAL_AC16"/>
      <sheetName val="FOR_VARIANCE_CALC_16"/>
      <sheetName val="VARIANCE_SUMMARY16"/>
      <sheetName val="OLS_1_6T16"/>
      <sheetName val="FITZ_MORT_9416"/>
      <sheetName val="Cat_A_Change_Control16"/>
      <sheetName val="Beam-design_exp1"/>
      <sheetName val="Load_Details(B2)22"/>
      <sheetName val="Administrative_Prices19"/>
      <sheetName val="13-Progress_Curve18"/>
      <sheetName val="VKFdn_420_(2)18"/>
      <sheetName val="Bed_Class18"/>
      <sheetName val="NLD_-_Assum18"/>
      <sheetName val="Basic_Rates18"/>
      <sheetName val="GR_slab-reinft18"/>
      <sheetName val="STN_WISE_EMR18"/>
      <sheetName val="PRECAST_lightconc-II18"/>
      <sheetName val="Khalifa_Parkf18"/>
      <sheetName val="Amortissement_de_prêt17"/>
      <sheetName val="Operating_charges_Odour_contr17"/>
      <sheetName val="Addl_4017"/>
      <sheetName val="PRODUCTION_DATA17"/>
      <sheetName val="CO_FORMS17"/>
      <sheetName val="INV_COST17"/>
      <sheetName val="MATERIAL_AC17"/>
      <sheetName val="FOR_VARIANCE_CALC_17"/>
      <sheetName val="VARIANCE_SUMMARY17"/>
      <sheetName val="OLS_1_6T17"/>
      <sheetName val="DOT_PRODUCTION17"/>
      <sheetName val="FITZ_MORT_9417"/>
      <sheetName val="Cat_A_Change_Control17"/>
      <sheetName val="Load_Details(B2)23"/>
      <sheetName val="Administrative_Prices20"/>
      <sheetName val="13-Progress_Curve19"/>
      <sheetName val="VKFdn_420_(2)19"/>
      <sheetName val="Bed_Class19"/>
      <sheetName val="NLD_-_Assum19"/>
      <sheetName val="Basic_Rates19"/>
      <sheetName val="GR_slab-reinft19"/>
      <sheetName val="STN_WISE_EMR19"/>
      <sheetName val="PRECAST_lightconc-II19"/>
      <sheetName val="Khalifa_Parkf19"/>
      <sheetName val="Amortissement_de_prêt18"/>
      <sheetName val="Operating_charges_Odour_contr18"/>
      <sheetName val="Addl_4018"/>
      <sheetName val="DOT_PRODUCTION18"/>
      <sheetName val="PRODUCTION_DATA18"/>
      <sheetName val="CO_FORMS18"/>
      <sheetName val="INV_COST18"/>
      <sheetName val="MATERIAL_AC18"/>
      <sheetName val="FOR_VARIANCE_CALC_18"/>
      <sheetName val="VARIANCE_SUMMARY18"/>
      <sheetName val="OLS_1_6T18"/>
      <sheetName val="FITZ_MORT_9418"/>
      <sheetName val="Cat_A_Change_Control18"/>
      <sheetName val="Beam-design_exp2"/>
      <sheetName val="Load_Details(B2)28"/>
      <sheetName val="Administrative_Prices25"/>
      <sheetName val="13-Progress_Curve24"/>
      <sheetName val="VKFdn_420_(2)24"/>
      <sheetName val="Bed_Class24"/>
      <sheetName val="NLD_-_Assum24"/>
      <sheetName val="Basic_Rates24"/>
      <sheetName val="GR_slab-reinft24"/>
      <sheetName val="STN_WISE_EMR24"/>
      <sheetName val="PRECAST_lightconc-II24"/>
      <sheetName val="Khalifa_Parkf24"/>
      <sheetName val="Amortissement_de_prêt23"/>
      <sheetName val="Operating_charges_Odour_contr23"/>
      <sheetName val="Addl_4023"/>
      <sheetName val="FITZ_MORT_9423"/>
      <sheetName val="Cat_A_Change_Control23"/>
      <sheetName val="DOT_PRODUCTION23"/>
      <sheetName val="PRODUCTION_DATA23"/>
      <sheetName val="CO_FORMS23"/>
      <sheetName val="INV_COST23"/>
      <sheetName val="MATERIAL_AC23"/>
      <sheetName val="FOR_VARIANCE_CALC_23"/>
      <sheetName val="VARIANCE_SUMMARY23"/>
      <sheetName val="OLS_1_6T23"/>
      <sheetName val="Beam-design_exp7"/>
      <sheetName val="Load_Details(B2)27"/>
      <sheetName val="Administrative_Prices24"/>
      <sheetName val="13-Progress_Curve23"/>
      <sheetName val="VKFdn_420_(2)23"/>
      <sheetName val="Bed_Class23"/>
      <sheetName val="NLD_-_Assum23"/>
      <sheetName val="Basic_Rates23"/>
      <sheetName val="GR_slab-reinft23"/>
      <sheetName val="STN_WISE_EMR23"/>
      <sheetName val="PRECAST_lightconc-II23"/>
      <sheetName val="Khalifa_Parkf23"/>
      <sheetName val="Amortissement_de_prêt22"/>
      <sheetName val="Operating_charges_Odour_contr22"/>
      <sheetName val="Addl_4022"/>
      <sheetName val="FITZ_MORT_9422"/>
      <sheetName val="Cat_A_Change_Control22"/>
      <sheetName val="DOT_PRODUCTION22"/>
      <sheetName val="PRODUCTION_DATA22"/>
      <sheetName val="CO_FORMS22"/>
      <sheetName val="INV_COST22"/>
      <sheetName val="MATERIAL_AC22"/>
      <sheetName val="FOR_VARIANCE_CALC_22"/>
      <sheetName val="VARIANCE_SUMMARY22"/>
      <sheetName val="OLS_1_6T22"/>
      <sheetName val="Beam-design_exp6"/>
      <sheetName val="Load_Details(B2)24"/>
      <sheetName val="Administrative_Prices21"/>
      <sheetName val="13-Progress_Curve20"/>
      <sheetName val="VKFdn_420_(2)20"/>
      <sheetName val="Bed_Class20"/>
      <sheetName val="NLD_-_Assum20"/>
      <sheetName val="Basic_Rates20"/>
      <sheetName val="GR_slab-reinft20"/>
      <sheetName val="STN_WISE_EMR20"/>
      <sheetName val="PRECAST_lightconc-II20"/>
      <sheetName val="Khalifa_Parkf20"/>
      <sheetName val="Amortissement_de_prêt19"/>
      <sheetName val="Operating_charges_Odour_contr19"/>
      <sheetName val="Addl_4019"/>
      <sheetName val="FITZ_MORT_9419"/>
      <sheetName val="Cat_A_Change_Control19"/>
      <sheetName val="DOT_PRODUCTION19"/>
      <sheetName val="PRODUCTION_DATA19"/>
      <sheetName val="CO_FORMS19"/>
      <sheetName val="INV_COST19"/>
      <sheetName val="MATERIAL_AC19"/>
      <sheetName val="FOR_VARIANCE_CALC_19"/>
      <sheetName val="VARIANCE_SUMMARY19"/>
      <sheetName val="OLS_1_6T19"/>
      <sheetName val="Beam-design_exp3"/>
      <sheetName val="Load_Details(B2)25"/>
      <sheetName val="Administrative_Prices22"/>
      <sheetName val="13-Progress_Curve21"/>
      <sheetName val="VKFdn_420_(2)21"/>
      <sheetName val="Bed_Class21"/>
      <sheetName val="NLD_-_Assum21"/>
      <sheetName val="Basic_Rates21"/>
      <sheetName val="GR_slab-reinft21"/>
      <sheetName val="STN_WISE_EMR21"/>
      <sheetName val="PRECAST_lightconc-II21"/>
      <sheetName val="Khalifa_Parkf21"/>
      <sheetName val="Amortissement_de_prêt20"/>
      <sheetName val="Operating_charges_Odour_contr20"/>
      <sheetName val="Addl_4020"/>
      <sheetName val="FITZ_MORT_9420"/>
      <sheetName val="Cat_A_Change_Control20"/>
      <sheetName val="DOT_PRODUCTION20"/>
      <sheetName val="PRODUCTION_DATA20"/>
      <sheetName val="CO_FORMS20"/>
      <sheetName val="INV_COST20"/>
      <sheetName val="MATERIAL_AC20"/>
      <sheetName val="FOR_VARIANCE_CALC_20"/>
      <sheetName val="VARIANCE_SUMMARY20"/>
      <sheetName val="OLS_1_6T20"/>
      <sheetName val="Beam-design_exp4"/>
      <sheetName val="Load_Details(B2)26"/>
      <sheetName val="Administrative_Prices23"/>
      <sheetName val="13-Progress_Curve22"/>
      <sheetName val="VKFdn_420_(2)22"/>
      <sheetName val="Bed_Class22"/>
      <sheetName val="NLD_-_Assum22"/>
      <sheetName val="Basic_Rates22"/>
      <sheetName val="GR_slab-reinft22"/>
      <sheetName val="STN_WISE_EMR22"/>
      <sheetName val="PRECAST_lightconc-II22"/>
      <sheetName val="Khalifa_Parkf22"/>
      <sheetName val="Amortissement_de_prêt21"/>
      <sheetName val="Operating_charges_Odour_contr21"/>
      <sheetName val="Addl_4021"/>
      <sheetName val="FITZ_MORT_9421"/>
      <sheetName val="Cat_A_Change_Control21"/>
      <sheetName val="DOT_PRODUCTION21"/>
      <sheetName val="PRODUCTION_DATA21"/>
      <sheetName val="CO_FORMS21"/>
      <sheetName val="INV_COST21"/>
      <sheetName val="MATERIAL_AC21"/>
      <sheetName val="FOR_VARIANCE_CALC_21"/>
      <sheetName val="VARIANCE_SUMMARY21"/>
      <sheetName val="OLS_1_6T21"/>
      <sheetName val="Beam-design_exp5"/>
      <sheetName val="Load_Details(B2)29"/>
      <sheetName val="Administrative_Prices26"/>
      <sheetName val="13-Progress_Curve25"/>
      <sheetName val="VKFdn_420_(2)25"/>
      <sheetName val="Bed_Class25"/>
      <sheetName val="NLD_-_Assum25"/>
      <sheetName val="Basic_Rates25"/>
      <sheetName val="GR_slab-reinft25"/>
      <sheetName val="STN_WISE_EMR25"/>
      <sheetName val="PRECAST_lightconc-II25"/>
      <sheetName val="Khalifa_Parkf25"/>
      <sheetName val="Amortissement_de_prêt24"/>
      <sheetName val="Operating_charges_Odour_contr24"/>
      <sheetName val="Addl_4024"/>
      <sheetName val="FITZ_MORT_9424"/>
      <sheetName val="Cat_A_Change_Control24"/>
      <sheetName val="DOT_PRODUCTION24"/>
      <sheetName val="PRODUCTION_DATA24"/>
      <sheetName val="CO_FORMS24"/>
      <sheetName val="INV_COST24"/>
      <sheetName val="MATERIAL_AC24"/>
      <sheetName val="FOR_VARIANCE_CALC_24"/>
      <sheetName val="VARIANCE_SUMMARY24"/>
      <sheetName val="OLS_1_6T24"/>
      <sheetName val="Beam-design_exp8"/>
      <sheetName val="Load_Details(B2)32"/>
      <sheetName val="Administrative_Prices29"/>
      <sheetName val="13-Progress_Curve28"/>
      <sheetName val="VKFdn_420_(2)28"/>
      <sheetName val="Bed_Class28"/>
      <sheetName val="NLD_-_Assum28"/>
      <sheetName val="Basic_Rates28"/>
      <sheetName val="GR_slab-reinft28"/>
      <sheetName val="STN_WISE_EMR28"/>
      <sheetName val="PRECAST_lightconc-II28"/>
      <sheetName val="Khalifa_Parkf28"/>
      <sheetName val="Amortissement_de_prêt27"/>
      <sheetName val="Operating_charges_Odour_contr27"/>
      <sheetName val="Addl_4027"/>
      <sheetName val="FITZ_MORT_9427"/>
      <sheetName val="Cat_A_Change_Control27"/>
      <sheetName val="DOT_PRODUCTION27"/>
      <sheetName val="PRODUCTION_DATA27"/>
      <sheetName val="CO_FORMS27"/>
      <sheetName val="INV_COST27"/>
      <sheetName val="MATERIAL_AC27"/>
      <sheetName val="FOR_VARIANCE_CALC_27"/>
      <sheetName val="VARIANCE_SUMMARY27"/>
      <sheetName val="OLS_1_6T27"/>
      <sheetName val="Beam-design_exp11"/>
      <sheetName val="Load_Details(B2)30"/>
      <sheetName val="Administrative_Prices27"/>
      <sheetName val="13-Progress_Curve26"/>
      <sheetName val="VKFdn_420_(2)26"/>
      <sheetName val="Bed_Class26"/>
      <sheetName val="NLD_-_Assum26"/>
      <sheetName val="Basic_Rates26"/>
      <sheetName val="GR_slab-reinft26"/>
      <sheetName val="STN_WISE_EMR26"/>
      <sheetName val="PRECAST_lightconc-II26"/>
      <sheetName val="Khalifa_Parkf26"/>
      <sheetName val="Amortissement_de_prêt25"/>
      <sheetName val="Operating_charges_Odour_contr25"/>
      <sheetName val="Addl_4025"/>
      <sheetName val="FITZ_MORT_9425"/>
      <sheetName val="Cat_A_Change_Control25"/>
      <sheetName val="DOT_PRODUCTION25"/>
      <sheetName val="PRODUCTION_DATA25"/>
      <sheetName val="CO_FORMS25"/>
      <sheetName val="INV_COST25"/>
      <sheetName val="MATERIAL_AC25"/>
      <sheetName val="FOR_VARIANCE_CALC_25"/>
      <sheetName val="VARIANCE_SUMMARY25"/>
      <sheetName val="OLS_1_6T25"/>
      <sheetName val="Beam-design_exp9"/>
      <sheetName val="Load_Details(B2)31"/>
      <sheetName val="Administrative_Prices28"/>
      <sheetName val="13-Progress_Curve27"/>
      <sheetName val="VKFdn_420_(2)27"/>
      <sheetName val="Bed_Class27"/>
      <sheetName val="NLD_-_Assum27"/>
      <sheetName val="Basic_Rates27"/>
      <sheetName val="GR_slab-reinft27"/>
      <sheetName val="STN_WISE_EMR27"/>
      <sheetName val="PRECAST_lightconc-II27"/>
      <sheetName val="Khalifa_Parkf27"/>
      <sheetName val="Amortissement_de_prêt26"/>
      <sheetName val="Operating_charges_Odour_contr26"/>
      <sheetName val="Addl_4026"/>
      <sheetName val="FITZ_MORT_9426"/>
      <sheetName val="Cat_A_Change_Control26"/>
      <sheetName val="DOT_PRODUCTION26"/>
      <sheetName val="PRODUCTION_DATA26"/>
      <sheetName val="CO_FORMS26"/>
      <sheetName val="INV_COST26"/>
      <sheetName val="MATERIAL_AC26"/>
      <sheetName val="FOR_VARIANCE_CALC_26"/>
      <sheetName val="VARIANCE_SUMMARY26"/>
      <sheetName val="OLS_1_6T26"/>
      <sheetName val="Beam-design_exp10"/>
      <sheetName val="Load_Details(B2)33"/>
      <sheetName val="Administrative_Prices30"/>
      <sheetName val="13-Progress_Curve29"/>
      <sheetName val="VKFdn_420_(2)29"/>
      <sheetName val="Bed_Class29"/>
      <sheetName val="NLD_-_Assum29"/>
      <sheetName val="Basic_Rates29"/>
      <sheetName val="GR_slab-reinft29"/>
      <sheetName val="STN_WISE_EMR29"/>
      <sheetName val="PRECAST_lightconc-II29"/>
      <sheetName val="Khalifa_Parkf29"/>
      <sheetName val="Amortissement_de_prêt28"/>
      <sheetName val="Operating_charges_Odour_contr28"/>
      <sheetName val="Addl_4028"/>
      <sheetName val="FITZ_MORT_9428"/>
      <sheetName val="Cat_A_Change_Control28"/>
      <sheetName val="DOT_PRODUCTION28"/>
      <sheetName val="PRODUCTION_DATA28"/>
      <sheetName val="CO_FORMS28"/>
      <sheetName val="INV_COST28"/>
      <sheetName val="MATERIAL_AC28"/>
      <sheetName val="FOR_VARIANCE_CALC_28"/>
      <sheetName val="VARIANCE_SUMMARY28"/>
      <sheetName val="OLS_1_6T28"/>
      <sheetName val="Beam-design_exp12"/>
      <sheetName val="INPUT_SHEET"/>
      <sheetName val="WORK_TABLE"/>
      <sheetName val="Staff_Acco_"/>
      <sheetName val="water_prop_"/>
      <sheetName val="220v_Cell_Size_&amp;_Charger_1"/>
      <sheetName val="1_Assumptions"/>
      <sheetName val="Load_Details(B2)34"/>
      <sheetName val="Administrative_Prices31"/>
      <sheetName val="13-Progress_Curve30"/>
      <sheetName val="VKFdn_420_(2)30"/>
      <sheetName val="Bed_Class30"/>
      <sheetName val="NLD_-_Assum30"/>
      <sheetName val="Basic_Rates30"/>
      <sheetName val="GR_slab-reinft30"/>
      <sheetName val="STN_WISE_EMR30"/>
      <sheetName val="PRECAST_lightconc-II30"/>
      <sheetName val="Khalifa_Parkf30"/>
      <sheetName val="Amortissement_de_prêt29"/>
      <sheetName val="Operating_charges_Odour_contr29"/>
      <sheetName val="Addl_4029"/>
      <sheetName val="FITZ_MORT_9429"/>
      <sheetName val="Cat_A_Change_Control29"/>
      <sheetName val="DOT_PRODUCTION29"/>
      <sheetName val="PRODUCTION_DATA29"/>
      <sheetName val="CO_FORMS29"/>
      <sheetName val="INV_COST29"/>
      <sheetName val="MATERIAL_AC29"/>
      <sheetName val="FOR_VARIANCE_CALC_29"/>
      <sheetName val="VARIANCE_SUMMARY29"/>
      <sheetName val="OLS_1_6T29"/>
      <sheetName val="Beam-design_exp13"/>
      <sheetName val="INPUT_SHEET1"/>
      <sheetName val="WORK_TABLE1"/>
      <sheetName val="Staff_Acco_1"/>
      <sheetName val="water_prop_1"/>
      <sheetName val="220v_Cell_Size_&amp;_Charger_11"/>
      <sheetName val="1_Assumptions1"/>
      <sheetName val="Load_Details(B2)35"/>
      <sheetName val="Administrative_Prices32"/>
      <sheetName val="13-Progress_Curve31"/>
      <sheetName val="VKFdn_420_(2)31"/>
      <sheetName val="Bed_Class31"/>
      <sheetName val="NLD_-_Assum31"/>
      <sheetName val="Basic_Rates31"/>
      <sheetName val="GR_slab-reinft31"/>
      <sheetName val="STN_WISE_EMR31"/>
      <sheetName val="PRECAST_lightconc-II31"/>
      <sheetName val="Khalifa_Parkf31"/>
      <sheetName val="Amortissement_de_prêt30"/>
      <sheetName val="Operating_charges_Odour_contr30"/>
      <sheetName val="Addl_4030"/>
      <sheetName val="FITZ_MORT_9430"/>
      <sheetName val="Cat_A_Change_Control30"/>
      <sheetName val="DOT_PRODUCTION30"/>
      <sheetName val="PRODUCTION_DATA30"/>
      <sheetName val="CO_FORMS30"/>
      <sheetName val="INV_COST30"/>
      <sheetName val="MATERIAL_AC30"/>
      <sheetName val="FOR_VARIANCE_CALC_30"/>
      <sheetName val="VARIANCE_SUMMARY30"/>
      <sheetName val="OLS_1_6T30"/>
      <sheetName val="Beam-design_exp14"/>
      <sheetName val="INPUT_SHEET2"/>
      <sheetName val="WORK_TABLE2"/>
      <sheetName val="Staff_Acco_2"/>
      <sheetName val="water_prop_2"/>
      <sheetName val="220v_Cell_Size_&amp;_Charger_12"/>
      <sheetName val="1_Assumptions2"/>
      <sheetName val="Load_Details(B2)36"/>
      <sheetName val="Administrative_Prices33"/>
      <sheetName val="13-Progress_Curve32"/>
      <sheetName val="VKFdn_420_(2)32"/>
      <sheetName val="Bed_Class32"/>
      <sheetName val="NLD_-_Assum32"/>
      <sheetName val="Basic_Rates32"/>
      <sheetName val="GR_slab-reinft32"/>
      <sheetName val="STN_WISE_EMR32"/>
      <sheetName val="PRECAST_lightconc-II32"/>
      <sheetName val="Khalifa_Parkf32"/>
      <sheetName val="Amortissement_de_prêt31"/>
      <sheetName val="Operating_charges_Odour_contr31"/>
      <sheetName val="Addl_4031"/>
      <sheetName val="FITZ_MORT_9431"/>
      <sheetName val="Cat_A_Change_Control31"/>
      <sheetName val="DOT_PRODUCTION31"/>
      <sheetName val="PRODUCTION_DATA31"/>
      <sheetName val="CO_FORMS31"/>
      <sheetName val="INV_COST31"/>
      <sheetName val="MATERIAL_AC31"/>
      <sheetName val="FOR_VARIANCE_CALC_31"/>
      <sheetName val="VARIANCE_SUMMARY31"/>
      <sheetName val="OLS_1_6T31"/>
      <sheetName val="Beam-design_exp15"/>
      <sheetName val="INPUT_SHEET3"/>
      <sheetName val="WORK_TABLE3"/>
      <sheetName val="Staff_Acco_3"/>
      <sheetName val="water_prop_3"/>
      <sheetName val="220v_Cell_Size_&amp;_Charger_13"/>
      <sheetName val="1_Assumptions3"/>
      <sheetName val="Load_Details(B2)37"/>
      <sheetName val="Administrative_Prices34"/>
      <sheetName val="13-Progress_Curve33"/>
      <sheetName val="VKFdn_420_(2)33"/>
      <sheetName val="Bed_Class33"/>
      <sheetName val="NLD_-_Assum33"/>
      <sheetName val="Basic_Rates33"/>
      <sheetName val="GR_slab-reinft33"/>
      <sheetName val="STN_WISE_EMR33"/>
      <sheetName val="PRECAST_lightconc-II33"/>
      <sheetName val="Khalifa_Parkf33"/>
      <sheetName val="Amortissement_de_prêt32"/>
      <sheetName val="Operating_charges_Odour_contr32"/>
      <sheetName val="Addl_4032"/>
      <sheetName val="FITZ_MORT_9432"/>
      <sheetName val="Cat_A_Change_Control32"/>
      <sheetName val="DOT_PRODUCTION32"/>
      <sheetName val="PRODUCTION_DATA32"/>
      <sheetName val="CO_FORMS32"/>
      <sheetName val="INV_COST32"/>
      <sheetName val="MATERIAL_AC32"/>
      <sheetName val="FOR_VARIANCE_CALC_32"/>
      <sheetName val="VARIANCE_SUMMARY32"/>
      <sheetName val="OLS_1_6T32"/>
      <sheetName val="Beam-design_exp16"/>
      <sheetName val="INPUT_SHEET4"/>
      <sheetName val="WORK_TABLE4"/>
      <sheetName val="Staff_Acco_4"/>
      <sheetName val="water_prop_4"/>
      <sheetName val="220v_Cell_Size_&amp;_Charger_14"/>
      <sheetName val="1_Assumptions4"/>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 val="Sch-3"/>
      <sheetName val="3BPA00132-5-3 W plan HVPNL"/>
      <sheetName val="Sheet3"/>
      <sheetName val="dpc_cost"/>
      <sheetName val="Codes"/>
      <sheetName val="REVENUES &amp; BS"/>
      <sheetName val="05 Ar &amp; St"/>
      <sheetName val="A-2 blcok work Res."/>
      <sheetName val="05 RB A-2 200kp Res. Sub St."/>
      <sheetName val="05 A-2 300kp Sup St."/>
      <sheetName val="2B_for_Sub_Station_F_I_2"/>
      <sheetName val="DETAILED__BOQ1"/>
      <sheetName val="Conversion"/>
      <sheetName val="Cell_Sizing"/>
      <sheetName val="Load_Cycle"/>
      <sheetName val="C.S.GENERATION"/>
      <sheetName val="Sheet1"/>
      <sheetName val="material cacus"/>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 val="September '10"/>
      <sheetName val="November '10"/>
      <sheetName val="A"/>
      <sheetName val="REVENUES &amp; BS"/>
      <sheetName val="QOSWS "/>
      <sheetName val="Acceptance"/>
      <sheetName val="Format-5"/>
      <sheetName val="Sliding sdn"/>
      <sheetName val="oct-06"/>
      <sheetName val="Form-C4"/>
      <sheetName val=" AT-1-220 "/>
      <sheetName val=" BC-220"/>
      <sheetName val="Break Down  "/>
      <sheetName val="Rate Contract"/>
      <sheetName val="FDn Wet"/>
      <sheetName val="Tower Erection"/>
      <sheetName val="Scheme Area Details_Block__ C2"/>
      <sheetName val="Balustrade"/>
      <sheetName val="Break_Down__"/>
      <sheetName val="Break_Down__1"/>
      <sheetName val="A-2 blcok work Res."/>
      <sheetName val="05 Ar &amp; St"/>
      <sheetName val="Testing"/>
      <sheetName val="FORM7"/>
      <sheetName val="Labour Expenses"/>
      <sheetName val="Plant &amp; Machinery"/>
      <sheetName val="Staff Expenses"/>
      <sheetName val="Provident Fund &amp; Other Funds"/>
      <sheetName val="Welfare Expenses"/>
      <sheetName val="Water and Power"/>
      <sheetName val="Packing &amp; Forwarding"/>
      <sheetName val="Travelling Expenses"/>
      <sheetName val="Conveyance Expenses"/>
      <sheetName val="Insurance Charges"/>
      <sheetName val="Bank Charges"/>
      <sheetName val="Post &amp; Telegraph Charges"/>
      <sheetName val="Printing &amp; Stationery Expenses"/>
      <sheetName val="Repair &amp; Maintenance"/>
      <sheetName val="Sundries - Misc Expenses"/>
      <sheetName val="Temporary Struc &amp; Installation"/>
      <sheetName val="Professional Fees"/>
      <sheetName val="Hire &amp; Rental Charges"/>
      <sheetName val="Abstract IDC"/>
      <sheetName val="Architecture BOQ"/>
      <sheetName val="External works BOQ"/>
      <sheetName val="MEP"/>
      <sheetName val="Structure BOQ"/>
      <sheetName val="Material Rates"/>
      <sheetName val="Min Wages"/>
      <sheetName val="Safety"/>
      <sheetName val="LCS SCHEDULE "/>
      <sheetName val="Wall W3"/>
      <sheetName val="ewst"/>
      <sheetName val="Nspt-smp-final-ORIGINAL"/>
      <sheetName val="적용"/>
      <sheetName val="Plant &amp;  Machinery"/>
      <sheetName val="Material"/>
      <sheetName val="Leads"/>
      <sheetName val="INPUT"/>
      <sheetName val="Basic Rate"/>
      <sheetName val="S &amp; A"/>
      <sheetName val="HEAD"/>
      <sheetName val="beam-reinft-IIInd floor"/>
      <sheetName val="Headings"/>
      <sheetName val="inWords"/>
      <sheetName val="Legend"/>
      <sheetName val="A-General"/>
      <sheetName val="X rate"/>
      <sheetName val="labour rates"/>
      <sheetName val="Basic"/>
      <sheetName val="Conc-BP"/>
      <sheetName val="Voucher"/>
      <sheetName val="Block A - BOQ"/>
      <sheetName val="Sheet14"/>
      <sheetName val="SILICATE"/>
      <sheetName val="KALK"/>
      <sheetName val="Load Details(B2)"/>
      <sheetName val="Input Data"/>
      <sheetName val="Calculation"/>
      <sheetName val="Cover sheet"/>
      <sheetName val="sheet2 (Layout)"/>
      <sheetName val="Eliminacion N"/>
      <sheetName val="Cineticos"/>
      <sheetName val="Sample Cal for spike"/>
      <sheetName val="Cond_data21"/>
      <sheetName val="except_wiring21"/>
      <sheetName val="220KV_CS21"/>
      <sheetName val="step_&amp;_touch_21"/>
      <sheetName val="Conductor_Size18"/>
      <sheetName val="Discom_Details18"/>
      <sheetName val="M_S_18"/>
      <sheetName val="BOQ_(2)17"/>
      <sheetName val="3BPA00132-5-3_W_plan_HVPNL18"/>
      <sheetName val="DETAILED__BOQ18"/>
      <sheetName val="Attach-3_(QR)18"/>
      <sheetName val="Vind_-_BtB17"/>
      <sheetName val="Civil_Works17"/>
      <sheetName val="TBAL9697_-group_wise__sdpl17"/>
      <sheetName val="May_Budget17"/>
      <sheetName val="May_Actual17"/>
      <sheetName val="Supply_info17"/>
      <sheetName val="Compressed_Air17"/>
      <sheetName val="Dosing_Calcs17"/>
      <sheetName val="BW_&amp;_Neut_Pit17"/>
      <sheetName val="Cable_data16"/>
      <sheetName val="T_-_FDn16"/>
      <sheetName val="PRECAST_lightconc-II16"/>
      <sheetName val="dpc_cost16"/>
      <sheetName val="Staff_Acco_16"/>
      <sheetName val="Fin_Sum16"/>
      <sheetName val="LEVEL_RHS16"/>
      <sheetName val="LEVEL_LHS16"/>
      <sheetName val="regions_&amp;_PL16"/>
      <sheetName val="400KV_short_circuit_force_cal16"/>
      <sheetName val="3_Go&amp;Get_Eval_16"/>
      <sheetName val="6_2_Cover16"/>
      <sheetName val="Basic_input16"/>
      <sheetName val="Load_Details-220kV16"/>
      <sheetName val="P_&amp;_L_16"/>
      <sheetName val="Main_Bs16"/>
      <sheetName val="Summary_Rates_From_Contract16"/>
      <sheetName val="Rate_Analysis10"/>
      <sheetName val="General_input10"/>
      <sheetName val="Basic_Rates10"/>
      <sheetName val="HO_Costs10"/>
      <sheetName val="97_사업추정(WEKI)10"/>
      <sheetName val="water_prop_10"/>
      <sheetName val="JCR_TOP(ITEM)-KTRP10"/>
      <sheetName val="Basic_Data10"/>
      <sheetName val="Harga_Satuan_&amp;_Upah10"/>
      <sheetName val="Cond_data22"/>
      <sheetName val="except_wiring22"/>
      <sheetName val="220KV_CS22"/>
      <sheetName val="step_&amp;_touch_22"/>
      <sheetName val="Conductor_Size19"/>
      <sheetName val="Discom_Details19"/>
      <sheetName val="M_S_19"/>
      <sheetName val="BOQ_(2)18"/>
      <sheetName val="3BPA00132-5-3_W_plan_HVPNL19"/>
      <sheetName val="DETAILED__BOQ19"/>
      <sheetName val="Attach-3_(QR)19"/>
      <sheetName val="Vind_-_BtB18"/>
      <sheetName val="Civil_Works18"/>
      <sheetName val="TBAL9697_-group_wise__sdpl18"/>
      <sheetName val="May_Budget18"/>
      <sheetName val="May_Actual18"/>
      <sheetName val="Supply_info18"/>
      <sheetName val="Compressed_Air18"/>
      <sheetName val="Dosing_Calcs18"/>
      <sheetName val="BW_&amp;_Neut_Pit18"/>
      <sheetName val="Cable_data17"/>
      <sheetName val="T_-_FDn17"/>
      <sheetName val="PRECAST_lightconc-II17"/>
      <sheetName val="dpc_cost17"/>
      <sheetName val="Staff_Acco_17"/>
      <sheetName val="Fin_Sum17"/>
      <sheetName val="LEVEL_RHS17"/>
      <sheetName val="LEVEL_LHS17"/>
      <sheetName val="400KV_short_circuit_force_cal17"/>
      <sheetName val="regions_&amp;_PL17"/>
      <sheetName val="3_Go&amp;Get_Eval_17"/>
      <sheetName val="6_2_Cover17"/>
      <sheetName val="Basic_input17"/>
      <sheetName val="Load_Details-220kV17"/>
      <sheetName val="P_&amp;_L_17"/>
      <sheetName val="Main_Bs17"/>
      <sheetName val="Summary_Rates_From_Contract17"/>
      <sheetName val="Rate_Analysis11"/>
      <sheetName val="General_input11"/>
      <sheetName val="Basic_Rates11"/>
      <sheetName val="HO_Costs11"/>
      <sheetName val="97_사업추정(WEKI)11"/>
      <sheetName val="water_prop_11"/>
      <sheetName val="JCR_TOP(ITEM)-KTRP11"/>
      <sheetName val="Basic_Data11"/>
      <sheetName val="Harga_Satuan_&amp;_Upah11"/>
      <sheetName val="Cond_data23"/>
      <sheetName val="except_wiring23"/>
      <sheetName val="220KV_CS23"/>
      <sheetName val="step_&amp;_touch_23"/>
      <sheetName val="Conductor_Size20"/>
      <sheetName val="Discom_Details20"/>
      <sheetName val="M_S_20"/>
      <sheetName val="BOQ_(2)19"/>
      <sheetName val="3BPA00132-5-3_W_plan_HVPNL20"/>
      <sheetName val="DETAILED__BOQ20"/>
      <sheetName val="Attach-3_(QR)20"/>
      <sheetName val="Vind_-_BtB19"/>
      <sheetName val="Civil_Works19"/>
      <sheetName val="TBAL9697_-group_wise__sdpl19"/>
      <sheetName val="May_Budget19"/>
      <sheetName val="May_Actual19"/>
      <sheetName val="Supply_info19"/>
      <sheetName val="Compressed_Air19"/>
      <sheetName val="Dosing_Calcs19"/>
      <sheetName val="BW_&amp;_Neut_Pit19"/>
      <sheetName val="Cable_data18"/>
      <sheetName val="T_-_FDn18"/>
      <sheetName val="PRECAST_lightconc-II18"/>
      <sheetName val="dpc_cost18"/>
      <sheetName val="Staff_Acco_18"/>
      <sheetName val="Fin_Sum18"/>
      <sheetName val="LEVEL_RHS18"/>
      <sheetName val="LEVEL_LHS18"/>
      <sheetName val="regions_&amp;_PL18"/>
      <sheetName val="400KV_short_circuit_force_cal18"/>
      <sheetName val="3_Go&amp;Get_Eval_18"/>
      <sheetName val="6_2_Cover18"/>
      <sheetName val="Basic_input18"/>
      <sheetName val="Load_Details-220kV18"/>
      <sheetName val="P_&amp;_L_18"/>
      <sheetName val="Main_Bs18"/>
      <sheetName val="Summary_Rates_From_Contract18"/>
      <sheetName val="Rate_Analysis12"/>
      <sheetName val="General_input12"/>
      <sheetName val="Basic_Rates12"/>
      <sheetName val="HO_Costs12"/>
      <sheetName val="97_사업추정(WEKI)12"/>
      <sheetName val="water_prop_12"/>
      <sheetName val="JCR_TOP(ITEM)-KTRP12"/>
      <sheetName val="Basic_Data12"/>
      <sheetName val="Harga_Satuan_&amp;_Upah12"/>
      <sheetName val="Cond_data28"/>
      <sheetName val="except_wiring28"/>
      <sheetName val="220KV_CS28"/>
      <sheetName val="step_&amp;_touch_28"/>
      <sheetName val="Conductor_Size25"/>
      <sheetName val="Discom_Details25"/>
      <sheetName val="M_S_25"/>
      <sheetName val="BOQ_(2)24"/>
      <sheetName val="3BPA00132-5-3_W_plan_HVPNL25"/>
      <sheetName val="DETAILED__BOQ25"/>
      <sheetName val="Attach-3_(QR)25"/>
      <sheetName val="Vind_-_BtB24"/>
      <sheetName val="Civil_Works24"/>
      <sheetName val="TBAL9697_-group_wise__sdpl24"/>
      <sheetName val="May_Budget24"/>
      <sheetName val="May_Actual24"/>
      <sheetName val="Supply_info24"/>
      <sheetName val="Compressed_Air24"/>
      <sheetName val="Dosing_Calcs24"/>
      <sheetName val="BW_&amp;_Neut_Pit24"/>
      <sheetName val="Cable_data23"/>
      <sheetName val="T_-_FDn23"/>
      <sheetName val="PRECAST_lightconc-II23"/>
      <sheetName val="dpc_cost23"/>
      <sheetName val="Staff_Acco_23"/>
      <sheetName val="Fin_Sum23"/>
      <sheetName val="LEVEL_RHS23"/>
      <sheetName val="LEVEL_LHS23"/>
      <sheetName val="400KV_short_circuit_force_cal23"/>
      <sheetName val="regions_&amp;_PL23"/>
      <sheetName val="Basic_input23"/>
      <sheetName val="Load_Details-220kV23"/>
      <sheetName val="Summary_Rates_From_Contract23"/>
      <sheetName val="3_Go&amp;Get_Eval_23"/>
      <sheetName val="6_2_Cover23"/>
      <sheetName val="P_&amp;_L_23"/>
      <sheetName val="Main_Bs23"/>
      <sheetName val="Rate_Analysis17"/>
      <sheetName val="General_input17"/>
      <sheetName val="Basic_Rates17"/>
      <sheetName val="HO_Costs17"/>
      <sheetName val="97_사업추정(WEKI)17"/>
      <sheetName val="water_prop_17"/>
      <sheetName val="JCR_TOP(ITEM)-KTRP17"/>
      <sheetName val="Basic_Data17"/>
      <sheetName val="Harga_Satuan_&amp;_Upah17"/>
      <sheetName val="Cond_data27"/>
      <sheetName val="except_wiring27"/>
      <sheetName val="220KV_CS27"/>
      <sheetName val="step_&amp;_touch_27"/>
      <sheetName val="Conductor_Size24"/>
      <sheetName val="Discom_Details24"/>
      <sheetName val="M_S_24"/>
      <sheetName val="BOQ_(2)23"/>
      <sheetName val="3BPA00132-5-3_W_plan_HVPNL24"/>
      <sheetName val="DETAILED__BOQ24"/>
      <sheetName val="Attach-3_(QR)24"/>
      <sheetName val="Vind_-_BtB23"/>
      <sheetName val="Civil_Works23"/>
      <sheetName val="TBAL9697_-group_wise__sdpl23"/>
      <sheetName val="May_Budget23"/>
      <sheetName val="May_Actual23"/>
      <sheetName val="Supply_info23"/>
      <sheetName val="Compressed_Air23"/>
      <sheetName val="Dosing_Calcs23"/>
      <sheetName val="BW_&amp;_Neut_Pit23"/>
      <sheetName val="Cable_data22"/>
      <sheetName val="T_-_FDn22"/>
      <sheetName val="PRECAST_lightconc-II22"/>
      <sheetName val="dpc_cost22"/>
      <sheetName val="Staff_Acco_22"/>
      <sheetName val="Fin_Sum22"/>
      <sheetName val="LEVEL_RHS22"/>
      <sheetName val="LEVEL_LHS22"/>
      <sheetName val="400KV_short_circuit_force_cal22"/>
      <sheetName val="regions_&amp;_PL22"/>
      <sheetName val="Basic_input22"/>
      <sheetName val="Load_Details-220kV22"/>
      <sheetName val="Summary_Rates_From_Contract22"/>
      <sheetName val="3_Go&amp;Get_Eval_22"/>
      <sheetName val="6_2_Cover22"/>
      <sheetName val="P_&amp;_L_22"/>
      <sheetName val="Main_Bs22"/>
      <sheetName val="Rate_Analysis16"/>
      <sheetName val="General_input16"/>
      <sheetName val="Basic_Rates16"/>
      <sheetName val="HO_Costs16"/>
      <sheetName val="97_사업추정(WEKI)16"/>
      <sheetName val="water_prop_16"/>
      <sheetName val="JCR_TOP(ITEM)-KTRP16"/>
      <sheetName val="Basic_Data16"/>
      <sheetName val="Harga_Satuan_&amp;_Upah16"/>
      <sheetName val="Cond_data24"/>
      <sheetName val="except_wiring24"/>
      <sheetName val="220KV_CS24"/>
      <sheetName val="step_&amp;_touch_24"/>
      <sheetName val="Conductor_Size21"/>
      <sheetName val="Discom_Details21"/>
      <sheetName val="M_S_21"/>
      <sheetName val="BOQ_(2)20"/>
      <sheetName val="3BPA00132-5-3_W_plan_HVPNL21"/>
      <sheetName val="DETAILED__BOQ21"/>
      <sheetName val="Attach-3_(QR)21"/>
      <sheetName val="Vind_-_BtB20"/>
      <sheetName val="Civil_Works20"/>
      <sheetName val="TBAL9697_-group_wise__sdpl20"/>
      <sheetName val="May_Budget20"/>
      <sheetName val="May_Actual20"/>
      <sheetName val="Supply_info20"/>
      <sheetName val="Compressed_Air20"/>
      <sheetName val="Dosing_Calcs20"/>
      <sheetName val="BW_&amp;_Neut_Pit20"/>
      <sheetName val="Cable_data19"/>
      <sheetName val="T_-_FDn19"/>
      <sheetName val="PRECAST_lightconc-II19"/>
      <sheetName val="dpc_cost19"/>
      <sheetName val="Staff_Acco_19"/>
      <sheetName val="Fin_Sum19"/>
      <sheetName val="LEVEL_RHS19"/>
      <sheetName val="LEVEL_LHS19"/>
      <sheetName val="400KV_short_circuit_force_cal19"/>
      <sheetName val="regions_&amp;_PL19"/>
      <sheetName val="Basic_input19"/>
      <sheetName val="Load_Details-220kV19"/>
      <sheetName val="Summary_Rates_From_Contract19"/>
      <sheetName val="3_Go&amp;Get_Eval_19"/>
      <sheetName val="6_2_Cover19"/>
      <sheetName val="P_&amp;_L_19"/>
      <sheetName val="Main_Bs19"/>
      <sheetName val="Rate_Analysis13"/>
      <sheetName val="General_input13"/>
      <sheetName val="Basic_Rates13"/>
      <sheetName val="HO_Costs13"/>
      <sheetName val="97_사업추정(WEKI)13"/>
      <sheetName val="water_prop_13"/>
      <sheetName val="JCR_TOP(ITEM)-KTRP13"/>
      <sheetName val="Basic_Data13"/>
      <sheetName val="Harga_Satuan_&amp;_Upah13"/>
      <sheetName val="Cond_data25"/>
      <sheetName val="except_wiring25"/>
      <sheetName val="220KV_CS25"/>
      <sheetName val="step_&amp;_touch_25"/>
      <sheetName val="Conductor_Size22"/>
      <sheetName val="Discom_Details22"/>
      <sheetName val="M_S_22"/>
      <sheetName val="BOQ_(2)21"/>
      <sheetName val="3BPA00132-5-3_W_plan_HVPNL22"/>
      <sheetName val="DETAILED__BOQ22"/>
      <sheetName val="Attach-3_(QR)22"/>
      <sheetName val="Vind_-_BtB21"/>
      <sheetName val="Civil_Works21"/>
      <sheetName val="TBAL9697_-group_wise__sdpl21"/>
      <sheetName val="May_Budget21"/>
      <sheetName val="May_Actual21"/>
      <sheetName val="Supply_info21"/>
      <sheetName val="Compressed_Air21"/>
      <sheetName val="Dosing_Calcs21"/>
      <sheetName val="BW_&amp;_Neut_Pit21"/>
      <sheetName val="Cable_data20"/>
      <sheetName val="T_-_FDn20"/>
      <sheetName val="PRECAST_lightconc-II20"/>
      <sheetName val="dpc_cost20"/>
      <sheetName val="Staff_Acco_20"/>
      <sheetName val="Fin_Sum20"/>
      <sheetName val="LEVEL_RHS20"/>
      <sheetName val="LEVEL_LHS20"/>
      <sheetName val="400KV_short_circuit_force_cal20"/>
      <sheetName val="regions_&amp;_PL20"/>
      <sheetName val="Basic_input20"/>
      <sheetName val="Load_Details-220kV20"/>
      <sheetName val="Summary_Rates_From_Contract20"/>
      <sheetName val="3_Go&amp;Get_Eval_20"/>
      <sheetName val="6_2_Cover20"/>
      <sheetName val="P_&amp;_L_20"/>
      <sheetName val="Main_Bs20"/>
      <sheetName val="Rate_Analysis14"/>
      <sheetName val="General_input14"/>
      <sheetName val="Basic_Rates14"/>
      <sheetName val="HO_Costs14"/>
      <sheetName val="97_사업추정(WEKI)14"/>
      <sheetName val="water_prop_14"/>
      <sheetName val="JCR_TOP(ITEM)-KTRP14"/>
      <sheetName val="Basic_Data14"/>
      <sheetName val="Harga_Satuan_&amp;_Upah14"/>
      <sheetName val="Cond_data26"/>
      <sheetName val="except_wiring26"/>
      <sheetName val="220KV_CS26"/>
      <sheetName val="step_&amp;_touch_26"/>
      <sheetName val="Conductor_Size23"/>
      <sheetName val="Discom_Details23"/>
      <sheetName val="M_S_23"/>
      <sheetName val="BOQ_(2)22"/>
      <sheetName val="3BPA00132-5-3_W_plan_HVPNL23"/>
      <sheetName val="DETAILED__BOQ23"/>
      <sheetName val="Attach-3_(QR)23"/>
      <sheetName val="Vind_-_BtB22"/>
      <sheetName val="Civil_Works22"/>
      <sheetName val="TBAL9697_-group_wise__sdpl22"/>
      <sheetName val="May_Budget22"/>
      <sheetName val="May_Actual22"/>
      <sheetName val="Supply_info22"/>
      <sheetName val="Compressed_Air22"/>
      <sheetName val="Dosing_Calcs22"/>
      <sheetName val="BW_&amp;_Neut_Pit22"/>
      <sheetName val="Cable_data21"/>
      <sheetName val="T_-_FDn21"/>
      <sheetName val="PRECAST_lightconc-II21"/>
      <sheetName val="dpc_cost21"/>
      <sheetName val="Staff_Acco_21"/>
      <sheetName val="Fin_Sum21"/>
      <sheetName val="LEVEL_RHS21"/>
      <sheetName val="LEVEL_LHS21"/>
      <sheetName val="400KV_short_circuit_force_cal21"/>
      <sheetName val="regions_&amp;_PL21"/>
      <sheetName val="Basic_input21"/>
      <sheetName val="Load_Details-220kV21"/>
      <sheetName val="Summary_Rates_From_Contract21"/>
      <sheetName val="3_Go&amp;Get_Eval_21"/>
      <sheetName val="6_2_Cover21"/>
      <sheetName val="P_&amp;_L_21"/>
      <sheetName val="Main_Bs21"/>
      <sheetName val="Rate_Analysis15"/>
      <sheetName val="General_input15"/>
      <sheetName val="Basic_Rates15"/>
      <sheetName val="HO_Costs15"/>
      <sheetName val="97_사업추정(WEKI)15"/>
      <sheetName val="water_prop_15"/>
      <sheetName val="JCR_TOP(ITEM)-KTRP15"/>
      <sheetName val="Basic_Data15"/>
      <sheetName val="Harga_Satuan_&amp;_Upah15"/>
      <sheetName val="Cond_data29"/>
      <sheetName val="except_wiring29"/>
      <sheetName val="220KV_CS29"/>
      <sheetName val="step_&amp;_touch_29"/>
      <sheetName val="Conductor_Size26"/>
      <sheetName val="Discom_Details26"/>
      <sheetName val="M_S_26"/>
      <sheetName val="BOQ_(2)25"/>
      <sheetName val="3BPA00132-5-3_W_plan_HVPNL26"/>
      <sheetName val="DETAILED__BOQ26"/>
      <sheetName val="Attach-3_(QR)26"/>
      <sheetName val="Vind_-_BtB25"/>
      <sheetName val="Civil_Works25"/>
      <sheetName val="TBAL9697_-group_wise__sdpl25"/>
      <sheetName val="May_Budget25"/>
      <sheetName val="May_Actual25"/>
      <sheetName val="Supply_info25"/>
      <sheetName val="Compressed_Air25"/>
      <sheetName val="Dosing_Calcs25"/>
      <sheetName val="BW_&amp;_Neut_Pit25"/>
      <sheetName val="Cable_data24"/>
      <sheetName val="T_-_FDn24"/>
      <sheetName val="PRECAST_lightconc-II24"/>
      <sheetName val="dpc_cost24"/>
      <sheetName val="Staff_Acco_24"/>
      <sheetName val="Fin_Sum24"/>
      <sheetName val="LEVEL_RHS24"/>
      <sheetName val="LEVEL_LHS24"/>
      <sheetName val="400KV_short_circuit_force_cal24"/>
      <sheetName val="regions_&amp;_PL24"/>
      <sheetName val="Basic_input24"/>
      <sheetName val="Load_Details-220kV24"/>
      <sheetName val="Summary_Rates_From_Contract24"/>
      <sheetName val="3_Go&amp;Get_Eval_24"/>
      <sheetName val="6_2_Cover24"/>
      <sheetName val="P_&amp;_L_24"/>
      <sheetName val="Main_Bs24"/>
      <sheetName val="Rate_Analysis18"/>
      <sheetName val="General_input18"/>
      <sheetName val="Basic_Rates18"/>
      <sheetName val="HO_Costs18"/>
      <sheetName val="97_사업추정(WEKI)18"/>
      <sheetName val="water_prop_18"/>
      <sheetName val="JCR_TOP(ITEM)-KTRP18"/>
      <sheetName val="Basic_Data18"/>
      <sheetName val="Harga_Satuan_&amp;_Upah18"/>
      <sheetName val="Cond_data32"/>
      <sheetName val="except_wiring32"/>
      <sheetName val="220KV_CS32"/>
      <sheetName val="step_&amp;_touch_32"/>
      <sheetName val="Conductor_Size29"/>
      <sheetName val="Discom_Details29"/>
      <sheetName val="M_S_29"/>
      <sheetName val="BOQ_(2)28"/>
      <sheetName val="3BPA00132-5-3_W_plan_HVPNL29"/>
      <sheetName val="DETAILED__BOQ29"/>
      <sheetName val="Attach-3_(QR)29"/>
      <sheetName val="Vind_-_BtB28"/>
      <sheetName val="Civil_Works28"/>
      <sheetName val="TBAL9697_-group_wise__sdpl28"/>
      <sheetName val="May_Budget28"/>
      <sheetName val="May_Actual28"/>
      <sheetName val="Supply_info28"/>
      <sheetName val="Compressed_Air28"/>
      <sheetName val="Dosing_Calcs28"/>
      <sheetName val="BW_&amp;_Neut_Pit28"/>
      <sheetName val="Cable_data27"/>
      <sheetName val="T_-_FDn27"/>
      <sheetName val="PRECAST_lightconc-II27"/>
      <sheetName val="dpc_cost27"/>
      <sheetName val="Staff_Acco_27"/>
      <sheetName val="Fin_Sum27"/>
      <sheetName val="LEVEL_RHS27"/>
      <sheetName val="LEVEL_LHS27"/>
      <sheetName val="400KV_short_circuit_force_cal27"/>
      <sheetName val="regions_&amp;_PL27"/>
      <sheetName val="Basic_input27"/>
      <sheetName val="Load_Details-220kV27"/>
      <sheetName val="Summary_Rates_From_Contract27"/>
      <sheetName val="3_Go&amp;Get_Eval_27"/>
      <sheetName val="6_2_Cover27"/>
      <sheetName val="P_&amp;_L_27"/>
      <sheetName val="Main_Bs27"/>
      <sheetName val="Rate_Analysis21"/>
      <sheetName val="General_input21"/>
      <sheetName val="Basic_Rates21"/>
      <sheetName val="HO_Costs21"/>
      <sheetName val="97_사업추정(WEKI)21"/>
      <sheetName val="water_prop_21"/>
      <sheetName val="JCR_TOP(ITEM)-KTRP21"/>
      <sheetName val="Basic_Data21"/>
      <sheetName val="Harga_Satuan_&amp;_Upah21"/>
      <sheetName val="Cond_data30"/>
      <sheetName val="except_wiring30"/>
      <sheetName val="220KV_CS30"/>
      <sheetName val="step_&amp;_touch_30"/>
      <sheetName val="Conductor_Size27"/>
      <sheetName val="Discom_Details27"/>
      <sheetName val="M_S_27"/>
      <sheetName val="BOQ_(2)26"/>
      <sheetName val="3BPA00132-5-3_W_plan_HVPNL27"/>
      <sheetName val="DETAILED__BOQ27"/>
      <sheetName val="Attach-3_(QR)27"/>
      <sheetName val="Vind_-_BtB26"/>
      <sheetName val="Civil_Works26"/>
      <sheetName val="TBAL9697_-group_wise__sdpl26"/>
      <sheetName val="May_Budget26"/>
      <sheetName val="May_Actual26"/>
      <sheetName val="Supply_info26"/>
      <sheetName val="Compressed_Air26"/>
      <sheetName val="Dosing_Calcs26"/>
      <sheetName val="BW_&amp;_Neut_Pit26"/>
      <sheetName val="Cable_data25"/>
      <sheetName val="T_-_FDn25"/>
      <sheetName val="PRECAST_lightconc-II25"/>
      <sheetName val="dpc_cost25"/>
      <sheetName val="Staff_Acco_25"/>
      <sheetName val="Fin_Sum25"/>
      <sheetName val="LEVEL_RHS25"/>
      <sheetName val="LEVEL_LHS25"/>
      <sheetName val="400KV_short_circuit_force_cal25"/>
      <sheetName val="regions_&amp;_PL25"/>
      <sheetName val="Basic_input25"/>
      <sheetName val="Load_Details-220kV25"/>
      <sheetName val="Summary_Rates_From_Contract25"/>
      <sheetName val="3_Go&amp;Get_Eval_25"/>
      <sheetName val="6_2_Cover25"/>
      <sheetName val="P_&amp;_L_25"/>
      <sheetName val="Main_Bs25"/>
      <sheetName val="Rate_Analysis19"/>
      <sheetName val="General_input19"/>
      <sheetName val="Basic_Rates19"/>
      <sheetName val="HO_Costs19"/>
      <sheetName val="97_사업추정(WEKI)19"/>
      <sheetName val="water_prop_19"/>
      <sheetName val="JCR_TOP(ITEM)-KTRP19"/>
      <sheetName val="Basic_Data19"/>
      <sheetName val="Harga_Satuan_&amp;_Upah19"/>
      <sheetName val="Cond_data31"/>
      <sheetName val="except_wiring31"/>
      <sheetName val="220KV_CS31"/>
      <sheetName val="step_&amp;_touch_31"/>
      <sheetName val="Conductor_Size28"/>
      <sheetName val="Discom_Details28"/>
      <sheetName val="M_S_28"/>
      <sheetName val="BOQ_(2)27"/>
      <sheetName val="3BPA00132-5-3_W_plan_HVPNL28"/>
      <sheetName val="DETAILED__BOQ28"/>
      <sheetName val="Attach-3_(QR)28"/>
      <sheetName val="Vind_-_BtB27"/>
      <sheetName val="Civil_Works27"/>
      <sheetName val="TBAL9697_-group_wise__sdpl27"/>
      <sheetName val="May_Budget27"/>
      <sheetName val="May_Actual27"/>
      <sheetName val="Supply_info27"/>
      <sheetName val="Compressed_Air27"/>
      <sheetName val="Dosing_Calcs27"/>
      <sheetName val="BW_&amp;_Neut_Pit27"/>
      <sheetName val="Cable_data26"/>
      <sheetName val="T_-_FDn26"/>
      <sheetName val="PRECAST_lightconc-II26"/>
      <sheetName val="dpc_cost26"/>
      <sheetName val="Staff_Acco_26"/>
      <sheetName val="Fin_Sum26"/>
      <sheetName val="LEVEL_RHS26"/>
      <sheetName val="LEVEL_LHS26"/>
      <sheetName val="400KV_short_circuit_force_cal26"/>
      <sheetName val="regions_&amp;_PL26"/>
      <sheetName val="Basic_input26"/>
      <sheetName val="Load_Details-220kV26"/>
      <sheetName val="Summary_Rates_From_Contract26"/>
      <sheetName val="3_Go&amp;Get_Eval_26"/>
      <sheetName val="6_2_Cover26"/>
      <sheetName val="P_&amp;_L_26"/>
      <sheetName val="Main_Bs26"/>
      <sheetName val="Rate_Analysis20"/>
      <sheetName val="General_input20"/>
      <sheetName val="Basic_Rates20"/>
      <sheetName val="HO_Costs20"/>
      <sheetName val="97_사업추정(WEKI)20"/>
      <sheetName val="water_prop_20"/>
      <sheetName val="JCR_TOP(ITEM)-KTRP20"/>
      <sheetName val="Basic_Data20"/>
      <sheetName val="Harga_Satuan_&amp;_Upah20"/>
      <sheetName val="CFForecast_detail2"/>
      <sheetName val="220_11__BS_2"/>
      <sheetName val="Intro_3"/>
      <sheetName val="電気設備表"/>
      <sheetName val="Intro_"/>
      <sheetName val="General_Items2"/>
      <sheetName val="Core_Eqpt2"/>
      <sheetName val="New_Home2"/>
      <sheetName val=""/>
      <sheetName val="Intro_1"/>
      <sheetName val="220_11__BS_"/>
      <sheetName val="CFForecast_detail"/>
      <sheetName val="General_Items"/>
      <sheetName val="Core_Eqpt"/>
      <sheetName val="New_Home"/>
      <sheetName val="CFForecast_detail1"/>
      <sheetName val="220_11__BS_1"/>
      <sheetName val="Intro_2"/>
      <sheetName val="General_Items1"/>
      <sheetName val="Core_Eqpt1"/>
      <sheetName val="New_Home1"/>
      <sheetName val="Cond_data33"/>
      <sheetName val="except_wiring33"/>
      <sheetName val="220KV_CS33"/>
      <sheetName val="step_&amp;_touch_33"/>
      <sheetName val="Conductor_Size30"/>
      <sheetName val="Discom_Details30"/>
      <sheetName val="M_S_30"/>
      <sheetName val="BOQ_(2)29"/>
      <sheetName val="3BPA00132-5-3_W_plan_HVPNL30"/>
      <sheetName val="DETAILED__BOQ30"/>
      <sheetName val="Attach-3_(QR)30"/>
      <sheetName val="Vind_-_BtB29"/>
      <sheetName val="Civil_Works29"/>
      <sheetName val="TBAL9697_-group_wise__sdpl29"/>
      <sheetName val="May_Budget29"/>
      <sheetName val="May_Actual29"/>
      <sheetName val="Supply_info29"/>
      <sheetName val="Compressed_Air29"/>
      <sheetName val="Dosing_Calcs29"/>
      <sheetName val="BW_&amp;_Neut_Pit29"/>
      <sheetName val="Cable_data28"/>
      <sheetName val="T_-_FDn28"/>
      <sheetName val="PRECAST_lightconc-II28"/>
      <sheetName val="dpc_cost28"/>
      <sheetName val="Staff_Acco_28"/>
      <sheetName val="Fin_Sum28"/>
      <sheetName val="LEVEL_RHS28"/>
      <sheetName val="LEVEL_LHS28"/>
      <sheetName val="400KV_short_circuit_force_cal28"/>
      <sheetName val="regions_&amp;_PL28"/>
      <sheetName val="Basic_input28"/>
      <sheetName val="Load_Details-220kV28"/>
      <sheetName val="Summary_Rates_From_Contract28"/>
      <sheetName val="3_Go&amp;Get_Eval_28"/>
      <sheetName val="6_2_Cover28"/>
      <sheetName val="P_&amp;_L_28"/>
      <sheetName val="Main_Bs28"/>
      <sheetName val="Rate_Analysis22"/>
      <sheetName val="General_input22"/>
      <sheetName val="Basic_Rates22"/>
      <sheetName val="HO_Costs22"/>
      <sheetName val="97_사업추정(WEKI)22"/>
      <sheetName val="water_prop_22"/>
      <sheetName val="JCR_TOP(ITEM)-KTRP22"/>
      <sheetName val="Basic_Data22"/>
      <sheetName val="Harga_Satuan_&amp;_Upah22"/>
      <sheetName val="Break_Down__2"/>
      <sheetName val="Rate_Contract"/>
      <sheetName val="Intro_4"/>
      <sheetName val="Consultant_Qty-with_Pile"/>
      <sheetName val="FDn_Wet"/>
      <sheetName val="Tower_Erection"/>
      <sheetName val="Scheme_Area_Details_Block___C2"/>
      <sheetName val="General_Items3"/>
      <sheetName val="Core_Eqpt3"/>
      <sheetName val="New_Home3"/>
      <sheetName val="220_11__BS_3"/>
      <sheetName val="CFForecast_detail3"/>
      <sheetName val="Basement_Budget"/>
      <sheetName val="A-2_blcok_work_Res_"/>
      <sheetName val="05_Ar_&amp;_St"/>
      <sheetName val="Labour_Expenses"/>
      <sheetName val="Plant_&amp;_Machinery"/>
      <sheetName val="Staff_Expenses"/>
      <sheetName val="Provident_Fund_&amp;_Other_Funds"/>
      <sheetName val="Welfare_Expenses"/>
      <sheetName val="Water_and_Power"/>
      <sheetName val="Packing_&amp;_Forwarding"/>
      <sheetName val="Travelling_Expenses"/>
      <sheetName val="Conveyance_Expenses"/>
      <sheetName val="Insurance_Charges"/>
      <sheetName val="Bank_Charges"/>
      <sheetName val="Post_&amp;_Telegraph_Charges"/>
      <sheetName val="Printing_&amp;_Stationery_Expenses"/>
      <sheetName val="Repair_&amp;_Maintenance"/>
      <sheetName val="Sundries_-_Misc_Expenses"/>
      <sheetName val="Temporary_Struc_&amp;_Installation"/>
      <sheetName val="Professional_Fees"/>
      <sheetName val="Hire_&amp;_Rental_Charges"/>
      <sheetName val="Abstract_IDC"/>
      <sheetName val="Architecture_BOQ"/>
      <sheetName val="External_works_BOQ"/>
      <sheetName val="Structure_BOQ"/>
      <sheetName val="Material_Rates"/>
      <sheetName val="Min_Wages"/>
      <sheetName val="LCS_SCHEDULE_"/>
      <sheetName val="Wall_W3"/>
      <sheetName val="Plant_&amp;__Machinery"/>
      <sheetName val="Basic_Rate"/>
      <sheetName val="S_&amp;_A"/>
      <sheetName val="beam-reinft-IIInd_floor"/>
      <sheetName val="X_rate"/>
      <sheetName val="labour_rates"/>
      <sheetName val="Block_A_-_BOQ"/>
      <sheetName val="Cond_data34"/>
      <sheetName val="except_wiring34"/>
      <sheetName val="220KV_CS34"/>
      <sheetName val="step_&amp;_touch_34"/>
      <sheetName val="Conductor_Size31"/>
      <sheetName val="Discom_Details31"/>
      <sheetName val="M_S_31"/>
      <sheetName val="BOQ_(2)30"/>
      <sheetName val="3BPA00132-5-3_W_plan_HVPNL31"/>
      <sheetName val="DETAILED__BOQ31"/>
      <sheetName val="Attach-3_(QR)31"/>
      <sheetName val="Vind_-_BtB30"/>
      <sheetName val="Civil_Works30"/>
      <sheetName val="TBAL9697_-group_wise__sdpl30"/>
      <sheetName val="May_Budget30"/>
      <sheetName val="May_Actual30"/>
      <sheetName val="Supply_info30"/>
      <sheetName val="Compressed_Air30"/>
      <sheetName val="Dosing_Calcs30"/>
      <sheetName val="BW_&amp;_Neut_Pit30"/>
      <sheetName val="Cable_data29"/>
      <sheetName val="T_-_FDn29"/>
      <sheetName val="PRECAST_lightconc-II29"/>
      <sheetName val="dpc_cost29"/>
      <sheetName val="Staff_Acco_29"/>
      <sheetName val="Fin_Sum29"/>
      <sheetName val="LEVEL_RHS29"/>
      <sheetName val="LEVEL_LHS29"/>
      <sheetName val="400KV_short_circuit_force_cal29"/>
      <sheetName val="regions_&amp;_PL29"/>
      <sheetName val="Basic_input29"/>
      <sheetName val="Load_Details-220kV29"/>
      <sheetName val="Summary_Rates_From_Contract29"/>
      <sheetName val="3_Go&amp;Get_Eval_29"/>
      <sheetName val="6_2_Cover29"/>
      <sheetName val="P_&amp;_L_29"/>
      <sheetName val="Main_Bs29"/>
      <sheetName val="Rate_Analysis23"/>
      <sheetName val="General_input23"/>
      <sheetName val="Basic_Rates23"/>
      <sheetName val="HO_Costs23"/>
      <sheetName val="97_사업추정(WEKI)23"/>
      <sheetName val="water_prop_23"/>
      <sheetName val="JCR_TOP(ITEM)-KTRP23"/>
      <sheetName val="Basic_Data23"/>
      <sheetName val="Harga_Satuan_&amp;_Upah23"/>
      <sheetName val="Break_Down__3"/>
      <sheetName val="Rate_Contract1"/>
      <sheetName val="Intro_5"/>
      <sheetName val="Consultant_Qty-with_Pile1"/>
      <sheetName val="FDn_Wet1"/>
      <sheetName val="Tower_Erection1"/>
      <sheetName val="Scheme_Area_Details_Block___C21"/>
      <sheetName val="General_Items4"/>
      <sheetName val="Core_Eqpt4"/>
      <sheetName val="New_Home4"/>
      <sheetName val="220_11__BS_4"/>
      <sheetName val="CFForecast_detail4"/>
      <sheetName val="Basement_Budget1"/>
      <sheetName val="A-2_blcok_work_Res_1"/>
      <sheetName val="05_Ar_&amp;_St1"/>
      <sheetName val="Labour_Expenses1"/>
      <sheetName val="Plant_&amp;_Machinery1"/>
      <sheetName val="Staff_Expenses1"/>
      <sheetName val="Provident_Fund_&amp;_Other_Funds1"/>
      <sheetName val="Welfare_Expenses1"/>
      <sheetName val="Water_and_Power1"/>
      <sheetName val="Packing_&amp;_Forwarding1"/>
      <sheetName val="Travelling_Expenses1"/>
      <sheetName val="Conveyance_Expenses1"/>
      <sheetName val="Insurance_Charges1"/>
      <sheetName val="Bank_Charges1"/>
      <sheetName val="Post_&amp;_Telegraph_Charges1"/>
      <sheetName val="Printing_&amp;_Stationery_Expenses1"/>
      <sheetName val="Repair_&amp;_Maintenance1"/>
      <sheetName val="Sundries_-_Misc_Expenses1"/>
      <sheetName val="Temporary_Struc_&amp;_Installation1"/>
      <sheetName val="Professional_Fees1"/>
      <sheetName val="Hire_&amp;_Rental_Charges1"/>
      <sheetName val="Abstract_IDC1"/>
      <sheetName val="Architecture_BOQ1"/>
      <sheetName val="External_works_BOQ1"/>
      <sheetName val="Structure_BOQ1"/>
      <sheetName val="Material_Rates1"/>
      <sheetName val="Min_Wages1"/>
      <sheetName val="LCS_SCHEDULE_1"/>
      <sheetName val="Wall_W31"/>
      <sheetName val="Plant_&amp;__Machinery1"/>
      <sheetName val="Basic_Rate1"/>
      <sheetName val="S_&amp;_A1"/>
      <sheetName val="beam-reinft-IIInd_floor1"/>
      <sheetName val="X_rate1"/>
      <sheetName val="labour_rates1"/>
      <sheetName val="Block_A_-_BOQ1"/>
      <sheetName val="Cond_data35"/>
      <sheetName val="except_wiring35"/>
      <sheetName val="220KV_CS35"/>
      <sheetName val="step_&amp;_touch_35"/>
      <sheetName val="Conductor_Size32"/>
      <sheetName val="Discom_Details32"/>
      <sheetName val="M_S_32"/>
      <sheetName val="BOQ_(2)31"/>
      <sheetName val="3BPA00132-5-3_W_plan_HVPNL32"/>
      <sheetName val="DETAILED__BOQ32"/>
      <sheetName val="Attach-3_(QR)32"/>
      <sheetName val="Vind_-_BtB31"/>
      <sheetName val="Civil_Works31"/>
      <sheetName val="TBAL9697_-group_wise__sdpl31"/>
      <sheetName val="May_Budget31"/>
      <sheetName val="May_Actual31"/>
      <sheetName val="Supply_info31"/>
      <sheetName val="Compressed_Air31"/>
      <sheetName val="Dosing_Calcs31"/>
      <sheetName val="BW_&amp;_Neut_Pit31"/>
      <sheetName val="Cable_data30"/>
      <sheetName val="T_-_FDn30"/>
      <sheetName val="PRECAST_lightconc-II30"/>
      <sheetName val="dpc_cost30"/>
      <sheetName val="Staff_Acco_30"/>
      <sheetName val="Fin_Sum30"/>
      <sheetName val="LEVEL_RHS30"/>
      <sheetName val="LEVEL_LHS30"/>
      <sheetName val="400KV_short_circuit_force_cal30"/>
      <sheetName val="regions_&amp;_PL30"/>
      <sheetName val="Basic_input30"/>
      <sheetName val="Load_Details-220kV30"/>
      <sheetName val="Summary_Rates_From_Contract30"/>
      <sheetName val="3_Go&amp;Get_Eval_30"/>
      <sheetName val="6_2_Cover30"/>
      <sheetName val="P_&amp;_L_30"/>
      <sheetName val="Main_Bs30"/>
      <sheetName val="Rate_Analysis24"/>
      <sheetName val="General_input24"/>
      <sheetName val="Basic_Rates24"/>
      <sheetName val="HO_Costs24"/>
      <sheetName val="97_사업추정(WEKI)24"/>
      <sheetName val="water_prop_24"/>
      <sheetName val="JCR_TOP(ITEM)-KTRP24"/>
      <sheetName val="Basic_Data24"/>
      <sheetName val="Harga_Satuan_&amp;_Upah24"/>
      <sheetName val="Break_Down__4"/>
      <sheetName val="Rate_Contract2"/>
      <sheetName val="Intro_6"/>
      <sheetName val="Consultant_Qty-with_Pile2"/>
      <sheetName val="FDn_Wet2"/>
      <sheetName val="Tower_Erection2"/>
      <sheetName val="Scheme_Area_Details_Block___C22"/>
      <sheetName val="General_Items5"/>
      <sheetName val="Core_Eqpt5"/>
      <sheetName val="New_Home5"/>
      <sheetName val="220_11__BS_5"/>
      <sheetName val="CFForecast_detail5"/>
      <sheetName val="Basement_Budget2"/>
      <sheetName val="A-2_blcok_work_Res_2"/>
      <sheetName val="05_Ar_&amp;_St2"/>
      <sheetName val="Labour_Expenses2"/>
      <sheetName val="Plant_&amp;_Machinery2"/>
      <sheetName val="Staff_Expenses2"/>
      <sheetName val="Provident_Fund_&amp;_Other_Funds2"/>
      <sheetName val="Welfare_Expenses2"/>
      <sheetName val="Water_and_Power2"/>
      <sheetName val="Packing_&amp;_Forwarding2"/>
      <sheetName val="Travelling_Expenses2"/>
      <sheetName val="Conveyance_Expenses2"/>
      <sheetName val="Insurance_Charges2"/>
      <sheetName val="Bank_Charges2"/>
      <sheetName val="Post_&amp;_Telegraph_Charges2"/>
      <sheetName val="Printing_&amp;_Stationery_Expenses2"/>
      <sheetName val="Repair_&amp;_Maintenance2"/>
      <sheetName val="Sundries_-_Misc_Expenses2"/>
      <sheetName val="Temporary_Struc_&amp;_Installation2"/>
      <sheetName val="Professional_Fees2"/>
      <sheetName val="Hire_&amp;_Rental_Charges2"/>
      <sheetName val="Abstract_IDC2"/>
      <sheetName val="Architecture_BOQ2"/>
      <sheetName val="External_works_BOQ2"/>
      <sheetName val="Structure_BOQ2"/>
      <sheetName val="Material_Rates2"/>
      <sheetName val="Min_Wages2"/>
      <sheetName val="LCS_SCHEDULE_2"/>
      <sheetName val="Wall_W32"/>
      <sheetName val="Plant_&amp;__Machinery2"/>
      <sheetName val="Basic_Rate2"/>
      <sheetName val="S_&amp;_A2"/>
      <sheetName val="beam-reinft-IIInd_floor2"/>
      <sheetName val="X_rate2"/>
      <sheetName val="labour_rates2"/>
      <sheetName val="Block_A_-_BOQ2"/>
      <sheetName val="Cond_data36"/>
      <sheetName val="except_wiring36"/>
      <sheetName val="220KV_CS36"/>
      <sheetName val="step_&amp;_touch_36"/>
      <sheetName val="Conductor_Size33"/>
      <sheetName val="Discom_Details33"/>
      <sheetName val="M_S_33"/>
      <sheetName val="BOQ_(2)32"/>
      <sheetName val="3BPA00132-5-3_W_plan_HVPNL33"/>
      <sheetName val="DETAILED__BOQ33"/>
      <sheetName val="Attach-3_(QR)33"/>
      <sheetName val="Vind_-_BtB32"/>
      <sheetName val="Civil_Works32"/>
      <sheetName val="TBAL9697_-group_wise__sdpl32"/>
      <sheetName val="May_Budget32"/>
      <sheetName val="May_Actual32"/>
      <sheetName val="Supply_info32"/>
      <sheetName val="Compressed_Air32"/>
      <sheetName val="Dosing_Calcs32"/>
      <sheetName val="BW_&amp;_Neut_Pit32"/>
      <sheetName val="Cable_data31"/>
      <sheetName val="T_-_FDn31"/>
      <sheetName val="PRECAST_lightconc-II31"/>
      <sheetName val="dpc_cost31"/>
      <sheetName val="Staff_Acco_31"/>
      <sheetName val="Fin_Sum31"/>
      <sheetName val="LEVEL_RHS31"/>
      <sheetName val="LEVEL_LHS31"/>
      <sheetName val="400KV_short_circuit_force_cal31"/>
      <sheetName val="regions_&amp;_PL31"/>
      <sheetName val="Basic_input31"/>
      <sheetName val="Load_Details-220kV31"/>
      <sheetName val="Summary_Rates_From_Contract31"/>
      <sheetName val="3_Go&amp;Get_Eval_31"/>
      <sheetName val="6_2_Cover31"/>
      <sheetName val="P_&amp;_L_31"/>
      <sheetName val="Main_Bs31"/>
      <sheetName val="Rate_Analysis25"/>
      <sheetName val="General_input25"/>
      <sheetName val="Basic_Rates25"/>
      <sheetName val="HO_Costs25"/>
      <sheetName val="97_사업추정(WEKI)25"/>
      <sheetName val="water_prop_25"/>
      <sheetName val="JCR_TOP(ITEM)-KTRP25"/>
      <sheetName val="Basic_Data25"/>
      <sheetName val="Harga_Satuan_&amp;_Upah25"/>
      <sheetName val="Break_Down__5"/>
      <sheetName val="Rate_Contract3"/>
      <sheetName val="Intro_7"/>
      <sheetName val="Consultant_Qty-with_Pile3"/>
      <sheetName val="FDn_Wet3"/>
      <sheetName val="Tower_Erection3"/>
      <sheetName val="Scheme_Area_Details_Block___C23"/>
      <sheetName val="General_Items6"/>
      <sheetName val="Core_Eqpt6"/>
      <sheetName val="New_Home6"/>
      <sheetName val="220_11__BS_6"/>
      <sheetName val="CFForecast_detail6"/>
      <sheetName val="Basement_Budget3"/>
      <sheetName val="A-2_blcok_work_Res_3"/>
      <sheetName val="05_Ar_&amp;_St3"/>
      <sheetName val="Labour_Expenses3"/>
      <sheetName val="Plant_&amp;_Machinery3"/>
      <sheetName val="Staff_Expenses3"/>
      <sheetName val="Provident_Fund_&amp;_Other_Funds3"/>
      <sheetName val="Welfare_Expenses3"/>
      <sheetName val="Water_and_Power3"/>
      <sheetName val="Packing_&amp;_Forwarding3"/>
      <sheetName val="Travelling_Expenses3"/>
      <sheetName val="Conveyance_Expenses3"/>
      <sheetName val="Insurance_Charges3"/>
      <sheetName val="Bank_Charges3"/>
      <sheetName val="Post_&amp;_Telegraph_Charges3"/>
      <sheetName val="Printing_&amp;_Stationery_Expenses3"/>
      <sheetName val="Repair_&amp;_Maintenance3"/>
      <sheetName val="Sundries_-_Misc_Expenses3"/>
      <sheetName val="Temporary_Struc_&amp;_Installation3"/>
      <sheetName val="Professional_Fees3"/>
      <sheetName val="Hire_&amp;_Rental_Charges3"/>
      <sheetName val="Abstract_IDC3"/>
      <sheetName val="Architecture_BOQ3"/>
      <sheetName val="External_works_BOQ3"/>
      <sheetName val="Structure_BOQ3"/>
      <sheetName val="Material_Rates3"/>
      <sheetName val="Min_Wages3"/>
      <sheetName val="LCS_SCHEDULE_3"/>
      <sheetName val="Wall_W33"/>
      <sheetName val="Plant_&amp;__Machinery3"/>
      <sheetName val="Basic_Rate3"/>
      <sheetName val="S_&amp;_A3"/>
      <sheetName val="beam-reinft-IIInd_floor3"/>
      <sheetName val="X_rate3"/>
      <sheetName val="labour_rates3"/>
      <sheetName val="Block_A_-_BOQ3"/>
      <sheetName val="Cond_data37"/>
      <sheetName val="except_wiring37"/>
      <sheetName val="220KV_CS37"/>
      <sheetName val="step_&amp;_touch_37"/>
      <sheetName val="Conductor_Size34"/>
      <sheetName val="Discom_Details34"/>
      <sheetName val="M_S_34"/>
      <sheetName val="BOQ_(2)33"/>
      <sheetName val="3BPA00132-5-3_W_plan_HVPNL34"/>
      <sheetName val="DETAILED__BOQ34"/>
      <sheetName val="Attach-3_(QR)34"/>
      <sheetName val="Vind_-_BtB33"/>
      <sheetName val="Civil_Works33"/>
      <sheetName val="TBAL9697_-group_wise__sdpl33"/>
      <sheetName val="May_Budget33"/>
      <sheetName val="May_Actual33"/>
      <sheetName val="Supply_info33"/>
      <sheetName val="Compressed_Air33"/>
      <sheetName val="Dosing_Calcs33"/>
      <sheetName val="BW_&amp;_Neut_Pit33"/>
      <sheetName val="Cable_data32"/>
      <sheetName val="T_-_FDn32"/>
      <sheetName val="PRECAST_lightconc-II32"/>
      <sheetName val="dpc_cost32"/>
      <sheetName val="Staff_Acco_32"/>
      <sheetName val="Fin_Sum32"/>
      <sheetName val="LEVEL_RHS32"/>
      <sheetName val="LEVEL_LHS32"/>
      <sheetName val="400KV_short_circuit_force_cal32"/>
      <sheetName val="regions_&amp;_PL32"/>
      <sheetName val="Basic_input32"/>
      <sheetName val="Load_Details-220kV32"/>
      <sheetName val="Summary_Rates_From_Contract32"/>
      <sheetName val="3_Go&amp;Get_Eval_32"/>
      <sheetName val="6_2_Cover32"/>
      <sheetName val="P_&amp;_L_32"/>
      <sheetName val="Main_Bs32"/>
      <sheetName val="Rate_Analysis26"/>
      <sheetName val="General_input26"/>
      <sheetName val="Basic_Rates26"/>
      <sheetName val="HO_Costs26"/>
      <sheetName val="97_사업추정(WEKI)26"/>
      <sheetName val="water_prop_26"/>
      <sheetName val="JCR_TOP(ITEM)-KTRP26"/>
      <sheetName val="Basic_Data26"/>
      <sheetName val="Harga_Satuan_&amp;_Upah26"/>
      <sheetName val="Break_Down__6"/>
      <sheetName val="Rate_Contract4"/>
      <sheetName val="Intro_8"/>
      <sheetName val="Consultant_Qty-with_Pile4"/>
      <sheetName val="FDn_Wet4"/>
      <sheetName val="Tower_Erection4"/>
      <sheetName val="Scheme_Area_Details_Block___C24"/>
      <sheetName val="General_Items7"/>
      <sheetName val="Core_Eqpt7"/>
      <sheetName val="New_Home7"/>
      <sheetName val="220_11__BS_7"/>
      <sheetName val="CFForecast_detail7"/>
      <sheetName val="Basement_Budget4"/>
      <sheetName val="A-2_blcok_work_Res_4"/>
      <sheetName val="05_Ar_&amp;_St4"/>
      <sheetName val="Labour_Expenses4"/>
      <sheetName val="Plant_&amp;_Machinery4"/>
      <sheetName val="Staff_Expenses4"/>
      <sheetName val="Provident_Fund_&amp;_Other_Funds4"/>
      <sheetName val="Welfare_Expenses4"/>
      <sheetName val="Water_and_Power4"/>
      <sheetName val="Packing_&amp;_Forwarding4"/>
      <sheetName val="Travelling_Expenses4"/>
      <sheetName val="Conveyance_Expenses4"/>
      <sheetName val="Insurance_Charges4"/>
      <sheetName val="Bank_Charges4"/>
      <sheetName val="Post_&amp;_Telegraph_Charges4"/>
      <sheetName val="Printing_&amp;_Stationery_Expenses4"/>
      <sheetName val="Repair_&amp;_Maintenance4"/>
      <sheetName val="Sundries_-_Misc_Expenses4"/>
      <sheetName val="Temporary_Struc_&amp;_Installation4"/>
      <sheetName val="Professional_Fees4"/>
      <sheetName val="Hire_&amp;_Rental_Charges4"/>
      <sheetName val="Abstract_IDC4"/>
      <sheetName val="Architecture_BOQ4"/>
      <sheetName val="External_works_BOQ4"/>
      <sheetName val="Structure_BOQ4"/>
      <sheetName val="Material_Rates4"/>
      <sheetName val="Min_Wages4"/>
      <sheetName val="LCS_SCHEDULE_4"/>
      <sheetName val="Wall_W34"/>
      <sheetName val="Plant_&amp;__Machinery4"/>
      <sheetName val="Basic_Rate4"/>
      <sheetName val="S_&amp;_A4"/>
      <sheetName val="beam-reinft-IIInd_floor4"/>
      <sheetName val="X_rate4"/>
      <sheetName val="labour_rates4"/>
      <sheetName val="Block_A_-_BOQ4"/>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 val="triconex"/>
      <sheetName val="PA F"/>
      <sheetName val="Scheme Area Details_Block__ C2"/>
      <sheetName val="New33KVSS_E3"/>
      <sheetName val="Prop aug of Ex 33KVSS_E3a"/>
      <sheetName val="MEWD "/>
      <sheetName val="material_cacus"/>
      <sheetName val="2008_material_cost"/>
      <sheetName val="Rectangular_Beam"/>
      <sheetName val="INPUT_SHEET"/>
      <sheetName val="SUPER BOQ"/>
      <sheetName val="SUPER Takeoff"/>
      <sheetName val="Door and window"/>
      <sheetName val="dpc_cost7"/>
      <sheetName val="Conductor_Size7"/>
      <sheetName val="DETAILED__BOQ4"/>
      <sheetName val="Format_-_44"/>
      <sheetName val="Conductor_Parameter4"/>
      <sheetName val="Data_Sheet4"/>
      <sheetName val="C_S_GENERATION4"/>
      <sheetName val="220_11__BS_4"/>
      <sheetName val="BOQ_(2)4"/>
      <sheetName val="Cable_data4"/>
      <sheetName val="CE_(Onshore)4"/>
      <sheetName val="_Summary4"/>
      <sheetName val="SITE_OVERHEADS3"/>
      <sheetName val="p_dhanunjay3"/>
      <sheetName val="nandlal_sarma3"/>
      <sheetName val="t_raveendran3"/>
      <sheetName val="CONSTRUCTION_COMPONENT3"/>
      <sheetName val="ETC_Plant_Cost3"/>
      <sheetName val="Commercial_Inputs3"/>
      <sheetName val="Comm__Inputs3"/>
      <sheetName val="SPT_vs_PHI1"/>
      <sheetName val="Break_Dw3"/>
      <sheetName val="VAT_&amp;_ST"/>
      <sheetName val="Recursos_Humanos"/>
      <sheetName val="Rate_Analysis"/>
      <sheetName val="PV_FDN"/>
      <sheetName val="Cost_Analysis"/>
      <sheetName val="Design_Sheet"/>
      <sheetName val="DESBASTE"/>
      <sheetName val="dpc_cost8"/>
      <sheetName val="Conductor_Size8"/>
      <sheetName val="DETAILED__BOQ5"/>
      <sheetName val="Format_-_45"/>
      <sheetName val="Conductor_Parameter5"/>
      <sheetName val="Data_Sheet5"/>
      <sheetName val="C_S_GENERATION5"/>
      <sheetName val="220_11__BS_5"/>
      <sheetName val="BOQ_(2)5"/>
      <sheetName val="Cable_data5"/>
      <sheetName val="CE_(Onshore)5"/>
      <sheetName val="_Summary5"/>
      <sheetName val="SITE_OVERHEADS4"/>
      <sheetName val="p_dhanunjay4"/>
      <sheetName val="nandlal_sarma4"/>
      <sheetName val="t_raveendran4"/>
      <sheetName val="CONSTRUCTION_COMPONENT4"/>
      <sheetName val="ETC_Plant_Cost4"/>
      <sheetName val="Commercial_Inputs4"/>
      <sheetName val="Comm__Inputs4"/>
      <sheetName val="SPT_vs_PHI2"/>
      <sheetName val="Break_Dw4"/>
      <sheetName val="VAT_&amp;_ST1"/>
      <sheetName val="material_cacus1"/>
      <sheetName val="2008_material_cost1"/>
      <sheetName val="Recursos_Humanos1"/>
      <sheetName val="Rate_Analysis1"/>
      <sheetName val="Rectangular_Beam1"/>
      <sheetName val="INPUT_SHEET1"/>
      <sheetName val="PV_FDN1"/>
      <sheetName val="Cost_Analysis1"/>
      <sheetName val="Design_Sheet1"/>
      <sheetName val="Annexure_A25"/>
      <sheetName val="dpc_cost9"/>
      <sheetName val="Conductor_Size9"/>
      <sheetName val="DETAILED__BOQ6"/>
      <sheetName val="Data_Sheet6"/>
      <sheetName val="Format_-_46"/>
      <sheetName val="Conductor_Parameter6"/>
      <sheetName val="C_S_GENERATION6"/>
      <sheetName val="220_11__BS_6"/>
      <sheetName val="BOQ_(2)6"/>
      <sheetName val="Cable_data6"/>
      <sheetName val="CE_(Onshore)6"/>
      <sheetName val="_Summary6"/>
      <sheetName val="SITE_OVERHEADS5"/>
      <sheetName val="CONSTRUCTION_COMPONENT5"/>
      <sheetName val="WORK_TABLE8"/>
      <sheetName val="p_dhanunjay5"/>
      <sheetName val="nandlal_sarma5"/>
      <sheetName val="t_raveendran5"/>
      <sheetName val="ETC_Plant_Cost5"/>
      <sheetName val="Commercial_Inputs5"/>
      <sheetName val="Comm__Inputs5"/>
      <sheetName val="Break_Dw5"/>
      <sheetName val="SPT_vs_PHI3"/>
      <sheetName val="VAT_&amp;_ST2"/>
      <sheetName val="material_cacus2"/>
      <sheetName val="2008_material_cost2"/>
      <sheetName val="Recursos_Humanos2"/>
      <sheetName val="Rate_Analysis2"/>
      <sheetName val="Rectangular_Beam2"/>
      <sheetName val="SCurv_(3)8"/>
      <sheetName val="INPUT_SHEET2"/>
      <sheetName val="Reference_Information"/>
      <sheetName val="Employee_List"/>
      <sheetName val="Sales_Office"/>
      <sheetName val="Sheet_1"/>
      <sheetName val="Fill_this_out_first___"/>
      <sheetName val="Basic_Rates"/>
      <sheetName val="PV_FDN2"/>
      <sheetName val="Cost_Analysis2"/>
      <sheetName val="Design_Sheet2"/>
      <sheetName val="PA_F"/>
      <sheetName val="Scheme_Area_Details_Block___C2"/>
      <sheetName val="Prop_aug_of_Ex_33KVSS_E3a"/>
      <sheetName val="MEWD_"/>
      <sheetName val="SUPER_BOQ"/>
      <sheetName val="SUPER_Takeoff"/>
      <sheetName val="Door_and_window"/>
      <sheetName val="Annexure_A26"/>
      <sheetName val="dpc_cost10"/>
      <sheetName val="Conductor_Size10"/>
      <sheetName val="DETAILED__BOQ7"/>
      <sheetName val="Data_Sheet7"/>
      <sheetName val="Format_-_47"/>
      <sheetName val="Conductor_Parameter7"/>
      <sheetName val="C_S_GENERATION7"/>
      <sheetName val="220_11__BS_7"/>
      <sheetName val="BOQ_(2)7"/>
      <sheetName val="Cable_data7"/>
      <sheetName val="CE_(Onshore)7"/>
      <sheetName val="_Summary7"/>
      <sheetName val="SITE_OVERHEADS6"/>
      <sheetName val="CONSTRUCTION_COMPONENT6"/>
      <sheetName val="WORK_TABLE9"/>
      <sheetName val="p_dhanunjay6"/>
      <sheetName val="nandlal_sarma6"/>
      <sheetName val="t_raveendran6"/>
      <sheetName val="ETC_Plant_Cost6"/>
      <sheetName val="Commercial_Inputs6"/>
      <sheetName val="Comm__Inputs6"/>
      <sheetName val="Break_Dw6"/>
      <sheetName val="SPT_vs_PHI4"/>
      <sheetName val="VAT_&amp;_ST3"/>
      <sheetName val="material_cacus3"/>
      <sheetName val="2008_material_cost3"/>
      <sheetName val="Recursos_Humanos3"/>
      <sheetName val="Rate_Analysis3"/>
      <sheetName val="Rectangular_Beam3"/>
      <sheetName val="SCurv_(3)9"/>
      <sheetName val="INPUT_SHEET3"/>
      <sheetName val="Reference_Information1"/>
      <sheetName val="Employee_List1"/>
      <sheetName val="Sales_Office1"/>
      <sheetName val="Sheet_11"/>
      <sheetName val="Fill_this_out_first___1"/>
      <sheetName val="Basic_Rates1"/>
      <sheetName val="PV_FDN3"/>
      <sheetName val="Cost_Analysis3"/>
      <sheetName val="Design_Sheet3"/>
      <sheetName val="PA_F1"/>
      <sheetName val="Scheme_Area_Details_Block___C21"/>
      <sheetName val="Prop_aug_of_Ex_33KVSS_E3a1"/>
      <sheetName val="MEWD_1"/>
      <sheetName val="SUPER_BOQ1"/>
      <sheetName val="SUPER_Takeoff1"/>
      <sheetName val="Door_and_window1"/>
      <sheetName val="Annexure_A27"/>
      <sheetName val="dpc_cost11"/>
      <sheetName val="Conductor_Size11"/>
      <sheetName val="DETAILED__BOQ8"/>
      <sheetName val="Data_Sheet8"/>
      <sheetName val="Format_-_48"/>
      <sheetName val="Conductor_Parameter8"/>
      <sheetName val="C_S_GENERATION8"/>
      <sheetName val="220_11__BS_8"/>
      <sheetName val="BOQ_(2)8"/>
      <sheetName val="Cable_data8"/>
      <sheetName val="CE_(Onshore)8"/>
      <sheetName val="_Summary8"/>
      <sheetName val="SITE_OVERHEADS7"/>
      <sheetName val="CONSTRUCTION_COMPONENT7"/>
      <sheetName val="WORK_TABLE10"/>
      <sheetName val="p_dhanunjay7"/>
      <sheetName val="nandlal_sarma7"/>
      <sheetName val="t_raveendran7"/>
      <sheetName val="ETC_Plant_Cost7"/>
      <sheetName val="Commercial_Inputs7"/>
      <sheetName val="Comm__Inputs7"/>
      <sheetName val="Break_Dw7"/>
      <sheetName val="SPT_vs_PHI5"/>
      <sheetName val="VAT_&amp;_ST4"/>
      <sheetName val="material_cacus4"/>
      <sheetName val="2008_material_cost4"/>
      <sheetName val="Recursos_Humanos4"/>
      <sheetName val="Rate_Analysis4"/>
      <sheetName val="Rectangular_Beam4"/>
      <sheetName val="SCurv_(3)10"/>
      <sheetName val="INPUT_SHEET4"/>
      <sheetName val="Reference_Information2"/>
      <sheetName val="Employee_List2"/>
      <sheetName val="Sales_Office2"/>
      <sheetName val="Sheet_12"/>
      <sheetName val="Fill_this_out_first___2"/>
      <sheetName val="Basic_Rates2"/>
      <sheetName val="PV_FDN4"/>
      <sheetName val="Cost_Analysis4"/>
      <sheetName val="Design_Sheet4"/>
      <sheetName val="PA_F2"/>
      <sheetName val="Scheme_Area_Details_Block___C22"/>
      <sheetName val="Prop_aug_of_Ex_33KVSS_E3a2"/>
      <sheetName val="MEWD_2"/>
      <sheetName val="SUPER_BOQ2"/>
      <sheetName val="SUPER_Takeoff2"/>
      <sheetName val="Door_and_window2"/>
      <sheetName val="Annexure_A28"/>
      <sheetName val="dpc_cost12"/>
      <sheetName val="Conductor_Size12"/>
      <sheetName val="DETAILED__BOQ9"/>
      <sheetName val="Data_Sheet9"/>
      <sheetName val="Format_-_49"/>
      <sheetName val="Conductor_Parameter9"/>
      <sheetName val="C_S_GENERATION9"/>
      <sheetName val="220_11__BS_9"/>
      <sheetName val="BOQ_(2)9"/>
      <sheetName val="Cable_data9"/>
      <sheetName val="CE_(Onshore)9"/>
      <sheetName val="_Summary9"/>
      <sheetName val="SITE_OVERHEADS8"/>
      <sheetName val="CONSTRUCTION_COMPONENT8"/>
      <sheetName val="WORK_TABLE11"/>
      <sheetName val="p_dhanunjay8"/>
      <sheetName val="nandlal_sarma8"/>
      <sheetName val="t_raveendran8"/>
      <sheetName val="ETC_Plant_Cost8"/>
      <sheetName val="Commercial_Inputs8"/>
      <sheetName val="Comm__Inputs8"/>
      <sheetName val="Break_Dw8"/>
      <sheetName val="SPT_vs_PHI6"/>
      <sheetName val="VAT_&amp;_ST5"/>
      <sheetName val="material_cacus5"/>
      <sheetName val="2008_material_cost5"/>
      <sheetName val="Recursos_Humanos5"/>
      <sheetName val="Rate_Analysis5"/>
      <sheetName val="Rectangular_Beam5"/>
      <sheetName val="SCurv_(3)11"/>
      <sheetName val="INPUT_SHEET5"/>
      <sheetName val="Reference_Information3"/>
      <sheetName val="Employee_List3"/>
      <sheetName val="Sales_Office3"/>
      <sheetName val="Sheet_13"/>
      <sheetName val="Fill_this_out_first___3"/>
      <sheetName val="Basic_Rates3"/>
      <sheetName val="PV_FDN5"/>
      <sheetName val="Cost_Analysis5"/>
      <sheetName val="Design_Sheet5"/>
      <sheetName val="PA_F3"/>
      <sheetName val="Scheme_Area_Details_Block___C23"/>
      <sheetName val="Prop_aug_of_Ex_33KVSS_E3a3"/>
      <sheetName val="MEWD_3"/>
      <sheetName val="SUPER_BOQ3"/>
      <sheetName val="SUPER_Takeoff3"/>
      <sheetName val="Door_and_window3"/>
      <sheetName val="Annexure_A29"/>
      <sheetName val="dpc_cost13"/>
      <sheetName val="Conductor_Size13"/>
      <sheetName val="DETAILED__BOQ10"/>
      <sheetName val="Data_Sheet10"/>
      <sheetName val="Format_-_410"/>
      <sheetName val="Conductor_Parameter10"/>
      <sheetName val="C_S_GENERATION10"/>
      <sheetName val="220_11__BS_10"/>
      <sheetName val="BOQ_(2)10"/>
      <sheetName val="Cable_data10"/>
      <sheetName val="CE_(Onshore)10"/>
      <sheetName val="_Summary10"/>
      <sheetName val="SITE_OVERHEADS9"/>
      <sheetName val="CONSTRUCTION_COMPONENT9"/>
      <sheetName val="WORK_TABLE12"/>
      <sheetName val="p_dhanunjay9"/>
      <sheetName val="nandlal_sarma9"/>
      <sheetName val="t_raveendran9"/>
      <sheetName val="ETC_Plant_Cost9"/>
      <sheetName val="Commercial_Inputs9"/>
      <sheetName val="Comm__Inputs9"/>
      <sheetName val="Break_Dw9"/>
      <sheetName val="SPT_vs_PHI7"/>
      <sheetName val="VAT_&amp;_ST6"/>
      <sheetName val="material_cacus6"/>
      <sheetName val="2008_material_cost6"/>
      <sheetName val="Recursos_Humanos6"/>
      <sheetName val="Rate_Analysis6"/>
      <sheetName val="Rectangular_Beam6"/>
      <sheetName val="SCurv_(3)12"/>
      <sheetName val="INPUT_SHEET6"/>
      <sheetName val="Reference_Information4"/>
      <sheetName val="Employee_List4"/>
      <sheetName val="Sales_Office4"/>
      <sheetName val="Sheet_14"/>
      <sheetName val="Fill_this_out_first___4"/>
      <sheetName val="Basic_Rates4"/>
      <sheetName val="PV_FDN6"/>
      <sheetName val="Cost_Analysis6"/>
      <sheetName val="Design_Sheet6"/>
      <sheetName val="PA_F4"/>
      <sheetName val="Scheme_Area_Details_Block___C24"/>
      <sheetName val="Prop_aug_of_Ex_33KVSS_E3a4"/>
      <sheetName val="MEWD_4"/>
      <sheetName val="SUPER_BOQ4"/>
      <sheetName val="SUPER_Takeoff4"/>
      <sheetName val="Door_and_window4"/>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 val="Box-qtys_14"/>
      <sheetName val="UNP-NCW_14"/>
      <sheetName val="UNP_NCW_14"/>
      <sheetName val="ETC_Plant_Cost14"/>
      <sheetName val="SPT_vs_PHI14"/>
      <sheetName val="PRECAST_lightconc-II14"/>
      <sheetName val="PIPING_LINE_LIST14"/>
      <sheetName val="STAFFSCHED_14"/>
      <sheetName val="Materials_Cost(PCC)14"/>
      <sheetName val="OLS_1_6T13"/>
      <sheetName val="section_3_dpr13"/>
      <sheetName val="Box-qtys_1"/>
      <sheetName val="UNP-NCW_1"/>
      <sheetName val="UNP_NCW_1"/>
      <sheetName val="ETC_Plant_Cost1"/>
      <sheetName val="SPT_vs_PHI1"/>
      <sheetName val="PRECAST_lightconc-II1"/>
      <sheetName val="PIPING_LINE_LIST1"/>
      <sheetName val="STAFFSCHED_1"/>
      <sheetName val="Materials_Cost(PCC)1"/>
      <sheetName val="OLS_1_6T"/>
      <sheetName val="section_3_dpr"/>
      <sheetName val="Box-qtys_2"/>
      <sheetName val="UNP-NCW_2"/>
      <sheetName val="UNP_NCW_2"/>
      <sheetName val="ETC_Plant_Cost2"/>
      <sheetName val="SPT_vs_PHI2"/>
      <sheetName val="PRECAST_lightconc-II2"/>
      <sheetName val="PIPING_LINE_LIST2"/>
      <sheetName val="STAFFSCHED_2"/>
      <sheetName val="Materials_Cost(PCC)2"/>
      <sheetName val="OLS_1_6T1"/>
      <sheetName val="section_3_dpr1"/>
      <sheetName val="Box-qtys_3"/>
      <sheetName val="UNP-NCW_3"/>
      <sheetName val="UNP_NCW_3"/>
      <sheetName val="ETC_Plant_Cost3"/>
      <sheetName val="SPT_vs_PHI3"/>
      <sheetName val="PRECAST_lightconc-II3"/>
      <sheetName val="PIPING_LINE_LIST3"/>
      <sheetName val="STAFFSCHED_3"/>
      <sheetName val="Materials_Cost(PCC)3"/>
      <sheetName val="OLS_1_6T2"/>
      <sheetName val="section_3_dpr2"/>
      <sheetName val="Box-qtys_4"/>
      <sheetName val="UNP-NCW_4"/>
      <sheetName val="UNP_NCW_4"/>
      <sheetName val="ETC_Plant_Cost4"/>
      <sheetName val="SPT_vs_PHI4"/>
      <sheetName val="PRECAST_lightconc-II4"/>
      <sheetName val="PIPING_LINE_LIST4"/>
      <sheetName val="STAFFSCHED_4"/>
      <sheetName val="Materials_Cost(PCC)4"/>
      <sheetName val="OLS_1_6T3"/>
      <sheetName val="section_3_dpr3"/>
      <sheetName val="Box-qtys_5"/>
      <sheetName val="UNP-NCW_5"/>
      <sheetName val="UNP_NCW_5"/>
      <sheetName val="ETC_Plant_Cost5"/>
      <sheetName val="SPT_vs_PHI5"/>
      <sheetName val="PRECAST_lightconc-II5"/>
      <sheetName val="PIPING_LINE_LIST5"/>
      <sheetName val="STAFFSCHED_5"/>
      <sheetName val="Materials_Cost(PCC)5"/>
      <sheetName val="OLS_1_6T4"/>
      <sheetName val="section_3_dpr4"/>
      <sheetName val="Box-qtys_10"/>
      <sheetName val="UNP-NCW_10"/>
      <sheetName val="UNP_NCW_10"/>
      <sheetName val="ETC_Plant_Cost10"/>
      <sheetName val="SPT_vs_PHI10"/>
      <sheetName val="PRECAST_lightconc-II10"/>
      <sheetName val="PIPING_LINE_LIST10"/>
      <sheetName val="STAFFSCHED_10"/>
      <sheetName val="Materials_Cost(PCC)10"/>
      <sheetName val="OLS_1_6T9"/>
      <sheetName val="section_3_dpr9"/>
      <sheetName val="Box-qtys_6"/>
      <sheetName val="UNP-NCW_6"/>
      <sheetName val="UNP_NCW_6"/>
      <sheetName val="ETC_Plant_Cost6"/>
      <sheetName val="SPT_vs_PHI6"/>
      <sheetName val="PRECAST_lightconc-II6"/>
      <sheetName val="PIPING_LINE_LIST6"/>
      <sheetName val="STAFFSCHED_6"/>
      <sheetName val="Materials_Cost(PCC)6"/>
      <sheetName val="OLS_1_6T5"/>
      <sheetName val="section_3_dpr5"/>
      <sheetName val="Box-qtys_8"/>
      <sheetName val="UNP-NCW_8"/>
      <sheetName val="UNP_NCW_8"/>
      <sheetName val="ETC_Plant_Cost8"/>
      <sheetName val="SPT_vs_PHI8"/>
      <sheetName val="PRECAST_lightconc-II8"/>
      <sheetName val="PIPING_LINE_LIST8"/>
      <sheetName val="STAFFSCHED_8"/>
      <sheetName val="Materials_Cost(PCC)8"/>
      <sheetName val="OLS_1_6T7"/>
      <sheetName val="section_3_dpr7"/>
      <sheetName val="Box-qtys_7"/>
      <sheetName val="UNP-NCW_7"/>
      <sheetName val="UNP_NCW_7"/>
      <sheetName val="ETC_Plant_Cost7"/>
      <sheetName val="SPT_vs_PHI7"/>
      <sheetName val="PRECAST_lightconc-II7"/>
      <sheetName val="PIPING_LINE_LIST7"/>
      <sheetName val="STAFFSCHED_7"/>
      <sheetName val="Materials_Cost(PCC)7"/>
      <sheetName val="OLS_1_6T6"/>
      <sheetName val="section_3_dpr6"/>
      <sheetName val="Box-qtys_9"/>
      <sheetName val="UNP-NCW_9"/>
      <sheetName val="UNP_NCW_9"/>
      <sheetName val="ETC_Plant_Cost9"/>
      <sheetName val="SPT_vs_PHI9"/>
      <sheetName val="PRECAST_lightconc-II9"/>
      <sheetName val="PIPING_LINE_LIST9"/>
      <sheetName val="STAFFSCHED_9"/>
      <sheetName val="Materials_Cost(PCC)9"/>
      <sheetName val="OLS_1_6T8"/>
      <sheetName val="section_3_dpr8"/>
      <sheetName val="Box-qtys_11"/>
      <sheetName val="UNP-NCW_11"/>
      <sheetName val="UNP_NCW_11"/>
      <sheetName val="ETC_Plant_Cost11"/>
      <sheetName val="SPT_vs_PHI11"/>
      <sheetName val="PRECAST_lightconc-II11"/>
      <sheetName val="PIPING_LINE_LIST11"/>
      <sheetName val="STAFFSCHED_11"/>
      <sheetName val="Materials_Cost(PCC)11"/>
      <sheetName val="OLS_1_6T10"/>
      <sheetName val="section_3_dpr10"/>
      <sheetName val="Box-qtys_12"/>
      <sheetName val="UNP-NCW_12"/>
      <sheetName val="UNP_NCW_12"/>
      <sheetName val="ETC_Plant_Cost12"/>
      <sheetName val="SPT_vs_PHI12"/>
      <sheetName val="PRECAST_lightconc-II12"/>
      <sheetName val="PIPING_LINE_LIST12"/>
      <sheetName val="STAFFSCHED_12"/>
      <sheetName val="Materials_Cost(PCC)12"/>
      <sheetName val="OLS_1_6T11"/>
      <sheetName val="section_3_dpr11"/>
      <sheetName val="Box-qtys_13"/>
      <sheetName val="UNP-NCW_13"/>
      <sheetName val="UNP_NCW_13"/>
      <sheetName val="ETC_Plant_Cost13"/>
      <sheetName val="SPT_vs_PHI13"/>
      <sheetName val="PRECAST_lightconc-II13"/>
      <sheetName val="PIPING_LINE_LIST13"/>
      <sheetName val="STAFFSCHED_13"/>
      <sheetName val="Materials_Cost(PCC)13"/>
      <sheetName val="OLS_1_6T12"/>
      <sheetName val="section_3_dpr12"/>
      <sheetName val="Box-qtys_15"/>
      <sheetName val="UNP-NCW_15"/>
      <sheetName val="UNP_NCW_15"/>
      <sheetName val="ETC_Plant_Cost15"/>
      <sheetName val="SPT_vs_PHI15"/>
      <sheetName val="PRECAST_lightconc-II15"/>
      <sheetName val="PIPING_LINE_LIST15"/>
      <sheetName val="STAFFSCHED_15"/>
      <sheetName val="Materials_Cost(PCC)15"/>
      <sheetName val="OLS_1_6T14"/>
      <sheetName val="section_3_dpr14"/>
      <sheetName val="Box-qtys_16"/>
      <sheetName val="UNP-NCW_16"/>
      <sheetName val="UNP_NCW_16"/>
      <sheetName val="ETC_Plant_Cost16"/>
      <sheetName val="SPT_vs_PHI16"/>
      <sheetName val="PRECAST_lightconc-II16"/>
      <sheetName val="PIPING_LINE_LIST16"/>
      <sheetName val="STAFFSCHED_16"/>
      <sheetName val="Materials_Cost(PCC)16"/>
      <sheetName val="OLS_1_6T15"/>
      <sheetName val="section_3_dpr15"/>
      <sheetName val="Box-qtys_17"/>
      <sheetName val="UNP-NCW_17"/>
      <sheetName val="UNP_NCW_17"/>
      <sheetName val="ETC_Plant_Cost17"/>
      <sheetName val="SPT_vs_PHI17"/>
      <sheetName val="PRECAST_lightconc-II17"/>
      <sheetName val="PIPING_LINE_LIST17"/>
      <sheetName val="STAFFSCHED_17"/>
      <sheetName val="Materials_Cost(PCC)17"/>
      <sheetName val="OLS_1_6T16"/>
      <sheetName val="section_3_dpr16"/>
      <sheetName val="Box-qtys_18"/>
      <sheetName val="UNP-NCW_18"/>
      <sheetName val="UNP_NCW_18"/>
      <sheetName val="ETC_Plant_Cost18"/>
      <sheetName val="SPT_vs_PHI18"/>
      <sheetName val="PRECAST_lightconc-II18"/>
      <sheetName val="PIPING_LINE_LIST18"/>
      <sheetName val="STAFFSCHED_18"/>
      <sheetName val="Materials_Cost(PCC)18"/>
      <sheetName val="OLS_1_6T17"/>
      <sheetName val="section_3_dpr17"/>
      <sheetName val="Box-qtys_19"/>
      <sheetName val="UNP-NCW_19"/>
      <sheetName val="UNP_NCW_19"/>
      <sheetName val="ETC_Plant_Cost19"/>
      <sheetName val="SPT_vs_PHI19"/>
      <sheetName val="PRECAST_lightconc-II19"/>
      <sheetName val="PIPING_LINE_LIST19"/>
      <sheetName val="STAFFSCHED_19"/>
      <sheetName val="Materials_Cost(PCC)19"/>
      <sheetName val="OLS_1_6T18"/>
      <sheetName val="section_3_dpr18"/>
      <sheetName val="Box-qtys_24"/>
      <sheetName val="UNP-NCW_24"/>
      <sheetName val="UNP_NCW_24"/>
      <sheetName val="ETC_Plant_Cost24"/>
      <sheetName val="SPT_vs_PHI24"/>
      <sheetName val="PRECAST_lightconc-II24"/>
      <sheetName val="PIPING_LINE_LIST24"/>
      <sheetName val="STAFFSCHED_24"/>
      <sheetName val="Materials_Cost(PCC)24"/>
      <sheetName val="OLS_1_6T23"/>
      <sheetName val="section_3_dpr23"/>
      <sheetName val="Box-qtys_23"/>
      <sheetName val="UNP-NCW_23"/>
      <sheetName val="UNP_NCW_23"/>
      <sheetName val="ETC_Plant_Cost23"/>
      <sheetName val="SPT_vs_PHI23"/>
      <sheetName val="PRECAST_lightconc-II23"/>
      <sheetName val="PIPING_LINE_LIST23"/>
      <sheetName val="STAFFSCHED_23"/>
      <sheetName val="Materials_Cost(PCC)23"/>
      <sheetName val="OLS_1_6T22"/>
      <sheetName val="section_3_dpr22"/>
      <sheetName val="Box-qtys_20"/>
      <sheetName val="UNP-NCW_20"/>
      <sheetName val="UNP_NCW_20"/>
      <sheetName val="ETC_Plant_Cost20"/>
      <sheetName val="SPT_vs_PHI20"/>
      <sheetName val="PRECAST_lightconc-II20"/>
      <sheetName val="PIPING_LINE_LIST20"/>
      <sheetName val="STAFFSCHED_20"/>
      <sheetName val="Materials_Cost(PCC)20"/>
      <sheetName val="OLS_1_6T19"/>
      <sheetName val="section_3_dpr19"/>
      <sheetName val="Box-qtys_21"/>
      <sheetName val="UNP-NCW_21"/>
      <sheetName val="UNP_NCW_21"/>
      <sheetName val="ETC_Plant_Cost21"/>
      <sheetName val="SPT_vs_PHI21"/>
      <sheetName val="PRECAST_lightconc-II21"/>
      <sheetName val="PIPING_LINE_LIST21"/>
      <sheetName val="STAFFSCHED_21"/>
      <sheetName val="Materials_Cost(PCC)21"/>
      <sheetName val="OLS_1_6T20"/>
      <sheetName val="section_3_dpr20"/>
      <sheetName val="Box-qtys_22"/>
      <sheetName val="UNP-NCW_22"/>
      <sheetName val="UNP_NCW_22"/>
      <sheetName val="ETC_Plant_Cost22"/>
      <sheetName val="SPT_vs_PHI22"/>
      <sheetName val="PRECAST_lightconc-II22"/>
      <sheetName val="PIPING_LINE_LIST22"/>
      <sheetName val="STAFFSCHED_22"/>
      <sheetName val="Materials_Cost(PCC)22"/>
      <sheetName val="OLS_1_6T21"/>
      <sheetName val="section_3_dpr21"/>
      <sheetName val="Box-qtys_25"/>
      <sheetName val="UNP-NCW_25"/>
      <sheetName val="UNP_NCW_25"/>
      <sheetName val="ETC_Plant_Cost25"/>
      <sheetName val="SPT_vs_PHI25"/>
      <sheetName val="PRECAST_lightconc-II25"/>
      <sheetName val="PIPING_LINE_LIST25"/>
      <sheetName val="STAFFSCHED_25"/>
      <sheetName val="Materials_Cost(PCC)25"/>
      <sheetName val="OLS_1_6T24"/>
      <sheetName val="section_3_dpr24"/>
      <sheetName val="Box-qtys_28"/>
      <sheetName val="UNP-NCW_28"/>
      <sheetName val="UNP_NCW_28"/>
      <sheetName val="ETC_Plant_Cost28"/>
      <sheetName val="SPT_vs_PHI28"/>
      <sheetName val="PRECAST_lightconc-II28"/>
      <sheetName val="PIPING_LINE_LIST28"/>
      <sheetName val="STAFFSCHED_28"/>
      <sheetName val="Materials_Cost(PCC)28"/>
      <sheetName val="OLS_1_6T27"/>
      <sheetName val="section_3_dpr27"/>
      <sheetName val="Box-qtys_26"/>
      <sheetName val="UNP-NCW_26"/>
      <sheetName val="UNP_NCW_26"/>
      <sheetName val="ETC_Plant_Cost26"/>
      <sheetName val="SPT_vs_PHI26"/>
      <sheetName val="PRECAST_lightconc-II26"/>
      <sheetName val="PIPING_LINE_LIST26"/>
      <sheetName val="STAFFSCHED_26"/>
      <sheetName val="Materials_Cost(PCC)26"/>
      <sheetName val="OLS_1_6T25"/>
      <sheetName val="section_3_dpr25"/>
      <sheetName val="Box-qtys_27"/>
      <sheetName val="UNP-NCW_27"/>
      <sheetName val="UNP_NCW_27"/>
      <sheetName val="ETC_Plant_Cost27"/>
      <sheetName val="SPT_vs_PHI27"/>
      <sheetName val="PRECAST_lightconc-II27"/>
      <sheetName val="PIPING_LINE_LIST27"/>
      <sheetName val="STAFFSCHED_27"/>
      <sheetName val="Materials_Cost(PCC)27"/>
      <sheetName val="OLS_1_6T26"/>
      <sheetName val="section_3_dpr26"/>
      <sheetName val="TBM-T6+5S(Alt1)"/>
      <sheetName val="Abstract RA 1"/>
      <sheetName val="Bill_01"/>
      <sheetName val="Scurve-details"/>
      <sheetName val="upa"/>
      <sheetName val="Master"/>
      <sheetName val="FT-05-02IsoBOM"/>
      <sheetName val="factor "/>
      <sheetName val="Basicdata-f"/>
      <sheetName val="Basicrates"/>
      <sheetName val="Design"/>
      <sheetName val="Material"/>
      <sheetName val="ANNEXURE"/>
      <sheetName val="07"/>
      <sheetName val="SITE DATA"/>
      <sheetName val="Bar Budget"/>
      <sheetName val="Final Qty"/>
      <sheetName val="Machine HC - 19.08 "/>
      <sheetName val="PNM Justi"/>
      <sheetName val="Bar"/>
      <sheetName val="Analysed rate"/>
      <sheetName val="Shutter"/>
      <sheetName val="BOQ Backup"/>
      <sheetName val="Rate Analysis"/>
      <sheetName val="Est To comp-KTRP"/>
      <sheetName val="JCR TOP(ITEM)-KTRP"/>
      <sheetName val="Back_Cal_for OMC"/>
      <sheetName val="analysis"/>
      <sheetName val="C &amp; G RHS"/>
      <sheetName val="NAHID CONST"/>
      <sheetName val="Exist"/>
      <sheetName val="LEFT"/>
      <sheetName val="RIGHT"/>
      <sheetName val="RC Details (2)"/>
      <sheetName val="Live_Load_tables"/>
      <sheetName val="NC-CM"/>
      <sheetName val="M+MC"/>
      <sheetName val="Staff Acco."/>
      <sheetName val="Monthly Turnover (Final)"/>
      <sheetName val="IDC"/>
      <sheetName val="G.A."/>
      <sheetName val="MAINBS1"/>
      <sheetName val="LOCAL RATES"/>
      <sheetName val="Materials Cost"/>
      <sheetName val="Basic"/>
      <sheetName val="Abstract_RA_1"/>
      <sheetName val="factor_"/>
      <sheetName val="SITE_DATA"/>
      <sheetName val="Bar_Budget"/>
      <sheetName val="Final_Qty"/>
      <sheetName val="Machine_HC_-_19_08_"/>
      <sheetName val="PNM_Justi"/>
      <sheetName val="Analysed_rate"/>
      <sheetName val="BOQ_Backup"/>
      <sheetName val="Rate_Analysis"/>
      <sheetName val="Est_To_comp-KTRP"/>
      <sheetName val="JCR_TOP(ITEM)-KTRP"/>
      <sheetName val="Back_Cal_for_OMC"/>
      <sheetName val="C_&amp;_G_RHS"/>
      <sheetName val="NAHID_CONST"/>
      <sheetName val="RC_Details_(2)"/>
      <sheetName val="Staff_Acco_"/>
      <sheetName val="Monthly_Turnover_(Final)"/>
      <sheetName val="G_A_"/>
      <sheetName val="LOCAL_RATES"/>
      <sheetName val="Materials_Cost"/>
      <sheetName val="Abstract_RA_11"/>
      <sheetName val="factor_1"/>
      <sheetName val="SITE_DATA1"/>
      <sheetName val="Bar_Budget1"/>
      <sheetName val="Final_Qty1"/>
      <sheetName val="Machine_HC_-_19_08_1"/>
      <sheetName val="PNM_Justi1"/>
      <sheetName val="Analysed_rate1"/>
      <sheetName val="BOQ_Backup1"/>
      <sheetName val="Rate_Analysis1"/>
      <sheetName val="Est_To_comp-KTRP1"/>
      <sheetName val="JCR_TOP(ITEM)-KTRP1"/>
      <sheetName val="Back_Cal_for_OMC1"/>
      <sheetName val="C_&amp;_G_RHS1"/>
      <sheetName val="NAHID_CONST1"/>
      <sheetName val="RC_Details_(2)1"/>
      <sheetName val="Staff_Acco_1"/>
      <sheetName val="Monthly_Turnover_(Final)1"/>
      <sheetName val="G_A_1"/>
      <sheetName val="LOCAL_RATES1"/>
      <sheetName val="Materials_Cost1"/>
      <sheetName val="Abstract_RA_12"/>
      <sheetName val="factor_2"/>
      <sheetName val="SITE_DATA2"/>
      <sheetName val="Bar_Budget2"/>
      <sheetName val="Final_Qty2"/>
      <sheetName val="Machine_HC_-_19_08_2"/>
      <sheetName val="PNM_Justi2"/>
      <sheetName val="Analysed_rate2"/>
      <sheetName val="BOQ_Backup2"/>
      <sheetName val="Rate_Analysis2"/>
      <sheetName val="Est_To_comp-KTRP2"/>
      <sheetName val="JCR_TOP(ITEM)-KTRP2"/>
      <sheetName val="Back_Cal_for_OMC2"/>
      <sheetName val="C_&amp;_G_RHS2"/>
      <sheetName val="NAHID_CONST2"/>
      <sheetName val="RC_Details_(2)2"/>
      <sheetName val="Staff_Acco_2"/>
      <sheetName val="Monthly_Turnover_(Final)2"/>
      <sheetName val="G_A_2"/>
      <sheetName val="LOCAL_RATES2"/>
      <sheetName val="Materials_Cost2"/>
      <sheetName val="Box-qtys_29"/>
      <sheetName val="UNP-NCW_29"/>
      <sheetName val="UNP_NCW_29"/>
      <sheetName val="ETC_Plant_Cost29"/>
      <sheetName val="SPT_vs_PHI29"/>
      <sheetName val="PRECAST_lightconc-II29"/>
      <sheetName val="PIPING_LINE_LIST29"/>
      <sheetName val="STAFFSCHED_29"/>
      <sheetName val="Materials_Cost(PCC)29"/>
      <sheetName val="OLS_1_6T28"/>
      <sheetName val="section_3_dpr28"/>
      <sheetName val="Abstract_RA_13"/>
      <sheetName val="factor_3"/>
      <sheetName val="SITE_DATA3"/>
      <sheetName val="Bar_Budget3"/>
      <sheetName val="Final_Qty3"/>
      <sheetName val="Machine_HC_-_19_08_3"/>
      <sheetName val="PNM_Justi3"/>
      <sheetName val="Analysed_rate3"/>
      <sheetName val="BOQ_Backup3"/>
      <sheetName val="Rate_Analysis3"/>
      <sheetName val="Est_To_comp-KTRP3"/>
      <sheetName val="JCR_TOP(ITEM)-KTRP3"/>
      <sheetName val="Back_Cal_for_OMC3"/>
      <sheetName val="C_&amp;_G_RHS3"/>
      <sheetName val="NAHID_CONST3"/>
      <sheetName val="RC_Details_(2)3"/>
      <sheetName val="Staff_Acco_3"/>
      <sheetName val="Monthly_Turnover_(Final)3"/>
      <sheetName val="G_A_3"/>
      <sheetName val="LOCAL_RATES3"/>
      <sheetName val="Materials_Cost3"/>
      <sheetName val="Box-qtys_30"/>
      <sheetName val="UNP-NCW_30"/>
      <sheetName val="UNP_NCW_30"/>
      <sheetName val="ETC_Plant_Cost30"/>
      <sheetName val="SPT_vs_PHI30"/>
      <sheetName val="PRECAST_lightconc-II30"/>
      <sheetName val="PIPING_LINE_LIST30"/>
      <sheetName val="STAFFSCHED_30"/>
      <sheetName val="Materials_Cost(PCC)30"/>
      <sheetName val="OLS_1_6T29"/>
      <sheetName val="section_3_dpr29"/>
      <sheetName val="Abstract_RA_14"/>
      <sheetName val="factor_4"/>
      <sheetName val="SITE_DATA4"/>
      <sheetName val="Bar_Budget4"/>
      <sheetName val="Final_Qty4"/>
      <sheetName val="Machine_HC_-_19_08_4"/>
      <sheetName val="PNM_Justi4"/>
      <sheetName val="Analysed_rate4"/>
      <sheetName val="BOQ_Backup4"/>
      <sheetName val="Rate_Analysis4"/>
      <sheetName val="Est_To_comp-KTRP4"/>
      <sheetName val="JCR_TOP(ITEM)-KTRP4"/>
      <sheetName val="Back_Cal_for_OMC4"/>
      <sheetName val="C_&amp;_G_RHS4"/>
      <sheetName val="NAHID_CONST4"/>
      <sheetName val="RC_Details_(2)4"/>
      <sheetName val="Staff_Acco_4"/>
      <sheetName val="Monthly_Turnover_(Final)4"/>
      <sheetName val="G_A_4"/>
      <sheetName val="LOCAL_RATES4"/>
      <sheetName val="Materials_Cost4"/>
      <sheetName val="Box-qtys_31"/>
      <sheetName val="UNP-NCW_31"/>
      <sheetName val="UNP_NCW_31"/>
      <sheetName val="ETC_Plant_Cost31"/>
      <sheetName val="SPT_vs_PHI31"/>
      <sheetName val="PRECAST_lightconc-II31"/>
      <sheetName val="PIPING_LINE_LIST31"/>
      <sheetName val="STAFFSCHED_31"/>
      <sheetName val="Materials_Cost(PCC)31"/>
      <sheetName val="OLS_1_6T30"/>
      <sheetName val="section_3_dpr30"/>
      <sheetName val="Abstract_RA_15"/>
      <sheetName val="factor_5"/>
      <sheetName val="SITE_DATA5"/>
      <sheetName val="Bar_Budget5"/>
      <sheetName val="Final_Qty5"/>
      <sheetName val="Machine_HC_-_19_08_5"/>
      <sheetName val="PNM_Justi5"/>
      <sheetName val="Analysed_rate5"/>
      <sheetName val="BOQ_Backup5"/>
      <sheetName val="Rate_Analysis5"/>
      <sheetName val="Est_To_comp-KTRP5"/>
      <sheetName val="JCR_TOP(ITEM)-KTRP5"/>
      <sheetName val="Back_Cal_for_OMC5"/>
      <sheetName val="C_&amp;_G_RHS5"/>
      <sheetName val="NAHID_CONST5"/>
      <sheetName val="RC_Details_(2)5"/>
      <sheetName val="Staff_Acco_5"/>
      <sheetName val="Monthly_Turnover_(Final)5"/>
      <sheetName val="G_A_5"/>
      <sheetName val="LOCAL_RATES5"/>
      <sheetName val="Materials_Cost5"/>
      <sheetName val="Box-qtys_32"/>
      <sheetName val="UNP-NCW_32"/>
      <sheetName val="UNP_NCW_32"/>
      <sheetName val="ETC_Plant_Cost32"/>
      <sheetName val="SPT_vs_PHI32"/>
      <sheetName val="PRECAST_lightconc-II32"/>
      <sheetName val="PIPING_LINE_LIST32"/>
      <sheetName val="STAFFSCHED_32"/>
      <sheetName val="Materials_Cost(PCC)32"/>
      <sheetName val="OLS_1_6T31"/>
      <sheetName val="section_3_dpr31"/>
      <sheetName val="Abstract_RA_16"/>
      <sheetName val="factor_6"/>
      <sheetName val="SITE_DATA6"/>
      <sheetName val="Bar_Budget6"/>
      <sheetName val="Final_Qty6"/>
      <sheetName val="Machine_HC_-_19_08_6"/>
      <sheetName val="PNM_Justi6"/>
      <sheetName val="Analysed_rate6"/>
      <sheetName val="BOQ_Backup6"/>
      <sheetName val="Rate_Analysis6"/>
      <sheetName val="Est_To_comp-KTRP6"/>
      <sheetName val="JCR_TOP(ITEM)-KTRP6"/>
      <sheetName val="Back_Cal_for_OMC6"/>
      <sheetName val="C_&amp;_G_RHS6"/>
      <sheetName val="NAHID_CONST6"/>
      <sheetName val="RC_Details_(2)6"/>
      <sheetName val="Staff_Acco_6"/>
      <sheetName val="Monthly_Turnover_(Final)6"/>
      <sheetName val="G_A_6"/>
      <sheetName val="LOCAL_RATES6"/>
      <sheetName val="Materials_Cost6"/>
      <sheetName val="Box-qtys_33"/>
      <sheetName val="UNP-NCW_33"/>
      <sheetName val="UNP_NCW_33"/>
      <sheetName val="ETC_Plant_Cost33"/>
      <sheetName val="SPT_vs_PHI33"/>
      <sheetName val="PRECAST_lightconc-II33"/>
      <sheetName val="PIPING_LINE_LIST33"/>
      <sheetName val="STAFFSCHED_33"/>
      <sheetName val="Materials_Cost(PCC)33"/>
      <sheetName val="OLS_1_6T32"/>
      <sheetName val="section_3_dpr32"/>
      <sheetName val="Abstract_RA_17"/>
      <sheetName val="factor_7"/>
      <sheetName val="SITE_DATA7"/>
      <sheetName val="Bar_Budget7"/>
      <sheetName val="Final_Qty7"/>
      <sheetName val="Machine_HC_-_19_08_7"/>
      <sheetName val="PNM_Justi7"/>
      <sheetName val="Analysed_rate7"/>
      <sheetName val="BOQ_Backup7"/>
      <sheetName val="Rate_Analysis7"/>
      <sheetName val="Est_To_comp-KTRP7"/>
      <sheetName val="JCR_TOP(ITEM)-KTRP7"/>
      <sheetName val="Back_Cal_for_OMC7"/>
      <sheetName val="C_&amp;_G_RHS7"/>
      <sheetName val="NAHID_CONST7"/>
      <sheetName val="RC_Details_(2)7"/>
      <sheetName val="Staff_Acco_7"/>
      <sheetName val="Monthly_Turnover_(Final)7"/>
      <sheetName val="G_A_7"/>
      <sheetName val="LOCAL_RATES7"/>
      <sheetName val="Materials_Cost7"/>
      <sheetName val="Box-qtys_34"/>
      <sheetName val="UNP-NCW_34"/>
      <sheetName val="UNP_NCW_34"/>
      <sheetName val="ETC_Plant_Cost34"/>
      <sheetName val="SPT_vs_PHI34"/>
      <sheetName val="PRECAST_lightconc-II34"/>
      <sheetName val="PIPING_LINE_LIST34"/>
      <sheetName val="STAFFSCHED_34"/>
      <sheetName val="Materials_Cost(PCC)34"/>
      <sheetName val="OLS_1_6T33"/>
      <sheetName val="section_3_dpr33"/>
      <sheetName val="Abstract_RA_18"/>
      <sheetName val="factor_8"/>
      <sheetName val="SITE_DATA8"/>
      <sheetName val="Bar_Budget8"/>
      <sheetName val="Final_Qty8"/>
      <sheetName val="Machine_HC_-_19_08_8"/>
      <sheetName val="PNM_Justi8"/>
      <sheetName val="Analysed_rate8"/>
      <sheetName val="BOQ_Backup8"/>
      <sheetName val="Rate_Analysis8"/>
      <sheetName val="Est_To_comp-KTRP8"/>
      <sheetName val="JCR_TOP(ITEM)-KTRP8"/>
      <sheetName val="Back_Cal_for_OMC8"/>
      <sheetName val="C_&amp;_G_RHS8"/>
      <sheetName val="NAHID_CONST8"/>
      <sheetName val="RC_Details_(2)8"/>
      <sheetName val="Staff_Acco_8"/>
      <sheetName val="Monthly_Turnover_(Final)8"/>
      <sheetName val="G_A_8"/>
      <sheetName val="LOCAL_RATES8"/>
      <sheetName val="Materials_Cost8"/>
      <sheetName val="UK"/>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 val="except_wiring20"/>
      <sheetName val="wiring&amp;ltg_20"/>
      <sheetName val="Annexure-1_20"/>
      <sheetName val="220KV_CS20"/>
      <sheetName val="3BPA00132-5-3_W_plan_HVPNL20"/>
      <sheetName val="2B_for_Sub_Station_F_I_20"/>
      <sheetName val="DETAILED__BOQ20"/>
      <sheetName val="B_Sheetbajaj13"/>
      <sheetName val="RATE-ANAY_14"/>
      <sheetName val="REVENUES_&amp;_BS14"/>
      <sheetName val="Break_up_Sheet14"/>
      <sheetName val="beam-reinft-IIInd_floor14"/>
      <sheetName val="bs_BP_04_SA13"/>
      <sheetName val="Scheme_Area_Details_Block___C14"/>
      <sheetName val="Prop_aug_of_Ex_33KVSS_E3a14"/>
      <sheetName val="HPC_Sheet14"/>
      <sheetName val="sq_ftg_detail14"/>
      <sheetName val="CFForecast_detail14"/>
      <sheetName val="Discount_Rate_14"/>
      <sheetName val="beam-reinft-machine_rm14"/>
      <sheetName val="Fill_this_out_first___14"/>
      <sheetName val="Data_113"/>
      <sheetName val="TL_rieng13"/>
      <sheetName val="Civil_Boq13"/>
      <sheetName val="PRECAST_lightconc-II13"/>
      <sheetName val="StructEarth_313"/>
      <sheetName val="M_S_13"/>
      <sheetName val="Sheet_113"/>
      <sheetName val="D_Partida13"/>
      <sheetName val="hydraulical_model13"/>
      <sheetName val="FDn_Wet13"/>
      <sheetName val="Tower_Erection13"/>
      <sheetName val="Cable_size13"/>
      <sheetName val="Load_Details-220kV13"/>
      <sheetName val="COST_SHEET13"/>
      <sheetName val="F_17"/>
      <sheetName val="Leg_1-17"/>
      <sheetName val="except_wiring7"/>
      <sheetName val="wiring&amp;ltg_7"/>
      <sheetName val="Annexure-1_7"/>
      <sheetName val="220KV_CS7"/>
      <sheetName val="3BPA00132-5-3_W_plan_HVPNL7"/>
      <sheetName val="2B_for_Sub_Station_F_I_7"/>
      <sheetName val="DETAILED__BOQ7"/>
      <sheetName val="B_Sheetbajaj"/>
      <sheetName val="RATE-ANAY_1"/>
      <sheetName val="REVENUES_&amp;_BS1"/>
      <sheetName val="Break_up_Sheet1"/>
      <sheetName val="beam-reinft-IIInd_floor1"/>
      <sheetName val="bs_BP_04_SA"/>
      <sheetName val="Scheme_Area_Details_Block___C21"/>
      <sheetName val="Prop_aug_of_Ex_33KVSS_E3a1"/>
      <sheetName val="HPC_Sheet1"/>
      <sheetName val="sq_ftg_detail1"/>
      <sheetName val="CFForecast_detail1"/>
      <sheetName val="Discount_Rate_1"/>
      <sheetName val="beam-reinft-machine_rm1"/>
      <sheetName val="Fill_this_out_first___1"/>
      <sheetName val="Data_1"/>
      <sheetName val="TL_rieng"/>
      <sheetName val="Civil_Boq"/>
      <sheetName val="PRECAST_lightconc-II"/>
      <sheetName val="StructEarth_3"/>
      <sheetName val="M_S_"/>
      <sheetName val="Sheet_1"/>
      <sheetName val="D_Partida"/>
      <sheetName val="hydraulical_model"/>
      <sheetName val="FDn_Wet"/>
      <sheetName val="Tower_Erection"/>
      <sheetName val="Cable_size"/>
      <sheetName val="Load_Details-220kV"/>
      <sheetName val="COST_SHEET"/>
      <sheetName val="except_wiring8"/>
      <sheetName val="wiring&amp;ltg_8"/>
      <sheetName val="Annexure-1_8"/>
      <sheetName val="220KV_CS8"/>
      <sheetName val="3BPA00132-5-3_W_plan_HVPNL8"/>
      <sheetName val="2B_for_Sub_Station_F_I_8"/>
      <sheetName val="DETAILED__BOQ8"/>
      <sheetName val="B_Sheetbajaj1"/>
      <sheetName val="RATE-ANAY_2"/>
      <sheetName val="REVENUES_&amp;_BS2"/>
      <sheetName val="Break_up_Sheet2"/>
      <sheetName val="beam-reinft-IIInd_floor2"/>
      <sheetName val="bs_BP_04_SA1"/>
      <sheetName val="Scheme_Area_Details_Block___C22"/>
      <sheetName val="Prop_aug_of_Ex_33KVSS_E3a2"/>
      <sheetName val="HPC_Sheet2"/>
      <sheetName val="sq_ftg_detail2"/>
      <sheetName val="CFForecast_detail2"/>
      <sheetName val="Discount_Rate_2"/>
      <sheetName val="beam-reinft-machine_rm2"/>
      <sheetName val="Fill_this_out_first___2"/>
      <sheetName val="Data_11"/>
      <sheetName val="TL_rieng1"/>
      <sheetName val="Civil_Boq1"/>
      <sheetName val="PRECAST_lightconc-II1"/>
      <sheetName val="StructEarth_31"/>
      <sheetName val="M_S_1"/>
      <sheetName val="Sheet_11"/>
      <sheetName val="D_Partida1"/>
      <sheetName val="hydraulical_model1"/>
      <sheetName val="FDn_Wet1"/>
      <sheetName val="Tower_Erection1"/>
      <sheetName val="Cable_size1"/>
      <sheetName val="Load_Details-220kV1"/>
      <sheetName val="COST_SHEET1"/>
      <sheetName val="except_wiring9"/>
      <sheetName val="wiring&amp;ltg_9"/>
      <sheetName val="Annexure-1_9"/>
      <sheetName val="220KV_CS9"/>
      <sheetName val="3BPA00132-5-3_W_plan_HVPNL9"/>
      <sheetName val="2B_for_Sub_Station_F_I_9"/>
      <sheetName val="DETAILED__BOQ9"/>
      <sheetName val="B_Sheetbajaj2"/>
      <sheetName val="RATE-ANAY_3"/>
      <sheetName val="REVENUES_&amp;_BS3"/>
      <sheetName val="Break_up_Sheet3"/>
      <sheetName val="beam-reinft-IIInd_floor3"/>
      <sheetName val="bs_BP_04_SA2"/>
      <sheetName val="Scheme_Area_Details_Block___C23"/>
      <sheetName val="Prop_aug_of_Ex_33KVSS_E3a3"/>
      <sheetName val="HPC_Sheet3"/>
      <sheetName val="sq_ftg_detail3"/>
      <sheetName val="CFForecast_detail3"/>
      <sheetName val="Discount_Rate_3"/>
      <sheetName val="beam-reinft-machine_rm3"/>
      <sheetName val="Fill_this_out_first___3"/>
      <sheetName val="Data_12"/>
      <sheetName val="TL_rieng2"/>
      <sheetName val="Civil_Boq2"/>
      <sheetName val="PRECAST_lightconc-II2"/>
      <sheetName val="StructEarth_32"/>
      <sheetName val="M_S_2"/>
      <sheetName val="Sheet_12"/>
      <sheetName val="D_Partida2"/>
      <sheetName val="hydraulical_model2"/>
      <sheetName val="FDn_Wet2"/>
      <sheetName val="Tower_Erection2"/>
      <sheetName val="Cable_size2"/>
      <sheetName val="Load_Details-220kV2"/>
      <sheetName val="COST_SHEET2"/>
      <sheetName val="except_wiring10"/>
      <sheetName val="wiring&amp;ltg_10"/>
      <sheetName val="Annexure-1_10"/>
      <sheetName val="220KV_CS10"/>
      <sheetName val="3BPA00132-5-3_W_plan_HVPNL10"/>
      <sheetName val="2B_for_Sub_Station_F_I_10"/>
      <sheetName val="DETAILED__BOQ10"/>
      <sheetName val="B_Sheetbajaj3"/>
      <sheetName val="RATE-ANAY_4"/>
      <sheetName val="REVENUES_&amp;_BS4"/>
      <sheetName val="Break_up_Sheet4"/>
      <sheetName val="beam-reinft-IIInd_floor4"/>
      <sheetName val="bs_BP_04_SA3"/>
      <sheetName val="Scheme_Area_Details_Block___C24"/>
      <sheetName val="Prop_aug_of_Ex_33KVSS_E3a4"/>
      <sheetName val="HPC_Sheet4"/>
      <sheetName val="sq_ftg_detail4"/>
      <sheetName val="CFForecast_detail4"/>
      <sheetName val="Discount_Rate_4"/>
      <sheetName val="beam-reinft-machine_rm4"/>
      <sheetName val="Fill_this_out_first___4"/>
      <sheetName val="Data_13"/>
      <sheetName val="TL_rieng3"/>
      <sheetName val="Civil_Boq3"/>
      <sheetName val="PRECAST_lightconc-II3"/>
      <sheetName val="StructEarth_33"/>
      <sheetName val="M_S_3"/>
      <sheetName val="Sheet_13"/>
      <sheetName val="D_Partida3"/>
      <sheetName val="hydraulical_model3"/>
      <sheetName val="FDn_Wet3"/>
      <sheetName val="Tower_Erection3"/>
      <sheetName val="Cable_size3"/>
      <sheetName val="Load_Details-220kV3"/>
      <sheetName val="COST_SHEET3"/>
      <sheetName val="except_wiring11"/>
      <sheetName val="wiring&amp;ltg_11"/>
      <sheetName val="Annexure-1_11"/>
      <sheetName val="220KV_CS11"/>
      <sheetName val="3BPA00132-5-3_W_plan_HVPNL11"/>
      <sheetName val="2B_for_Sub_Station_F_I_11"/>
      <sheetName val="DETAILED__BOQ11"/>
      <sheetName val="B_Sheetbajaj4"/>
      <sheetName val="RATE-ANAY_5"/>
      <sheetName val="REVENUES_&amp;_BS5"/>
      <sheetName val="Break_up_Sheet5"/>
      <sheetName val="beam-reinft-IIInd_floor5"/>
      <sheetName val="bs_BP_04_SA4"/>
      <sheetName val="Scheme_Area_Details_Block___C25"/>
      <sheetName val="Prop_aug_of_Ex_33KVSS_E3a5"/>
      <sheetName val="HPC_Sheet5"/>
      <sheetName val="sq_ftg_detail5"/>
      <sheetName val="CFForecast_detail5"/>
      <sheetName val="Discount_Rate_5"/>
      <sheetName val="beam-reinft-machine_rm5"/>
      <sheetName val="Fill_this_out_first___5"/>
      <sheetName val="Data_14"/>
      <sheetName val="TL_rieng4"/>
      <sheetName val="Civil_Boq4"/>
      <sheetName val="PRECAST_lightconc-II4"/>
      <sheetName val="StructEarth_34"/>
      <sheetName val="M_S_4"/>
      <sheetName val="Sheet_14"/>
      <sheetName val="D_Partida4"/>
      <sheetName val="hydraulical_model4"/>
      <sheetName val="FDn_Wet4"/>
      <sheetName val="Tower_Erection4"/>
      <sheetName val="Cable_size4"/>
      <sheetName val="Load_Details-220kV4"/>
      <sheetName val="COST_SHEET4"/>
      <sheetName val="except_wiring16"/>
      <sheetName val="wiring&amp;ltg_16"/>
      <sheetName val="Annexure-1_16"/>
      <sheetName val="220KV_CS16"/>
      <sheetName val="3BPA00132-5-3_W_plan_HVPNL16"/>
      <sheetName val="2B_for_Sub_Station_F_I_16"/>
      <sheetName val="DETAILED__BOQ16"/>
      <sheetName val="Break_up_Sheet10"/>
      <sheetName val="beam-reinft-IIInd_floor10"/>
      <sheetName val="REVENUES_&amp;_BS10"/>
      <sheetName val="Scheme_Area_Details_Block___C10"/>
      <sheetName val="Prop_aug_of_Ex_33KVSS_E3a10"/>
      <sheetName val="HPC_Sheet10"/>
      <sheetName val="RATE-ANAY_10"/>
      <sheetName val="sq_ftg_detail10"/>
      <sheetName val="CFForecast_detail10"/>
      <sheetName val="Discount_Rate_10"/>
      <sheetName val="beam-reinft-machine_rm10"/>
      <sheetName val="Fill_this_out_first___10"/>
      <sheetName val="bs_BP_04_SA9"/>
      <sheetName val="B_Sheetbajaj9"/>
      <sheetName val="Data_19"/>
      <sheetName val="TL_rieng9"/>
      <sheetName val="Civil_Boq9"/>
      <sheetName val="PRECAST_lightconc-II9"/>
      <sheetName val="StructEarth_39"/>
      <sheetName val="M_S_9"/>
      <sheetName val="Sheet_19"/>
      <sheetName val="D_Partida9"/>
      <sheetName val="hydraulical_model9"/>
      <sheetName val="FDn_Wet9"/>
      <sheetName val="Tower_Erection9"/>
      <sheetName val="Cable_size9"/>
      <sheetName val="Load_Details-220kV9"/>
      <sheetName val="COST_SHEET9"/>
      <sheetName val="except_wiring12"/>
      <sheetName val="wiring&amp;ltg_12"/>
      <sheetName val="Annexure-1_12"/>
      <sheetName val="220KV_CS12"/>
      <sheetName val="3BPA00132-5-3_W_plan_HVPNL12"/>
      <sheetName val="2B_for_Sub_Station_F_I_12"/>
      <sheetName val="DETAILED__BOQ12"/>
      <sheetName val="B_Sheetbajaj5"/>
      <sheetName val="RATE-ANAY_6"/>
      <sheetName val="REVENUES_&amp;_BS6"/>
      <sheetName val="Break_up_Sheet6"/>
      <sheetName val="beam-reinft-IIInd_floor6"/>
      <sheetName val="bs_BP_04_SA5"/>
      <sheetName val="Scheme_Area_Details_Block___C26"/>
      <sheetName val="Prop_aug_of_Ex_33KVSS_E3a6"/>
      <sheetName val="HPC_Sheet6"/>
      <sheetName val="sq_ftg_detail6"/>
      <sheetName val="CFForecast_detail6"/>
      <sheetName val="Discount_Rate_6"/>
      <sheetName val="beam-reinft-machine_rm6"/>
      <sheetName val="Fill_this_out_first___6"/>
      <sheetName val="Data_15"/>
      <sheetName val="TL_rieng5"/>
      <sheetName val="Civil_Boq5"/>
      <sheetName val="PRECAST_lightconc-II5"/>
      <sheetName val="StructEarth_35"/>
      <sheetName val="M_S_5"/>
      <sheetName val="Sheet_15"/>
      <sheetName val="D_Partida5"/>
      <sheetName val="hydraulical_model5"/>
      <sheetName val="FDn_Wet5"/>
      <sheetName val="Tower_Erection5"/>
      <sheetName val="Cable_size5"/>
      <sheetName val="Load_Details-220kV5"/>
      <sheetName val="COST_SHEET5"/>
      <sheetName val="F_13"/>
      <sheetName val="Leg_1-13"/>
      <sheetName val="except_wiring14"/>
      <sheetName val="wiring&amp;ltg_14"/>
      <sheetName val="Annexure-1_14"/>
      <sheetName val="220KV_CS14"/>
      <sheetName val="3BPA00132-5-3_W_plan_HVPNL14"/>
      <sheetName val="2B_for_Sub_Station_F_I_14"/>
      <sheetName val="DETAILED__BOQ14"/>
      <sheetName val="B_Sheetbajaj7"/>
      <sheetName val="RATE-ANAY_8"/>
      <sheetName val="REVENUES_&amp;_BS8"/>
      <sheetName val="Break_up_Sheet8"/>
      <sheetName val="beam-reinft-IIInd_floor8"/>
      <sheetName val="bs_BP_04_SA7"/>
      <sheetName val="Scheme_Area_Details_Block___C28"/>
      <sheetName val="Prop_aug_of_Ex_33KVSS_E3a8"/>
      <sheetName val="HPC_Sheet8"/>
      <sheetName val="sq_ftg_detail8"/>
      <sheetName val="CFForecast_detail8"/>
      <sheetName val="Discount_Rate_8"/>
      <sheetName val="beam-reinft-machine_rm8"/>
      <sheetName val="Fill_this_out_first___8"/>
      <sheetName val="Data_17"/>
      <sheetName val="TL_rieng7"/>
      <sheetName val="Civil_Boq7"/>
      <sheetName val="PRECAST_lightconc-II7"/>
      <sheetName val="StructEarth_37"/>
      <sheetName val="M_S_7"/>
      <sheetName val="Sheet_17"/>
      <sheetName val="D_Partida7"/>
      <sheetName val="hydraulical_model7"/>
      <sheetName val="FDn_Wet7"/>
      <sheetName val="Tower_Erection7"/>
      <sheetName val="Cable_size7"/>
      <sheetName val="Load_Details-220kV7"/>
      <sheetName val="COST_SHEET7"/>
      <sheetName val="F_11"/>
      <sheetName val="Leg_1-11"/>
      <sheetName val="except_wiring13"/>
      <sheetName val="wiring&amp;ltg_13"/>
      <sheetName val="Annexure-1_13"/>
      <sheetName val="220KV_CS13"/>
      <sheetName val="3BPA00132-5-3_W_plan_HVPNL13"/>
      <sheetName val="2B_for_Sub_Station_F_I_13"/>
      <sheetName val="DETAILED__BOQ13"/>
      <sheetName val="Break_up_Sheet7"/>
      <sheetName val="beam-reinft-IIInd_floor7"/>
      <sheetName val="REVENUES_&amp;_BS7"/>
      <sheetName val="Scheme_Area_Details_Block___C27"/>
      <sheetName val="Prop_aug_of_Ex_33KVSS_E3a7"/>
      <sheetName val="HPC_Sheet7"/>
      <sheetName val="RATE-ANAY_7"/>
      <sheetName val="sq_ftg_detail7"/>
      <sheetName val="CFForecast_detail7"/>
      <sheetName val="Discount_Rate_7"/>
      <sheetName val="beam-reinft-machine_rm7"/>
      <sheetName val="Fill_this_out_first___7"/>
      <sheetName val="bs_BP_04_SA6"/>
      <sheetName val="B_Sheetbajaj6"/>
      <sheetName val="Data_16"/>
      <sheetName val="TL_rieng6"/>
      <sheetName val="Civil_Boq6"/>
      <sheetName val="PRECAST_lightconc-II6"/>
      <sheetName val="StructEarth_36"/>
      <sheetName val="M_S_6"/>
      <sheetName val="Sheet_16"/>
      <sheetName val="D_Partida6"/>
      <sheetName val="hydraulical_model6"/>
      <sheetName val="FDn_Wet6"/>
      <sheetName val="Tower_Erection6"/>
      <sheetName val="Cable_size6"/>
      <sheetName val="Load_Details-220kV6"/>
      <sheetName val="COST_SHEET6"/>
      <sheetName val="F_1"/>
      <sheetName val="Leg_1-1"/>
      <sheetName val="except_wiring15"/>
      <sheetName val="wiring&amp;ltg_15"/>
      <sheetName val="Annexure-1_15"/>
      <sheetName val="220KV_CS15"/>
      <sheetName val="3BPA00132-5-3_W_plan_HVPNL15"/>
      <sheetName val="2B_for_Sub_Station_F_I_15"/>
      <sheetName val="DETAILED__BOQ15"/>
      <sheetName val="Break_up_Sheet9"/>
      <sheetName val="beam-reinft-IIInd_floor9"/>
      <sheetName val="REVENUES_&amp;_BS9"/>
      <sheetName val="Scheme_Area_Details_Block___C29"/>
      <sheetName val="Prop_aug_of_Ex_33KVSS_E3a9"/>
      <sheetName val="HPC_Sheet9"/>
      <sheetName val="RATE-ANAY_9"/>
      <sheetName val="sq_ftg_detail9"/>
      <sheetName val="CFForecast_detail9"/>
      <sheetName val="Discount_Rate_9"/>
      <sheetName val="beam-reinft-machine_rm9"/>
      <sheetName val="Fill_this_out_first___9"/>
      <sheetName val="bs_BP_04_SA8"/>
      <sheetName val="B_Sheetbajaj8"/>
      <sheetName val="Data_18"/>
      <sheetName val="TL_rieng8"/>
      <sheetName val="Civil_Boq8"/>
      <sheetName val="PRECAST_lightconc-II8"/>
      <sheetName val="StructEarth_38"/>
      <sheetName val="M_S_8"/>
      <sheetName val="Sheet_18"/>
      <sheetName val="D_Partida8"/>
      <sheetName val="hydraulical_model8"/>
      <sheetName val="FDn_Wet8"/>
      <sheetName val="Tower_Erection8"/>
      <sheetName val="Cable_size8"/>
      <sheetName val="Load_Details-220kV8"/>
      <sheetName val="COST_SHEET8"/>
      <sheetName val="F_12"/>
      <sheetName val="Leg_1-12"/>
      <sheetName val="except_wiring17"/>
      <sheetName val="wiring&amp;ltg_17"/>
      <sheetName val="Annexure-1_17"/>
      <sheetName val="220KV_CS17"/>
      <sheetName val="3BPA00132-5-3_W_plan_HVPNL17"/>
      <sheetName val="2B_for_Sub_Station_F_I_17"/>
      <sheetName val="DETAILED__BOQ17"/>
      <sheetName val="B_Sheetbajaj10"/>
      <sheetName val="RATE-ANAY_11"/>
      <sheetName val="REVENUES_&amp;_BS11"/>
      <sheetName val="Break_up_Sheet11"/>
      <sheetName val="beam-reinft-IIInd_floor11"/>
      <sheetName val="bs_BP_04_SA10"/>
      <sheetName val="Scheme_Area_Details_Block___C11"/>
      <sheetName val="Prop_aug_of_Ex_33KVSS_E3a11"/>
      <sheetName val="HPC_Sheet11"/>
      <sheetName val="sq_ftg_detail11"/>
      <sheetName val="CFForecast_detail11"/>
      <sheetName val="Discount_Rate_11"/>
      <sheetName val="beam-reinft-machine_rm11"/>
      <sheetName val="Fill_this_out_first___11"/>
      <sheetName val="Data_110"/>
      <sheetName val="TL_rieng10"/>
      <sheetName val="Civil_Boq10"/>
      <sheetName val="PRECAST_lightconc-II10"/>
      <sheetName val="StructEarth_310"/>
      <sheetName val="M_S_10"/>
      <sheetName val="Sheet_110"/>
      <sheetName val="D_Partida10"/>
      <sheetName val="hydraulical_model10"/>
      <sheetName val="FDn_Wet10"/>
      <sheetName val="Tower_Erection10"/>
      <sheetName val="Cable_size10"/>
      <sheetName val="Load_Details-220kV10"/>
      <sheetName val="COST_SHEET10"/>
      <sheetName val="F_14"/>
      <sheetName val="Leg_1-14"/>
      <sheetName val="except_wiring18"/>
      <sheetName val="wiring&amp;ltg_18"/>
      <sheetName val="Annexure-1_18"/>
      <sheetName val="220KV_CS18"/>
      <sheetName val="3BPA00132-5-3_W_plan_HVPNL18"/>
      <sheetName val="2B_for_Sub_Station_F_I_18"/>
      <sheetName val="DETAILED__BOQ18"/>
      <sheetName val="Break_up_Sheet12"/>
      <sheetName val="beam-reinft-IIInd_floor12"/>
      <sheetName val="REVENUES_&amp;_BS12"/>
      <sheetName val="Scheme_Area_Details_Block___C12"/>
      <sheetName val="Prop_aug_of_Ex_33KVSS_E3a12"/>
      <sheetName val="HPC_Sheet12"/>
      <sheetName val="RATE-ANAY_12"/>
      <sheetName val="sq_ftg_detail12"/>
      <sheetName val="CFForecast_detail12"/>
      <sheetName val="Discount_Rate_12"/>
      <sheetName val="beam-reinft-machine_rm12"/>
      <sheetName val="Fill_this_out_first___12"/>
      <sheetName val="bs_BP_04_SA11"/>
      <sheetName val="B_Sheetbajaj11"/>
      <sheetName val="Data_111"/>
      <sheetName val="TL_rieng11"/>
      <sheetName val="Civil_Boq11"/>
      <sheetName val="PRECAST_lightconc-II11"/>
      <sheetName val="StructEarth_311"/>
      <sheetName val="M_S_11"/>
      <sheetName val="Sheet_111"/>
      <sheetName val="D_Partida11"/>
      <sheetName val="hydraulical_model11"/>
      <sheetName val="FDn_Wet11"/>
      <sheetName val="Tower_Erection11"/>
      <sheetName val="Cable_size11"/>
      <sheetName val="Load_Details-220kV11"/>
      <sheetName val="COST_SHEET11"/>
      <sheetName val="F_15"/>
      <sheetName val="Leg_1-15"/>
      <sheetName val="except_wiring19"/>
      <sheetName val="wiring&amp;ltg_19"/>
      <sheetName val="Annexure-1_19"/>
      <sheetName val="220KV_CS19"/>
      <sheetName val="3BPA00132-5-3_W_plan_HVPNL19"/>
      <sheetName val="2B_for_Sub_Station_F_I_19"/>
      <sheetName val="DETAILED__BOQ19"/>
      <sheetName val="B_Sheetbajaj12"/>
      <sheetName val="RATE-ANAY_13"/>
      <sheetName val="REVENUES_&amp;_BS13"/>
      <sheetName val="Break_up_Sheet13"/>
      <sheetName val="beam-reinft-IIInd_floor13"/>
      <sheetName val="bs_BP_04_SA12"/>
      <sheetName val="Scheme_Area_Details_Block___C13"/>
      <sheetName val="Prop_aug_of_Ex_33KVSS_E3a13"/>
      <sheetName val="HPC_Sheet13"/>
      <sheetName val="sq_ftg_detail13"/>
      <sheetName val="CFForecast_detail13"/>
      <sheetName val="Discount_Rate_13"/>
      <sheetName val="beam-reinft-machine_rm13"/>
      <sheetName val="Fill_this_out_first___13"/>
      <sheetName val="Data_112"/>
      <sheetName val="TL_rieng12"/>
      <sheetName val="Civil_Boq12"/>
      <sheetName val="PRECAST_lightconc-II12"/>
      <sheetName val="StructEarth_312"/>
      <sheetName val="M_S_12"/>
      <sheetName val="Sheet_112"/>
      <sheetName val="D_Partida12"/>
      <sheetName val="hydraulical_model12"/>
      <sheetName val="FDn_Wet12"/>
      <sheetName val="Tower_Erection12"/>
      <sheetName val="Cable_size12"/>
      <sheetName val="Load_Details-220kV12"/>
      <sheetName val="COST_SHEET12"/>
      <sheetName val="F_16"/>
      <sheetName val="Leg_1-16"/>
      <sheetName val="except_wiring21"/>
      <sheetName val="wiring&amp;ltg_21"/>
      <sheetName val="Annexure-1_21"/>
      <sheetName val="220KV_CS21"/>
      <sheetName val="3BPA00132-5-3_W_plan_HVPNL21"/>
      <sheetName val="2B_for_Sub_Station_F_I_21"/>
      <sheetName val="DETAILED__BOQ21"/>
      <sheetName val="B_Sheetbajaj14"/>
      <sheetName val="RATE-ANAY_15"/>
      <sheetName val="REVENUES_&amp;_BS15"/>
      <sheetName val="Break_up_Sheet15"/>
      <sheetName val="beam-reinft-IIInd_floor15"/>
      <sheetName val="bs_BP_04_SA14"/>
      <sheetName val="Scheme_Area_Details_Block___C15"/>
      <sheetName val="Prop_aug_of_Ex_33KVSS_E3a15"/>
      <sheetName val="HPC_Sheet15"/>
      <sheetName val="sq_ftg_detail15"/>
      <sheetName val="CFForecast_detail15"/>
      <sheetName val="Discount_Rate_15"/>
      <sheetName val="beam-reinft-machine_rm15"/>
      <sheetName val="Fill_this_out_first___15"/>
      <sheetName val="Data_114"/>
      <sheetName val="TL_rieng14"/>
      <sheetName val="Civil_Boq14"/>
      <sheetName val="PRECAST_lightconc-II14"/>
      <sheetName val="StructEarth_314"/>
      <sheetName val="M_S_14"/>
      <sheetName val="Sheet_114"/>
      <sheetName val="D_Partida14"/>
      <sheetName val="hydraulical_model14"/>
      <sheetName val="FDn_Wet14"/>
      <sheetName val="Tower_Erection14"/>
      <sheetName val="Cable_size14"/>
      <sheetName val="Load_Details-220kV14"/>
      <sheetName val="COST_SHEET14"/>
      <sheetName val="F_18"/>
      <sheetName val="Leg_1-18"/>
      <sheetName val="except_wiring22"/>
      <sheetName val="wiring&amp;ltg_22"/>
      <sheetName val="Annexure-1_22"/>
      <sheetName val="220KV_CS22"/>
      <sheetName val="3BPA00132-5-3_W_plan_HVPNL22"/>
      <sheetName val="2B_for_Sub_Station_F_I_22"/>
      <sheetName val="DETAILED__BOQ22"/>
      <sheetName val="B_Sheetbajaj15"/>
      <sheetName val="RATE-ANAY_16"/>
      <sheetName val="REVENUES_&amp;_BS16"/>
      <sheetName val="Break_up_Sheet16"/>
      <sheetName val="beam-reinft-IIInd_floor16"/>
      <sheetName val="bs_BP_04_SA15"/>
      <sheetName val="Scheme_Area_Details_Block___C16"/>
      <sheetName val="Prop_aug_of_Ex_33KVSS_E3a16"/>
      <sheetName val="HPC_Sheet16"/>
      <sheetName val="sq_ftg_detail16"/>
      <sheetName val="CFForecast_detail16"/>
      <sheetName val="Discount_Rate_16"/>
      <sheetName val="beam-reinft-machine_rm16"/>
      <sheetName val="Fill_this_out_first___16"/>
      <sheetName val="Data_115"/>
      <sheetName val="TL_rieng15"/>
      <sheetName val="Civil_Boq15"/>
      <sheetName val="PRECAST_lightconc-II15"/>
      <sheetName val="StructEarth_315"/>
      <sheetName val="M_S_15"/>
      <sheetName val="Sheet_115"/>
      <sheetName val="D_Partida15"/>
      <sheetName val="hydraulical_model15"/>
      <sheetName val="FDn_Wet15"/>
      <sheetName val="Tower_Erection15"/>
      <sheetName val="Cable_size15"/>
      <sheetName val="Load_Details-220kV15"/>
      <sheetName val="COST_SHEET15"/>
      <sheetName val="F_19"/>
      <sheetName val="Leg_1-19"/>
      <sheetName val=" AT-1-220 "/>
      <sheetName val=" BC-220"/>
      <sheetName val="Monthly Turnover (Final)"/>
      <sheetName val="TBAL9697 -group wise  sdpl"/>
      <sheetName val="97 사업추정(WEKI)"/>
      <sheetName val="TOPSHEET(OUTSIDE)"/>
      <sheetName val="Civil Works"/>
      <sheetName val="Design"/>
      <sheetName val="T187"/>
      <sheetName val="DREV"/>
      <sheetName val="CREV"/>
      <sheetName val="Rates_PVC"/>
      <sheetName val="block-a (mea.sheet)"/>
      <sheetName val="sc copm 3_3_3"/>
      <sheetName val="reference"/>
      <sheetName val="estimate"/>
      <sheetName val="专业费率"/>
      <sheetName val=" working Sheet"/>
      <sheetName val="Beam at Ground flr lvl(Steel)"/>
      <sheetName val="Beam"/>
      <sheetName val="Main-Material"/>
      <sheetName val="Report"/>
      <sheetName val="Fin Sum"/>
      <sheetName val="horizontal"/>
      <sheetName val="A.O.R."/>
      <sheetName val="COLUMN"/>
      <sheetName val="Cal"/>
      <sheetName val="Data"/>
      <sheetName val="Voucher"/>
      <sheetName val="FORM7"/>
      <sheetName val="Material"/>
      <sheetName val="Plant &amp;  Machinery"/>
      <sheetName val="INPUT SHEET"/>
      <sheetName val="Cashflow projection"/>
      <sheetName val="DetEst"/>
      <sheetName val="labour"/>
      <sheetName val="Final MEASUREMENT RA - 07"/>
      <sheetName val="GR.slab-reinft"/>
      <sheetName val="sheeet7"/>
      <sheetName val="A"/>
      <sheetName val="Design sheet"/>
      <sheetName val="beam-reinft"/>
      <sheetName val="WPR-IV"/>
      <sheetName val="Sales_Eur"/>
      <sheetName val="p&amp;m"/>
      <sheetName val="DOOR-WIND"/>
      <sheetName val="DWTables"/>
      <sheetName val="labour coeff"/>
      <sheetName val="except_wiring23"/>
      <sheetName val="wiring&amp;ltg_23"/>
      <sheetName val="Annexure-1_23"/>
      <sheetName val="220KV_CS23"/>
      <sheetName val="3BPA00132-5-3_W_plan_HVPNL23"/>
      <sheetName val="B_Sheetbajaj16"/>
      <sheetName val="DETAILED__BOQ23"/>
      <sheetName val="2B_for_Sub_Station_F_I_23"/>
      <sheetName val="RATE-ANAY_17"/>
      <sheetName val="REVENUES_&amp;_BS17"/>
      <sheetName val="Break_up_Sheet17"/>
      <sheetName val="beam-reinft-IIInd_floor17"/>
      <sheetName val="bs_BP_04_SA16"/>
      <sheetName val="Scheme_Area_Details_Block___C17"/>
      <sheetName val="Prop_aug_of_Ex_33KVSS_E3a17"/>
      <sheetName val="HPC_Sheet17"/>
      <sheetName val="sq_ftg_detail17"/>
      <sheetName val="CFForecast_detail17"/>
      <sheetName val="Discount_Rate_17"/>
      <sheetName val="beam-reinft-machine_rm17"/>
      <sheetName val="Fill_this_out_first___17"/>
      <sheetName val="Data_116"/>
      <sheetName val="TL_rieng16"/>
      <sheetName val="Civil_Boq16"/>
      <sheetName val="PRECAST_lightconc-II16"/>
      <sheetName val="StructEarth_316"/>
      <sheetName val="M_S_16"/>
      <sheetName val="Sheet_116"/>
      <sheetName val="D_Partida16"/>
      <sheetName val="hydraulical_model16"/>
      <sheetName val="FDn_Wet16"/>
      <sheetName val="Tower_Erection16"/>
      <sheetName val="Cable_size16"/>
      <sheetName val="Load_Details-220kV16"/>
      <sheetName val="COST_SHEET16"/>
      <sheetName val="F_110"/>
      <sheetName val="Leg_1-110"/>
      <sheetName val="except_wiring24"/>
      <sheetName val="wiring&amp;ltg_24"/>
      <sheetName val="Annexure-1_24"/>
      <sheetName val="220KV_CS24"/>
      <sheetName val="3BPA00132-5-3_W_plan_HVPNL24"/>
      <sheetName val="2B_for_Sub_Station_F_I_24"/>
      <sheetName val="DETAILED__BOQ24"/>
      <sheetName val="B_Sheetbajaj17"/>
      <sheetName val="RATE-ANAY_18"/>
      <sheetName val="REVENUES_&amp;_BS18"/>
      <sheetName val="Break_up_Sheet18"/>
      <sheetName val="beam-reinft-IIInd_floor18"/>
      <sheetName val="bs_BP_04_SA17"/>
      <sheetName val="Scheme_Area_Details_Block___C18"/>
      <sheetName val="Prop_aug_of_Ex_33KVSS_E3a18"/>
      <sheetName val="HPC_Sheet18"/>
      <sheetName val="sq_ftg_detail18"/>
      <sheetName val="CFForecast_detail18"/>
      <sheetName val="Discount_Rate_18"/>
      <sheetName val="beam-reinft-machine_rm18"/>
      <sheetName val="Fill_this_out_first___18"/>
      <sheetName val="Data_117"/>
      <sheetName val="TL_rieng17"/>
      <sheetName val="Civil_Boq17"/>
      <sheetName val="PRECAST_lightconc-II17"/>
      <sheetName val="StructEarth_317"/>
      <sheetName val="M_S_17"/>
      <sheetName val="Sheet_117"/>
      <sheetName val="D_Partida17"/>
      <sheetName val="hydraulical_model17"/>
      <sheetName val="FDn_Wet17"/>
      <sheetName val="Tower_Erection17"/>
      <sheetName val="Cable_size17"/>
      <sheetName val="Load_Details-220kV17"/>
      <sheetName val="COST_SHEET17"/>
      <sheetName val="F_111"/>
      <sheetName val="Leg_1-111"/>
      <sheetName val="except_wiring25"/>
      <sheetName val="wiring&amp;ltg_25"/>
      <sheetName val="Annexure-1_25"/>
      <sheetName val="220KV_CS25"/>
      <sheetName val="3BPA00132-5-3_W_plan_HVPNL25"/>
      <sheetName val="B_Sheetbajaj18"/>
      <sheetName val="DETAILED__BOQ25"/>
      <sheetName val="2B_for_Sub_Station_F_I_25"/>
      <sheetName val="RATE-ANAY_19"/>
      <sheetName val="REVENUES_&amp;_BS19"/>
      <sheetName val="Break_up_Sheet19"/>
      <sheetName val="beam-reinft-IIInd_floor19"/>
      <sheetName val="bs_BP_04_SA18"/>
      <sheetName val="Scheme_Area_Details_Block___C19"/>
      <sheetName val="Prop_aug_of_Ex_33KVSS_E3a19"/>
      <sheetName val="HPC_Sheet19"/>
      <sheetName val="sq_ftg_detail19"/>
      <sheetName val="CFForecast_detail19"/>
      <sheetName val="Discount_Rate_19"/>
      <sheetName val="beam-reinft-machine_rm19"/>
      <sheetName val="Fill_this_out_first___19"/>
      <sheetName val="Data_118"/>
      <sheetName val="TL_rieng18"/>
      <sheetName val="Civil_Boq18"/>
      <sheetName val="PRECAST_lightconc-II18"/>
      <sheetName val="StructEarth_318"/>
      <sheetName val="M_S_18"/>
      <sheetName val="Sheet_118"/>
      <sheetName val="D_Partida18"/>
      <sheetName val="hydraulical_model18"/>
      <sheetName val="FDn_Wet18"/>
      <sheetName val="Tower_Erection18"/>
      <sheetName val="Cable_size18"/>
      <sheetName val="Load_Details-220kV18"/>
      <sheetName val="COST_SHEET18"/>
      <sheetName val="F_112"/>
      <sheetName val="Leg_1-112"/>
      <sheetName val="except_wiring30"/>
      <sheetName val="wiring&amp;ltg_30"/>
      <sheetName val="Annexure-1_30"/>
      <sheetName val="220KV_CS30"/>
      <sheetName val="3BPA00132-5-3_W_plan_HVPNL30"/>
      <sheetName val="DETAILED__BOQ30"/>
      <sheetName val="2B_for_Sub_Station_F_I_30"/>
      <sheetName val="B_Sheetbajaj23"/>
      <sheetName val="RATE-ANAY_24"/>
      <sheetName val="REVENUES_&amp;_BS24"/>
      <sheetName val="Break_up_Sheet24"/>
      <sheetName val="beam-reinft-IIInd_floor24"/>
      <sheetName val="bs_BP_04_SA23"/>
      <sheetName val="Scheme_Area_Details_Block___C33"/>
      <sheetName val="Prop_aug_of_Ex_33KVSS_E3a24"/>
      <sheetName val="HPC_Sheet24"/>
      <sheetName val="sq_ftg_detail24"/>
      <sheetName val="CFForecast_detail24"/>
      <sheetName val="Discount_Rate_24"/>
      <sheetName val="beam-reinft-machine_rm24"/>
      <sheetName val="Fill_this_out_first___24"/>
      <sheetName val="Data_123"/>
      <sheetName val="TL_rieng23"/>
      <sheetName val="Civil_Boq23"/>
      <sheetName val="PRECAST_lightconc-II23"/>
      <sheetName val="StructEarth_323"/>
      <sheetName val="M_S_23"/>
      <sheetName val="Sheet_123"/>
      <sheetName val="D_Partida23"/>
      <sheetName val="hydraulical_model23"/>
      <sheetName val="FDn_Wet23"/>
      <sheetName val="Tower_Erection23"/>
      <sheetName val="Cable_size23"/>
      <sheetName val="Load_Details-220kV23"/>
      <sheetName val="COST_SHEET23"/>
      <sheetName val="F_117"/>
      <sheetName val="Leg_1-117"/>
      <sheetName val="except_wiring29"/>
      <sheetName val="wiring&amp;ltg_29"/>
      <sheetName val="Annexure-1_29"/>
      <sheetName val="220KV_CS29"/>
      <sheetName val="3BPA00132-5-3_W_plan_HVPNL29"/>
      <sheetName val="DETAILED__BOQ29"/>
      <sheetName val="2B_for_Sub_Station_F_I_29"/>
      <sheetName val="B_Sheetbajaj22"/>
      <sheetName val="RATE-ANAY_23"/>
      <sheetName val="REVENUES_&amp;_BS23"/>
      <sheetName val="Break_up_Sheet23"/>
      <sheetName val="beam-reinft-IIInd_floor23"/>
      <sheetName val="bs_BP_04_SA22"/>
      <sheetName val="Scheme_Area_Details_Block___C32"/>
      <sheetName val="Prop_aug_of_Ex_33KVSS_E3a23"/>
      <sheetName val="HPC_Sheet23"/>
      <sheetName val="sq_ftg_detail23"/>
      <sheetName val="CFForecast_detail23"/>
      <sheetName val="Discount_Rate_23"/>
      <sheetName val="beam-reinft-machine_rm23"/>
      <sheetName val="Fill_this_out_first___23"/>
      <sheetName val="Data_122"/>
      <sheetName val="TL_rieng22"/>
      <sheetName val="Civil_Boq22"/>
      <sheetName val="PRECAST_lightconc-II22"/>
      <sheetName val="StructEarth_322"/>
      <sheetName val="M_S_22"/>
      <sheetName val="Sheet_122"/>
      <sheetName val="D_Partida22"/>
      <sheetName val="hydraulical_model22"/>
      <sheetName val="FDn_Wet22"/>
      <sheetName val="Tower_Erection22"/>
      <sheetName val="Cable_size22"/>
      <sheetName val="Load_Details-220kV22"/>
      <sheetName val="COST_SHEET22"/>
      <sheetName val="F_116"/>
      <sheetName val="Leg_1-116"/>
      <sheetName val="except_wiring26"/>
      <sheetName val="wiring&amp;ltg_26"/>
      <sheetName val="Annexure-1_26"/>
      <sheetName val="220KV_CS26"/>
      <sheetName val="3BPA00132-5-3_W_plan_HVPNL26"/>
      <sheetName val="DETAILED__BOQ26"/>
      <sheetName val="2B_for_Sub_Station_F_I_26"/>
      <sheetName val="B_Sheetbajaj19"/>
      <sheetName val="RATE-ANAY_20"/>
      <sheetName val="REVENUES_&amp;_BS20"/>
      <sheetName val="Break_up_Sheet20"/>
      <sheetName val="beam-reinft-IIInd_floor20"/>
      <sheetName val="bs_BP_04_SA19"/>
      <sheetName val="Scheme_Area_Details_Block___C20"/>
      <sheetName val="Prop_aug_of_Ex_33KVSS_E3a20"/>
      <sheetName val="HPC_Sheet20"/>
      <sheetName val="sq_ftg_detail20"/>
      <sheetName val="CFForecast_detail20"/>
      <sheetName val="Discount_Rate_20"/>
      <sheetName val="beam-reinft-machine_rm20"/>
      <sheetName val="Fill_this_out_first___20"/>
      <sheetName val="Data_119"/>
      <sheetName val="TL_rieng19"/>
      <sheetName val="Civil_Boq19"/>
      <sheetName val="PRECAST_lightconc-II19"/>
      <sheetName val="StructEarth_319"/>
      <sheetName val="M_S_19"/>
      <sheetName val="Sheet_119"/>
      <sheetName val="D_Partida19"/>
      <sheetName val="hydraulical_model19"/>
      <sheetName val="FDn_Wet19"/>
      <sheetName val="Tower_Erection19"/>
      <sheetName val="Cable_size19"/>
      <sheetName val="Load_Details-220kV19"/>
      <sheetName val="COST_SHEET19"/>
      <sheetName val="F_113"/>
      <sheetName val="Leg_1-113"/>
      <sheetName val="except_wiring27"/>
      <sheetName val="wiring&amp;ltg_27"/>
      <sheetName val="Annexure-1_27"/>
      <sheetName val="220KV_CS27"/>
      <sheetName val="3BPA00132-5-3_W_plan_HVPNL27"/>
      <sheetName val="DETAILED__BOQ27"/>
      <sheetName val="2B_for_Sub_Station_F_I_27"/>
      <sheetName val="B_Sheetbajaj20"/>
      <sheetName val="RATE-ANAY_21"/>
      <sheetName val="REVENUES_&amp;_BS21"/>
      <sheetName val="Break_up_Sheet21"/>
      <sheetName val="beam-reinft-IIInd_floor21"/>
      <sheetName val="bs_BP_04_SA20"/>
      <sheetName val="Scheme_Area_Details_Block___C30"/>
      <sheetName val="Prop_aug_of_Ex_33KVSS_E3a21"/>
      <sheetName val="HPC_Sheet21"/>
      <sheetName val="sq_ftg_detail21"/>
      <sheetName val="CFForecast_detail21"/>
      <sheetName val="Discount_Rate_21"/>
      <sheetName val="beam-reinft-machine_rm21"/>
      <sheetName val="Fill_this_out_first___21"/>
      <sheetName val="Data_120"/>
      <sheetName val="TL_rieng20"/>
      <sheetName val="Civil_Boq20"/>
      <sheetName val="PRECAST_lightconc-II20"/>
      <sheetName val="StructEarth_320"/>
      <sheetName val="M_S_20"/>
      <sheetName val="Sheet_120"/>
      <sheetName val="D_Partida20"/>
      <sheetName val="hydraulical_model20"/>
      <sheetName val="FDn_Wet20"/>
      <sheetName val="Tower_Erection20"/>
      <sheetName val="Cable_size20"/>
      <sheetName val="Load_Details-220kV20"/>
      <sheetName val="COST_SHEET20"/>
      <sheetName val="F_114"/>
      <sheetName val="Leg_1-114"/>
      <sheetName val="except_wiring28"/>
      <sheetName val="wiring&amp;ltg_28"/>
      <sheetName val="Annexure-1_28"/>
      <sheetName val="220KV_CS28"/>
      <sheetName val="3BPA00132-5-3_W_plan_HVPNL28"/>
      <sheetName val="DETAILED__BOQ28"/>
      <sheetName val="2B_for_Sub_Station_F_I_28"/>
      <sheetName val="B_Sheetbajaj21"/>
      <sheetName val="RATE-ANAY_22"/>
      <sheetName val="REVENUES_&amp;_BS22"/>
      <sheetName val="Break_up_Sheet22"/>
      <sheetName val="beam-reinft-IIInd_floor22"/>
      <sheetName val="bs_BP_04_SA21"/>
      <sheetName val="Scheme_Area_Details_Block___C31"/>
      <sheetName val="Prop_aug_of_Ex_33KVSS_E3a22"/>
      <sheetName val="HPC_Sheet22"/>
      <sheetName val="sq_ftg_detail22"/>
      <sheetName val="CFForecast_detail22"/>
      <sheetName val="Discount_Rate_22"/>
      <sheetName val="beam-reinft-machine_rm22"/>
      <sheetName val="Fill_this_out_first___22"/>
      <sheetName val="Data_121"/>
      <sheetName val="TL_rieng21"/>
      <sheetName val="Civil_Boq21"/>
      <sheetName val="PRECAST_lightconc-II21"/>
      <sheetName val="StructEarth_321"/>
      <sheetName val="M_S_21"/>
      <sheetName val="Sheet_121"/>
      <sheetName val="D_Partida21"/>
      <sheetName val="hydraulical_model21"/>
      <sheetName val="FDn_Wet21"/>
      <sheetName val="Tower_Erection21"/>
      <sheetName val="Cable_size21"/>
      <sheetName val="Load_Details-220kV21"/>
      <sheetName val="COST_SHEET21"/>
      <sheetName val="F_115"/>
      <sheetName val="Leg_1-115"/>
      <sheetName val="except_wiring31"/>
      <sheetName val="wiring&amp;ltg_31"/>
      <sheetName val="Annexure-1_31"/>
      <sheetName val="220KV_CS31"/>
      <sheetName val="3BPA00132-5-3_W_plan_HVPNL31"/>
      <sheetName val="DETAILED__BOQ31"/>
      <sheetName val="2B_for_Sub_Station_F_I_31"/>
      <sheetName val="B_Sheetbajaj24"/>
      <sheetName val="RATE-ANAY_25"/>
      <sheetName val="REVENUES_&amp;_BS25"/>
      <sheetName val="Break_up_Sheet25"/>
      <sheetName val="beam-reinft-IIInd_floor25"/>
      <sheetName val="bs_BP_04_SA24"/>
      <sheetName val="Scheme_Area_Details_Block___C34"/>
      <sheetName val="Prop_aug_of_Ex_33KVSS_E3a25"/>
      <sheetName val="HPC_Sheet25"/>
      <sheetName val="sq_ftg_detail25"/>
      <sheetName val="CFForecast_detail25"/>
      <sheetName val="Discount_Rate_25"/>
      <sheetName val="beam-reinft-machine_rm25"/>
      <sheetName val="Fill_this_out_first___25"/>
      <sheetName val="Data_124"/>
      <sheetName val="TL_rieng24"/>
      <sheetName val="Civil_Boq24"/>
      <sheetName val="PRECAST_lightconc-II24"/>
      <sheetName val="StructEarth_324"/>
      <sheetName val="M_S_24"/>
      <sheetName val="Sheet_124"/>
      <sheetName val="D_Partida24"/>
      <sheetName val="hydraulical_model24"/>
      <sheetName val="FDn_Wet24"/>
      <sheetName val="Tower_Erection24"/>
      <sheetName val="Cable_size24"/>
      <sheetName val="Load_Details-220kV24"/>
      <sheetName val="COST_SHEET24"/>
      <sheetName val="F_118"/>
      <sheetName val="Leg_1-118"/>
      <sheetName val="except_wiring34"/>
      <sheetName val="wiring&amp;ltg_34"/>
      <sheetName val="Annexure-1_34"/>
      <sheetName val="220KV_CS34"/>
      <sheetName val="3BPA00132-5-3_W_plan_HVPNL34"/>
      <sheetName val="DETAILED__BOQ34"/>
      <sheetName val="2B_for_Sub_Station_F_I_34"/>
      <sheetName val="B_Sheetbajaj27"/>
      <sheetName val="RATE-ANAY_28"/>
      <sheetName val="REVENUES_&amp;_BS28"/>
      <sheetName val="Break_up_Sheet28"/>
      <sheetName val="beam-reinft-IIInd_floor28"/>
      <sheetName val="bs_BP_04_SA27"/>
      <sheetName val="Scheme_Area_Details_Block___C37"/>
      <sheetName val="Prop_aug_of_Ex_33KVSS_E3a28"/>
      <sheetName val="HPC_Sheet28"/>
      <sheetName val="sq_ftg_detail28"/>
      <sheetName val="CFForecast_detail28"/>
      <sheetName val="Discount_Rate_28"/>
      <sheetName val="beam-reinft-machine_rm28"/>
      <sheetName val="Fill_this_out_first___28"/>
      <sheetName val="Data_127"/>
      <sheetName val="TL_rieng27"/>
      <sheetName val="Civil_Boq27"/>
      <sheetName val="PRECAST_lightconc-II27"/>
      <sheetName val="StructEarth_327"/>
      <sheetName val="M_S_27"/>
      <sheetName val="Sheet_127"/>
      <sheetName val="D_Partida27"/>
      <sheetName val="hydraulical_model27"/>
      <sheetName val="FDn_Wet27"/>
      <sheetName val="Tower_Erection27"/>
      <sheetName val="Cable_size27"/>
      <sheetName val="Load_Details-220kV27"/>
      <sheetName val="COST_SHEET27"/>
      <sheetName val="F_121"/>
      <sheetName val="Leg_1-121"/>
      <sheetName val="except_wiring32"/>
      <sheetName val="wiring&amp;ltg_32"/>
      <sheetName val="Annexure-1_32"/>
      <sheetName val="220KV_CS32"/>
      <sheetName val="3BPA00132-5-3_W_plan_HVPNL32"/>
      <sheetName val="DETAILED__BOQ32"/>
      <sheetName val="2B_for_Sub_Station_F_I_32"/>
      <sheetName val="B_Sheetbajaj25"/>
      <sheetName val="RATE-ANAY_26"/>
      <sheetName val="REVENUES_&amp;_BS26"/>
      <sheetName val="Break_up_Sheet26"/>
      <sheetName val="beam-reinft-IIInd_floor26"/>
      <sheetName val="bs_BP_04_SA25"/>
      <sheetName val="Scheme_Area_Details_Block___C35"/>
      <sheetName val="Prop_aug_of_Ex_33KVSS_E3a26"/>
      <sheetName val="HPC_Sheet26"/>
      <sheetName val="sq_ftg_detail26"/>
      <sheetName val="CFForecast_detail26"/>
      <sheetName val="Discount_Rate_26"/>
      <sheetName val="beam-reinft-machine_rm26"/>
      <sheetName val="Fill_this_out_first___26"/>
      <sheetName val="Data_125"/>
      <sheetName val="TL_rieng25"/>
      <sheetName val="Civil_Boq25"/>
      <sheetName val="PRECAST_lightconc-II25"/>
      <sheetName val="StructEarth_325"/>
      <sheetName val="M_S_25"/>
      <sheetName val="Sheet_125"/>
      <sheetName val="D_Partida25"/>
      <sheetName val="hydraulical_model25"/>
      <sheetName val="FDn_Wet25"/>
      <sheetName val="Tower_Erection25"/>
      <sheetName val="Cable_size25"/>
      <sheetName val="Load_Details-220kV25"/>
      <sheetName val="COST_SHEET25"/>
      <sheetName val="F_119"/>
      <sheetName val="Leg_1-119"/>
      <sheetName val="except_wiring33"/>
      <sheetName val="wiring&amp;ltg_33"/>
      <sheetName val="Annexure-1_33"/>
      <sheetName val="220KV_CS33"/>
      <sheetName val="3BPA00132-5-3_W_plan_HVPNL33"/>
      <sheetName val="DETAILED__BOQ33"/>
      <sheetName val="2B_for_Sub_Station_F_I_33"/>
      <sheetName val="B_Sheetbajaj26"/>
      <sheetName val="RATE-ANAY_27"/>
      <sheetName val="REVENUES_&amp;_BS27"/>
      <sheetName val="Break_up_Sheet27"/>
      <sheetName val="beam-reinft-IIInd_floor27"/>
      <sheetName val="bs_BP_04_SA26"/>
      <sheetName val="Scheme_Area_Details_Block___C36"/>
      <sheetName val="Prop_aug_of_Ex_33KVSS_E3a27"/>
      <sheetName val="HPC_Sheet27"/>
      <sheetName val="sq_ftg_detail27"/>
      <sheetName val="CFForecast_detail27"/>
      <sheetName val="Discount_Rate_27"/>
      <sheetName val="beam-reinft-machine_rm27"/>
      <sheetName val="Fill_this_out_first___27"/>
      <sheetName val="Data_126"/>
      <sheetName val="TL_rieng26"/>
      <sheetName val="Civil_Boq26"/>
      <sheetName val="PRECAST_lightconc-II26"/>
      <sheetName val="StructEarth_326"/>
      <sheetName val="M_S_26"/>
      <sheetName val="Sheet_126"/>
      <sheetName val="D_Partida26"/>
      <sheetName val="hydraulical_model26"/>
      <sheetName val="FDn_Wet26"/>
      <sheetName val="Tower_Erection26"/>
      <sheetName val="Cable_size26"/>
      <sheetName val="Load_Details-220kV26"/>
      <sheetName val="COST_SHEET26"/>
      <sheetName val="F_120"/>
      <sheetName val="Leg_1-120"/>
      <sheetName val="except_wiring35"/>
      <sheetName val="wiring&amp;ltg_35"/>
      <sheetName val="Annexure-1_35"/>
      <sheetName val="220KV_CS35"/>
      <sheetName val="3BPA00132-5-3_W_plan_HVPNL35"/>
      <sheetName val="DETAILED__BOQ35"/>
      <sheetName val="2B_for_Sub_Station_F_I_35"/>
      <sheetName val="B_Sheetbajaj28"/>
      <sheetName val="RATE-ANAY_29"/>
      <sheetName val="REVENUES_&amp;_BS29"/>
      <sheetName val="Break_up_Sheet29"/>
      <sheetName val="beam-reinft-IIInd_floor29"/>
      <sheetName val="bs_BP_04_SA28"/>
      <sheetName val="Scheme_Area_Details_Block___C38"/>
      <sheetName val="Prop_aug_of_Ex_33KVSS_E3a29"/>
      <sheetName val="HPC_Sheet29"/>
      <sheetName val="sq_ftg_detail29"/>
      <sheetName val="CFForecast_detail29"/>
      <sheetName val="Discount_Rate_29"/>
      <sheetName val="beam-reinft-machine_rm29"/>
      <sheetName val="Fill_this_out_first___29"/>
      <sheetName val="Data_128"/>
      <sheetName val="TL_rieng28"/>
      <sheetName val="Civil_Boq28"/>
      <sheetName val="PRECAST_lightconc-II28"/>
      <sheetName val="StructEarth_328"/>
      <sheetName val="M_S_28"/>
      <sheetName val="Sheet_128"/>
      <sheetName val="D_Partida28"/>
      <sheetName val="hydraulical_model28"/>
      <sheetName val="FDn_Wet28"/>
      <sheetName val="Tower_Erection28"/>
      <sheetName val="Cable_size28"/>
      <sheetName val="Load_Details-220kV28"/>
      <sheetName val="COST_SHEET28"/>
      <sheetName val="F_122"/>
      <sheetName val="Leg_1-122"/>
      <sheetName val="_AT-1-220_"/>
      <sheetName val="_BC-220"/>
      <sheetName val="Monthly_Turnover_(Final)"/>
      <sheetName val="TBAL9697_-group_wise__sdpl"/>
      <sheetName val="97_사업추정(WEKI)"/>
      <sheetName val="Civil_Works"/>
      <sheetName val="block-a_(mea_sheet)"/>
      <sheetName val="sc_copm_3_3_3"/>
      <sheetName val="_working_Sheet"/>
      <sheetName val="Beam_at_Ground_flr_lvl(Steel)"/>
      <sheetName val="Fin_Sum"/>
      <sheetName val="A_O_R_"/>
      <sheetName val="Plant_&amp;__Machinery"/>
      <sheetName val="INPUT_SHEET"/>
      <sheetName val="Cashflow_projection"/>
      <sheetName val="Final_MEASUREMENT_RA_-_07"/>
      <sheetName val="GR_slab-reinft"/>
      <sheetName val="Design_sheet"/>
      <sheetName val="labour_coeff"/>
      <sheetName val="except_wiring36"/>
      <sheetName val="wiring&amp;ltg_36"/>
      <sheetName val="Annexure-1_36"/>
      <sheetName val="220KV_CS36"/>
      <sheetName val="3BPA00132-5-3_W_plan_HVPNL36"/>
      <sheetName val="DETAILED__BOQ36"/>
      <sheetName val="2B_for_Sub_Station_F_I_36"/>
      <sheetName val="B_Sheetbajaj29"/>
      <sheetName val="RATE-ANAY_30"/>
      <sheetName val="REVENUES_&amp;_BS30"/>
      <sheetName val="Break_up_Sheet30"/>
      <sheetName val="beam-reinft-IIInd_floor30"/>
      <sheetName val="bs_BP_04_SA29"/>
      <sheetName val="Scheme_Area_Details_Block___C39"/>
      <sheetName val="Prop_aug_of_Ex_33KVSS_E3a30"/>
      <sheetName val="HPC_Sheet30"/>
      <sheetName val="sq_ftg_detail30"/>
      <sheetName val="CFForecast_detail30"/>
      <sheetName val="Discount_Rate_30"/>
      <sheetName val="beam-reinft-machine_rm30"/>
      <sheetName val="Fill_this_out_first___30"/>
      <sheetName val="Data_129"/>
      <sheetName val="TL_rieng29"/>
      <sheetName val="Civil_Boq29"/>
      <sheetName val="PRECAST_lightconc-II29"/>
      <sheetName val="StructEarth_329"/>
      <sheetName val="M_S_29"/>
      <sheetName val="Sheet_129"/>
      <sheetName val="D_Partida29"/>
      <sheetName val="hydraulical_model29"/>
      <sheetName val="FDn_Wet29"/>
      <sheetName val="Tower_Erection29"/>
      <sheetName val="Cable_size29"/>
      <sheetName val="Load_Details-220kV29"/>
      <sheetName val="COST_SHEET29"/>
      <sheetName val="F_123"/>
      <sheetName val="Leg_1-123"/>
      <sheetName val="_AT-1-220_1"/>
      <sheetName val="_BC-2201"/>
      <sheetName val="Monthly_Turnover_(Final)1"/>
      <sheetName val="TBAL9697_-group_wise__sdpl1"/>
      <sheetName val="97_사업추정(WEKI)1"/>
      <sheetName val="Civil_Works1"/>
      <sheetName val="block-a_(mea_sheet)1"/>
      <sheetName val="sc_copm_3_3_31"/>
      <sheetName val="_working_Sheet1"/>
      <sheetName val="Beam_at_Ground_flr_lvl(Steel)1"/>
      <sheetName val="Fin_Sum1"/>
      <sheetName val="A_O_R_1"/>
      <sheetName val="Plant_&amp;__Machinery1"/>
      <sheetName val="INPUT_SHEET1"/>
      <sheetName val="Cashflow_projection1"/>
      <sheetName val="Final_MEASUREMENT_RA_-_071"/>
      <sheetName val="GR_slab-reinft1"/>
      <sheetName val="Design_sheet1"/>
      <sheetName val="labour_coeff1"/>
      <sheetName val="except_wiring37"/>
      <sheetName val="wiring&amp;ltg_37"/>
      <sheetName val="Annexure-1_37"/>
      <sheetName val="220KV_CS37"/>
      <sheetName val="3BPA00132-5-3_W_plan_HVPNL37"/>
      <sheetName val="DETAILED__BOQ37"/>
      <sheetName val="2B_for_Sub_Station_F_I_37"/>
      <sheetName val="B_Sheetbajaj30"/>
      <sheetName val="RATE-ANAY_31"/>
      <sheetName val="REVENUES_&amp;_BS31"/>
      <sheetName val="Break_up_Sheet31"/>
      <sheetName val="beam-reinft-IIInd_floor31"/>
      <sheetName val="bs_BP_04_SA30"/>
      <sheetName val="Scheme_Area_Details_Block___C40"/>
      <sheetName val="Prop_aug_of_Ex_33KVSS_E3a31"/>
      <sheetName val="HPC_Sheet31"/>
      <sheetName val="sq_ftg_detail31"/>
      <sheetName val="CFForecast_detail31"/>
      <sheetName val="Discount_Rate_31"/>
      <sheetName val="beam-reinft-machine_rm31"/>
      <sheetName val="Fill_this_out_first___31"/>
      <sheetName val="Data_130"/>
      <sheetName val="TL_rieng30"/>
      <sheetName val="Civil_Boq30"/>
      <sheetName val="PRECAST_lightconc-II30"/>
      <sheetName val="StructEarth_330"/>
      <sheetName val="M_S_30"/>
      <sheetName val="Sheet_130"/>
      <sheetName val="D_Partida30"/>
      <sheetName val="hydraulical_model30"/>
      <sheetName val="FDn_Wet30"/>
      <sheetName val="Tower_Erection30"/>
      <sheetName val="Cable_size30"/>
      <sheetName val="Load_Details-220kV30"/>
      <sheetName val="COST_SHEET30"/>
      <sheetName val="F_124"/>
      <sheetName val="Leg_1-124"/>
      <sheetName val="_AT-1-220_2"/>
      <sheetName val="_BC-2202"/>
      <sheetName val="Monthly_Turnover_(Final)2"/>
      <sheetName val="TBAL9697_-group_wise__sdpl2"/>
      <sheetName val="97_사업추정(WEKI)2"/>
      <sheetName val="Civil_Works2"/>
      <sheetName val="block-a_(mea_sheet)2"/>
      <sheetName val="sc_copm_3_3_32"/>
      <sheetName val="_working_Sheet2"/>
      <sheetName val="Beam_at_Ground_flr_lvl(Steel)2"/>
      <sheetName val="Fin_Sum2"/>
      <sheetName val="A_O_R_2"/>
      <sheetName val="Plant_&amp;__Machinery2"/>
      <sheetName val="INPUT_SHEET2"/>
      <sheetName val="Cashflow_projection2"/>
      <sheetName val="Final_MEASUREMENT_RA_-_072"/>
      <sheetName val="GR_slab-reinft2"/>
      <sheetName val="Design_sheet2"/>
      <sheetName val="labour_coeff2"/>
      <sheetName val="except_wiring38"/>
      <sheetName val="wiring&amp;ltg_38"/>
      <sheetName val="Annexure-1_38"/>
      <sheetName val="220KV_CS38"/>
      <sheetName val="3BPA00132-5-3_W_plan_HVPNL38"/>
      <sheetName val="DETAILED__BOQ38"/>
      <sheetName val="2B_for_Sub_Station_F_I_38"/>
      <sheetName val="B_Sheetbajaj31"/>
      <sheetName val="RATE-ANAY_32"/>
      <sheetName val="REVENUES_&amp;_BS32"/>
      <sheetName val="Break_up_Sheet32"/>
      <sheetName val="beam-reinft-IIInd_floor32"/>
      <sheetName val="bs_BP_04_SA31"/>
      <sheetName val="Scheme_Area_Details_Block___C41"/>
      <sheetName val="Prop_aug_of_Ex_33KVSS_E3a32"/>
      <sheetName val="HPC_Sheet32"/>
      <sheetName val="sq_ftg_detail32"/>
      <sheetName val="CFForecast_detail32"/>
      <sheetName val="Discount_Rate_32"/>
      <sheetName val="beam-reinft-machine_rm32"/>
      <sheetName val="Fill_this_out_first___32"/>
      <sheetName val="Data_131"/>
      <sheetName val="TL_rieng31"/>
      <sheetName val="Civil_Boq31"/>
      <sheetName val="PRECAST_lightconc-II31"/>
      <sheetName val="StructEarth_331"/>
      <sheetName val="M_S_31"/>
      <sheetName val="Sheet_131"/>
      <sheetName val="D_Partida31"/>
      <sheetName val="hydraulical_model31"/>
      <sheetName val="FDn_Wet31"/>
      <sheetName val="Tower_Erection31"/>
      <sheetName val="Cable_size31"/>
      <sheetName val="Load_Details-220kV31"/>
      <sheetName val="COST_SHEET31"/>
      <sheetName val="F_125"/>
      <sheetName val="Leg_1-125"/>
      <sheetName val="_AT-1-220_3"/>
      <sheetName val="_BC-2203"/>
      <sheetName val="Monthly_Turnover_(Final)3"/>
      <sheetName val="TBAL9697_-group_wise__sdpl3"/>
      <sheetName val="97_사업추정(WEKI)3"/>
      <sheetName val="Civil_Works3"/>
      <sheetName val="block-a_(mea_sheet)3"/>
      <sheetName val="sc_copm_3_3_33"/>
      <sheetName val="_working_Sheet3"/>
      <sheetName val="Beam_at_Ground_flr_lvl(Steel)3"/>
      <sheetName val="Fin_Sum3"/>
      <sheetName val="A_O_R_3"/>
      <sheetName val="Plant_&amp;__Machinery3"/>
      <sheetName val="INPUT_SHEET3"/>
      <sheetName val="Cashflow_projection3"/>
      <sheetName val="Final_MEASUREMENT_RA_-_073"/>
      <sheetName val="GR_slab-reinft3"/>
      <sheetName val="Design_sheet3"/>
      <sheetName val="labour_coeff3"/>
      <sheetName val="FA"/>
      <sheetName val="PL"/>
      <sheetName val="except_wiring39"/>
      <sheetName val="wiring&amp;ltg_39"/>
      <sheetName val="Annexure-1_39"/>
      <sheetName val="220KV_CS39"/>
      <sheetName val="3BPA00132-5-3_W_plan_HVPNL39"/>
      <sheetName val="DETAILED__BOQ39"/>
      <sheetName val="2B_for_Sub_Station_F_I_39"/>
      <sheetName val="B_Sheetbajaj32"/>
      <sheetName val="RATE-ANAY_33"/>
      <sheetName val="REVENUES_&amp;_BS33"/>
      <sheetName val="Break_up_Sheet33"/>
      <sheetName val="beam-reinft-IIInd_floor33"/>
      <sheetName val="bs_BP_04_SA32"/>
      <sheetName val="Scheme_Area_Details_Block___C42"/>
      <sheetName val="Prop_aug_of_Ex_33KVSS_E3a33"/>
      <sheetName val="HPC_Sheet33"/>
      <sheetName val="sq_ftg_detail33"/>
      <sheetName val="CFForecast_detail33"/>
      <sheetName val="Discount_Rate_33"/>
      <sheetName val="beam-reinft-machine_rm33"/>
      <sheetName val="Fill_this_out_first___33"/>
      <sheetName val="Data_132"/>
      <sheetName val="TL_rieng32"/>
      <sheetName val="Civil_Boq32"/>
      <sheetName val="PRECAST_lightconc-II32"/>
      <sheetName val="StructEarth_332"/>
      <sheetName val="M_S_32"/>
      <sheetName val="Sheet_132"/>
      <sheetName val="D_Partida32"/>
      <sheetName val="hydraulical_model32"/>
      <sheetName val="FDn_Wet32"/>
      <sheetName val="Tower_Erection32"/>
      <sheetName val="Cable_size32"/>
      <sheetName val="Load_Details-220kV32"/>
      <sheetName val="COST_SHEET32"/>
      <sheetName val="F_126"/>
      <sheetName val="Leg_1-126"/>
      <sheetName val="_AT-1-220_4"/>
      <sheetName val="_BC-2204"/>
      <sheetName val="Monthly_Turnover_(Final)4"/>
      <sheetName val="TBAL9697_-group_wise__sdpl4"/>
      <sheetName val="97_사업추정(WEKI)4"/>
      <sheetName val="Civil_Works4"/>
      <sheetName val="block-a_(mea_sheet)4"/>
      <sheetName val="sc_copm_3_3_34"/>
      <sheetName val="_working_Sheet4"/>
      <sheetName val="Beam_at_Ground_flr_lvl(Steel)4"/>
      <sheetName val="Fin_Sum4"/>
      <sheetName val="A_O_R_4"/>
      <sheetName val="Plant_&amp;__Machinery4"/>
      <sheetName val="INPUT_SHEET4"/>
      <sheetName val="Cashflow_projection4"/>
      <sheetName val="Final_MEASUREMENT_RA_-_074"/>
      <sheetName val="GR_slab-reinft4"/>
      <sheetName val="Design_sheet4"/>
      <sheetName val="labour_coeff4"/>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refreshError="1"/>
      <sheetData sheetId="1444" refreshError="1"/>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 val="CALC__PER_IEEE-1115_21"/>
      <sheetName val="Load_duty_cycle21"/>
      <sheetName val="Calc-Float_121"/>
      <sheetName val="Calc-boost_121"/>
      <sheetName val="Annexure-3_121"/>
      <sheetName val="Load_Details(B1)20"/>
      <sheetName val="2007_Calendar20"/>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total_-BOQ21"/>
      <sheetName val="DETAILED__BOQ21"/>
      <sheetName val="Civil_Works20"/>
      <sheetName val="Pile_cap20"/>
      <sheetName val="pile_Fabrication20"/>
      <sheetName val="TBAL9697_-group_wise__sdpl20"/>
      <sheetName val="Typical_Design20"/>
      <sheetName val="Est_To_comp-KTRP20"/>
      <sheetName val="JCR_TOP(ITEM)-KTRP20"/>
      <sheetName val="dpc_cost14"/>
      <sheetName val="UNP-NCW_20"/>
      <sheetName val="data(R_C_Puram)14"/>
      <sheetName val="220_11__BS_14"/>
      <sheetName val="Vind_-_BtB14"/>
      <sheetName val="Cost_Rates14"/>
      <sheetName val="Cat_A_Change_Control14"/>
      <sheetName val="X_rate13"/>
      <sheetName val="General_input13"/>
      <sheetName val="Progressin_Next_mon-AP-1713"/>
      <sheetName val="Detail_In_Door_Stad13"/>
      <sheetName val="Material_13"/>
      <sheetName val="Basement_Budget13"/>
      <sheetName val="STN_WISE_EMR14"/>
      <sheetName val="except_wiring13"/>
      <sheetName val="220KV_CS13"/>
      <sheetName val="2B_for_Sub_Station_F_I_7"/>
      <sheetName val="step_&amp;_touch_7"/>
      <sheetName val="CALC__PER_IEEE-1115_8"/>
      <sheetName val="Load_duty_cycle8"/>
      <sheetName val="Calc-Float_18"/>
      <sheetName val="Calc-boost_18"/>
      <sheetName val="Annexure-3_18"/>
      <sheetName val="Load_Details(B1)7"/>
      <sheetName val="2007_Calendar7"/>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total_-BOQ8"/>
      <sheetName val="DETAILED__BOQ8"/>
      <sheetName val="Civil_Works7"/>
      <sheetName val="Pile_cap7"/>
      <sheetName val="pile_Fabrication7"/>
      <sheetName val="TBAL9697_-group_wise__sdpl7"/>
      <sheetName val="Typical_Design7"/>
      <sheetName val="Est_To_comp-KTRP7"/>
      <sheetName val="JCR_TOP(ITEM)-KTRP7"/>
      <sheetName val="dpc_cost1"/>
      <sheetName val="UNP-NCW_7"/>
      <sheetName val="data(R_C_Puram)1"/>
      <sheetName val="220_11__BS_1"/>
      <sheetName val="Vind_-_BtB1"/>
      <sheetName val="Cost_Rates1"/>
      <sheetName val="Cat_A_Change_Control1"/>
      <sheetName val="X_rate"/>
      <sheetName val="General_input"/>
      <sheetName val="Progressin_Next_mon-AP-17"/>
      <sheetName val="Detail_In_Door_Stad"/>
      <sheetName val="Material_"/>
      <sheetName val="Basement_Budget"/>
      <sheetName val="STN_WISE_EMR1"/>
      <sheetName val="except_wiring"/>
      <sheetName val="220KV_CS"/>
      <sheetName val="CALC__PER_IEEE-1115_9"/>
      <sheetName val="Load_duty_cycle9"/>
      <sheetName val="Calc-Float_19"/>
      <sheetName val="Calc-boost_19"/>
      <sheetName val="Annexure-3_19"/>
      <sheetName val="Load_Details(B1)8"/>
      <sheetName val="2007_Calendar8"/>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total_-BOQ9"/>
      <sheetName val="DETAILED__BOQ9"/>
      <sheetName val="Civil_Works8"/>
      <sheetName val="Pile_cap8"/>
      <sheetName val="pile_Fabrication8"/>
      <sheetName val="TBAL9697_-group_wise__sdpl8"/>
      <sheetName val="Typical_Design8"/>
      <sheetName val="Est_To_comp-KTRP8"/>
      <sheetName val="JCR_TOP(ITEM)-KTRP8"/>
      <sheetName val="dpc_cost2"/>
      <sheetName val="UNP-NCW_8"/>
      <sheetName val="data(R_C_Puram)2"/>
      <sheetName val="220_11__BS_2"/>
      <sheetName val="Vind_-_BtB2"/>
      <sheetName val="Cost_Rates2"/>
      <sheetName val="Cat_A_Change_Control2"/>
      <sheetName val="X_rate1"/>
      <sheetName val="General_input1"/>
      <sheetName val="Progressin_Next_mon-AP-171"/>
      <sheetName val="Detail_In_Door_Stad1"/>
      <sheetName val="Material_1"/>
      <sheetName val="Basement_Budget1"/>
      <sheetName val="STN_WISE_EMR2"/>
      <sheetName val="except_wiring1"/>
      <sheetName val="220KV_CS1"/>
      <sheetName val="CALC__PER_IEEE-1115_10"/>
      <sheetName val="Load_duty_cycle10"/>
      <sheetName val="Calc-Float_110"/>
      <sheetName val="Calc-boost_110"/>
      <sheetName val="Annexure-3_110"/>
      <sheetName val="Load_Details(B1)9"/>
      <sheetName val="2007_Calendar9"/>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total_-BOQ10"/>
      <sheetName val="DETAILED__BOQ10"/>
      <sheetName val="Civil_Works9"/>
      <sheetName val="Pile_cap9"/>
      <sheetName val="pile_Fabrication9"/>
      <sheetName val="TBAL9697_-group_wise__sdpl9"/>
      <sheetName val="Typical_Design9"/>
      <sheetName val="Est_To_comp-KTRP9"/>
      <sheetName val="JCR_TOP(ITEM)-KTRP9"/>
      <sheetName val="dpc_cost3"/>
      <sheetName val="UNP-NCW_9"/>
      <sheetName val="data(R_C_Puram)3"/>
      <sheetName val="220_11__BS_3"/>
      <sheetName val="Vind_-_BtB3"/>
      <sheetName val="Cost_Rates3"/>
      <sheetName val="Cat_A_Change_Control3"/>
      <sheetName val="X_rate2"/>
      <sheetName val="General_input2"/>
      <sheetName val="Progressin_Next_mon-AP-172"/>
      <sheetName val="Detail_In_Door_Stad2"/>
      <sheetName val="Material_2"/>
      <sheetName val="Basement_Budget2"/>
      <sheetName val="STN_WISE_EMR3"/>
      <sheetName val="except_wiring2"/>
      <sheetName val="220KV_CS2"/>
      <sheetName val="CALC__PER_IEEE-1115_11"/>
      <sheetName val="Load_duty_cycle11"/>
      <sheetName val="Calc-Float_111"/>
      <sheetName val="Calc-boost_111"/>
      <sheetName val="Annexure-3_111"/>
      <sheetName val="Load_Details(B1)10"/>
      <sheetName val="2007_Calendar10"/>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total_-BOQ11"/>
      <sheetName val="DETAILED__BOQ11"/>
      <sheetName val="Civil_Works10"/>
      <sheetName val="Pile_cap10"/>
      <sheetName val="pile_Fabrication10"/>
      <sheetName val="TBAL9697_-group_wise__sdpl10"/>
      <sheetName val="Typical_Design10"/>
      <sheetName val="Est_To_comp-KTRP10"/>
      <sheetName val="JCR_TOP(ITEM)-KTRP10"/>
      <sheetName val="dpc_cost4"/>
      <sheetName val="UNP-NCW_10"/>
      <sheetName val="data(R_C_Puram)4"/>
      <sheetName val="220_11__BS_4"/>
      <sheetName val="Vind_-_BtB4"/>
      <sheetName val="Cost_Rates4"/>
      <sheetName val="Cat_A_Change_Control4"/>
      <sheetName val="X_rate3"/>
      <sheetName val="General_input3"/>
      <sheetName val="Progressin_Next_mon-AP-173"/>
      <sheetName val="Detail_In_Door_Stad3"/>
      <sheetName val="Material_3"/>
      <sheetName val="Basement_Budget3"/>
      <sheetName val="STN_WISE_EMR4"/>
      <sheetName val="except_wiring3"/>
      <sheetName val="220KV_CS3"/>
      <sheetName val="CALC__PER_IEEE-1115_12"/>
      <sheetName val="Load_duty_cycle12"/>
      <sheetName val="Calc-Float_112"/>
      <sheetName val="Calc-boost_112"/>
      <sheetName val="Annexure-3_112"/>
      <sheetName val="Load_Details(B1)11"/>
      <sheetName val="2007_Calendar11"/>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total_-BOQ12"/>
      <sheetName val="DETAILED__BOQ12"/>
      <sheetName val="Civil_Works11"/>
      <sheetName val="Pile_cap11"/>
      <sheetName val="pile_Fabrication11"/>
      <sheetName val="TBAL9697_-group_wise__sdpl11"/>
      <sheetName val="Typical_Design11"/>
      <sheetName val="Est_To_comp-KTRP11"/>
      <sheetName val="JCR_TOP(ITEM)-KTRP11"/>
      <sheetName val="dpc_cost5"/>
      <sheetName val="UNP-NCW_11"/>
      <sheetName val="data(R_C_Puram)5"/>
      <sheetName val="220_11__BS_5"/>
      <sheetName val="Vind_-_BtB5"/>
      <sheetName val="Cost_Rates5"/>
      <sheetName val="Cat_A_Change_Control5"/>
      <sheetName val="X_rate4"/>
      <sheetName val="General_input4"/>
      <sheetName val="Progressin_Next_mon-AP-174"/>
      <sheetName val="Detail_In_Door_Stad4"/>
      <sheetName val="Material_4"/>
      <sheetName val="Basement_Budget4"/>
      <sheetName val="STN_WISE_EMR5"/>
      <sheetName val="except_wiring4"/>
      <sheetName val="220KV_CS4"/>
      <sheetName val="CALC__PER_IEEE-1115_17"/>
      <sheetName val="Load_duty_cycle17"/>
      <sheetName val="Calc-Float_117"/>
      <sheetName val="Calc-boost_117"/>
      <sheetName val="Annexure-3_117"/>
      <sheetName val="Load_Details(B1)16"/>
      <sheetName val="2007_Calendar16"/>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total_-BOQ17"/>
      <sheetName val="DETAILED__BOQ17"/>
      <sheetName val="Civil_Works16"/>
      <sheetName val="Pile_cap16"/>
      <sheetName val="pile_Fabrication16"/>
      <sheetName val="TBAL9697_-group_wise__sdpl16"/>
      <sheetName val="Typical_Design16"/>
      <sheetName val="Est_To_comp-KTRP16"/>
      <sheetName val="JCR_TOP(ITEM)-KTRP16"/>
      <sheetName val="dpc_cost10"/>
      <sheetName val="UNP-NCW_16"/>
      <sheetName val="data(R_C_Puram)10"/>
      <sheetName val="220_11__BS_10"/>
      <sheetName val="Vind_-_BtB10"/>
      <sheetName val="Cost_Rates10"/>
      <sheetName val="Cat_A_Change_Control10"/>
      <sheetName val="X_rate9"/>
      <sheetName val="General_input9"/>
      <sheetName val="Progressin_Next_mon-AP-179"/>
      <sheetName val="Detail_In_Door_Stad9"/>
      <sheetName val="Material_9"/>
      <sheetName val="Basement_Budget9"/>
      <sheetName val="STN_WISE_EMR10"/>
      <sheetName val="except_wiring9"/>
      <sheetName val="220KV_CS9"/>
      <sheetName val="CALC__PER_IEEE-1115_13"/>
      <sheetName val="Load_duty_cycle13"/>
      <sheetName val="Calc-Float_113"/>
      <sheetName val="Calc-boost_113"/>
      <sheetName val="Annexure-3_113"/>
      <sheetName val="Load_Details(B1)12"/>
      <sheetName val="2007_Calendar12"/>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total_-BOQ13"/>
      <sheetName val="DETAILED__BOQ13"/>
      <sheetName val="Civil_Works12"/>
      <sheetName val="Pile_cap12"/>
      <sheetName val="pile_Fabrication12"/>
      <sheetName val="TBAL9697_-group_wise__sdpl12"/>
      <sheetName val="Typical_Design12"/>
      <sheetName val="Est_To_comp-KTRP12"/>
      <sheetName val="JCR_TOP(ITEM)-KTRP12"/>
      <sheetName val="dpc_cost6"/>
      <sheetName val="UNP-NCW_12"/>
      <sheetName val="data(R_C_Puram)6"/>
      <sheetName val="220_11__BS_6"/>
      <sheetName val="Vind_-_BtB6"/>
      <sheetName val="Cost_Rates6"/>
      <sheetName val="Cat_A_Change_Control6"/>
      <sheetName val="X_rate5"/>
      <sheetName val="General_input5"/>
      <sheetName val="Progressin_Next_mon-AP-175"/>
      <sheetName val="Detail_In_Door_Stad5"/>
      <sheetName val="Material_5"/>
      <sheetName val="Basement_Budget5"/>
      <sheetName val="STN_WISE_EMR6"/>
      <sheetName val="except_wiring5"/>
      <sheetName val="220KV_CS5"/>
      <sheetName val="2B_for_Sub_Station_F_I_3"/>
      <sheetName val="step_&amp;_touch_3"/>
      <sheetName val="CALC__PER_IEEE-1115_15"/>
      <sheetName val="Load_duty_cycle15"/>
      <sheetName val="Calc-Float_115"/>
      <sheetName val="Calc-boost_115"/>
      <sheetName val="Annexure-3_115"/>
      <sheetName val="Load_Details(B1)14"/>
      <sheetName val="2007_Calendar14"/>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total_-BOQ15"/>
      <sheetName val="DETAILED__BOQ15"/>
      <sheetName val="Civil_Works14"/>
      <sheetName val="Pile_cap14"/>
      <sheetName val="pile_Fabrication14"/>
      <sheetName val="TBAL9697_-group_wise__sdpl14"/>
      <sheetName val="Typical_Design14"/>
      <sheetName val="Est_To_comp-KTRP14"/>
      <sheetName val="JCR_TOP(ITEM)-KTRP14"/>
      <sheetName val="dpc_cost8"/>
      <sheetName val="UNP-NCW_14"/>
      <sheetName val="data(R_C_Puram)8"/>
      <sheetName val="220_11__BS_8"/>
      <sheetName val="Vind_-_BtB8"/>
      <sheetName val="Cost_Rates8"/>
      <sheetName val="Cat_A_Change_Control8"/>
      <sheetName val="X_rate7"/>
      <sheetName val="General_input7"/>
      <sheetName val="Progressin_Next_mon-AP-177"/>
      <sheetName val="Detail_In_Door_Stad7"/>
      <sheetName val="Material_7"/>
      <sheetName val="Basement_Budget7"/>
      <sheetName val="STN_WISE_EMR8"/>
      <sheetName val="except_wiring7"/>
      <sheetName val="220KV_CS7"/>
      <sheetName val="2B_for_Sub_Station_F_I_1"/>
      <sheetName val="step_&amp;_touch_1"/>
      <sheetName val="CALC__PER_IEEE-1115_14"/>
      <sheetName val="Load_duty_cycle14"/>
      <sheetName val="Calc-Float_114"/>
      <sheetName val="Calc-boost_114"/>
      <sheetName val="Annexure-3_114"/>
      <sheetName val="Load_Details(B1)13"/>
      <sheetName val="2007_Calendar13"/>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total_-BOQ14"/>
      <sheetName val="DETAILED__BOQ14"/>
      <sheetName val="Civil_Works13"/>
      <sheetName val="Pile_cap13"/>
      <sheetName val="pile_Fabrication13"/>
      <sheetName val="TBAL9697_-group_wise__sdpl13"/>
      <sheetName val="Typical_Design13"/>
      <sheetName val="Est_To_comp-KTRP13"/>
      <sheetName val="JCR_TOP(ITEM)-KTRP13"/>
      <sheetName val="dpc_cost7"/>
      <sheetName val="UNP-NCW_13"/>
      <sheetName val="data(R_C_Puram)7"/>
      <sheetName val="220_11__BS_7"/>
      <sheetName val="Vind_-_BtB7"/>
      <sheetName val="Cost_Rates7"/>
      <sheetName val="Cat_A_Change_Control7"/>
      <sheetName val="X_rate6"/>
      <sheetName val="General_input6"/>
      <sheetName val="Progressin_Next_mon-AP-176"/>
      <sheetName val="Detail_In_Door_Stad6"/>
      <sheetName val="Material_6"/>
      <sheetName val="Basement_Budget6"/>
      <sheetName val="STN_WISE_EMR7"/>
      <sheetName val="except_wiring6"/>
      <sheetName val="220KV_CS6"/>
      <sheetName val="2B_for_Sub_Station_F_I_"/>
      <sheetName val="step_&amp;_touch_"/>
      <sheetName val="CALC__PER_IEEE-1115_16"/>
      <sheetName val="Load_duty_cycle16"/>
      <sheetName val="Calc-Float_116"/>
      <sheetName val="Calc-boost_116"/>
      <sheetName val="Annexure-3_116"/>
      <sheetName val="Load_Details(B1)15"/>
      <sheetName val="2007_Calendar15"/>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total_-BOQ16"/>
      <sheetName val="DETAILED__BOQ16"/>
      <sheetName val="Civil_Works15"/>
      <sheetName val="Pile_cap15"/>
      <sheetName val="pile_Fabrication15"/>
      <sheetName val="TBAL9697_-group_wise__sdpl15"/>
      <sheetName val="Typical_Design15"/>
      <sheetName val="Est_To_comp-KTRP15"/>
      <sheetName val="JCR_TOP(ITEM)-KTRP15"/>
      <sheetName val="dpc_cost9"/>
      <sheetName val="UNP-NCW_15"/>
      <sheetName val="data(R_C_Puram)9"/>
      <sheetName val="220_11__BS_9"/>
      <sheetName val="Vind_-_BtB9"/>
      <sheetName val="Cost_Rates9"/>
      <sheetName val="Cat_A_Change_Control9"/>
      <sheetName val="X_rate8"/>
      <sheetName val="General_input8"/>
      <sheetName val="Progressin_Next_mon-AP-178"/>
      <sheetName val="Detail_In_Door_Stad8"/>
      <sheetName val="Material_8"/>
      <sheetName val="Basement_Budget8"/>
      <sheetName val="STN_WISE_EMR9"/>
      <sheetName val="except_wiring8"/>
      <sheetName val="220KV_CS8"/>
      <sheetName val="2B_for_Sub_Station_F_I_2"/>
      <sheetName val="step_&amp;_touch_2"/>
      <sheetName val="CALC__PER_IEEE-1115_18"/>
      <sheetName val="Load_duty_cycle18"/>
      <sheetName val="Calc-Float_118"/>
      <sheetName val="Calc-boost_118"/>
      <sheetName val="Annexure-3_118"/>
      <sheetName val="Load_Details(B1)17"/>
      <sheetName val="2007_Calendar17"/>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total_-BOQ18"/>
      <sheetName val="DETAILED__BOQ18"/>
      <sheetName val="Civil_Works17"/>
      <sheetName val="Pile_cap17"/>
      <sheetName val="pile_Fabrication17"/>
      <sheetName val="TBAL9697_-group_wise__sdpl17"/>
      <sheetName val="Typical_Design17"/>
      <sheetName val="Est_To_comp-KTRP17"/>
      <sheetName val="JCR_TOP(ITEM)-KTRP17"/>
      <sheetName val="dpc_cost11"/>
      <sheetName val="UNP-NCW_17"/>
      <sheetName val="data(R_C_Puram)11"/>
      <sheetName val="220_11__BS_11"/>
      <sheetName val="Vind_-_BtB11"/>
      <sheetName val="Cost_Rates11"/>
      <sheetName val="Cat_A_Change_Control11"/>
      <sheetName val="X_rate10"/>
      <sheetName val="General_input10"/>
      <sheetName val="Progressin_Next_mon-AP-1710"/>
      <sheetName val="Detail_In_Door_Stad10"/>
      <sheetName val="Material_10"/>
      <sheetName val="Basement_Budget10"/>
      <sheetName val="STN_WISE_EMR11"/>
      <sheetName val="except_wiring10"/>
      <sheetName val="220KV_CS10"/>
      <sheetName val="2B_for_Sub_Station_F_I_4"/>
      <sheetName val="step_&amp;_touch_4"/>
      <sheetName val="CALC__PER_IEEE-1115_19"/>
      <sheetName val="Load_duty_cycle19"/>
      <sheetName val="Calc-Float_119"/>
      <sheetName val="Calc-boost_119"/>
      <sheetName val="Annexure-3_119"/>
      <sheetName val="Load_Details(B1)18"/>
      <sheetName val="2007_Calendar18"/>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total_-BOQ19"/>
      <sheetName val="DETAILED__BOQ19"/>
      <sheetName val="Civil_Works18"/>
      <sheetName val="Pile_cap18"/>
      <sheetName val="pile_Fabrication18"/>
      <sheetName val="TBAL9697_-group_wise__sdpl18"/>
      <sheetName val="Typical_Design18"/>
      <sheetName val="Est_To_comp-KTRP18"/>
      <sheetName val="JCR_TOP(ITEM)-KTRP18"/>
      <sheetName val="dpc_cost12"/>
      <sheetName val="UNP-NCW_18"/>
      <sheetName val="data(R_C_Puram)12"/>
      <sheetName val="220_11__BS_12"/>
      <sheetName val="Vind_-_BtB12"/>
      <sheetName val="Cost_Rates12"/>
      <sheetName val="Cat_A_Change_Control12"/>
      <sheetName val="X_rate11"/>
      <sheetName val="General_input11"/>
      <sheetName val="Progressin_Next_mon-AP-1711"/>
      <sheetName val="Detail_In_Door_Stad11"/>
      <sheetName val="Material_11"/>
      <sheetName val="Basement_Budget11"/>
      <sheetName val="STN_WISE_EMR12"/>
      <sheetName val="except_wiring11"/>
      <sheetName val="220KV_CS11"/>
      <sheetName val="2B_for_Sub_Station_F_I_5"/>
      <sheetName val="step_&amp;_touch_5"/>
      <sheetName val="CALC__PER_IEEE-1115_20"/>
      <sheetName val="Load_duty_cycle20"/>
      <sheetName val="Calc-Float_120"/>
      <sheetName val="Calc-boost_120"/>
      <sheetName val="Annexure-3_120"/>
      <sheetName val="Load_Details(B1)19"/>
      <sheetName val="2007_Calendar19"/>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total_-BOQ20"/>
      <sheetName val="DETAILED__BOQ20"/>
      <sheetName val="Civil_Works19"/>
      <sheetName val="Pile_cap19"/>
      <sheetName val="pile_Fabrication19"/>
      <sheetName val="TBAL9697_-group_wise__sdpl19"/>
      <sheetName val="Typical_Design19"/>
      <sheetName val="Est_To_comp-KTRP19"/>
      <sheetName val="JCR_TOP(ITEM)-KTRP19"/>
      <sheetName val="dpc_cost13"/>
      <sheetName val="UNP-NCW_19"/>
      <sheetName val="data(R_C_Puram)13"/>
      <sheetName val="220_11__BS_13"/>
      <sheetName val="Vind_-_BtB13"/>
      <sheetName val="Cost_Rates13"/>
      <sheetName val="Cat_A_Change_Control13"/>
      <sheetName val="X_rate12"/>
      <sheetName val="General_input12"/>
      <sheetName val="Progressin_Next_mon-AP-1712"/>
      <sheetName val="Detail_In_Door_Stad12"/>
      <sheetName val="Material_12"/>
      <sheetName val="Basement_Budget12"/>
      <sheetName val="STN_WISE_EMR13"/>
      <sheetName val="except_wiring12"/>
      <sheetName val="220KV_CS12"/>
      <sheetName val="2B_for_Sub_Station_F_I_6"/>
      <sheetName val="step_&amp;_touch_6"/>
      <sheetName val="CALC__PER_IEEE-1115_22"/>
      <sheetName val="Load_duty_cycle22"/>
      <sheetName val="Calc-Float_122"/>
      <sheetName val="Calc-boost_122"/>
      <sheetName val="Annexure-3_122"/>
      <sheetName val="Load_Details(B1)21"/>
      <sheetName val="2007_Calendar21"/>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total_-BOQ22"/>
      <sheetName val="DETAILED__BOQ22"/>
      <sheetName val="Civil_Works21"/>
      <sheetName val="Pile_cap21"/>
      <sheetName val="pile_Fabrication21"/>
      <sheetName val="TBAL9697_-group_wise__sdpl21"/>
      <sheetName val="Typical_Design21"/>
      <sheetName val="Est_To_comp-KTRP21"/>
      <sheetName val="JCR_TOP(ITEM)-KTRP21"/>
      <sheetName val="dpc_cost15"/>
      <sheetName val="UNP-NCW_21"/>
      <sheetName val="data(R_C_Puram)15"/>
      <sheetName val="220_11__BS_15"/>
      <sheetName val="Vind_-_BtB15"/>
      <sheetName val="Cost_Rates15"/>
      <sheetName val="Cat_A_Change_Control15"/>
      <sheetName val="X_rate14"/>
      <sheetName val="General_input14"/>
      <sheetName val="Progressin_Next_mon-AP-1714"/>
      <sheetName val="Detail_In_Door_Stad14"/>
      <sheetName val="Material_14"/>
      <sheetName val="Basement_Budget14"/>
      <sheetName val="STN_WISE_EMR15"/>
      <sheetName val="except_wiring14"/>
      <sheetName val="220KV_CS14"/>
      <sheetName val="2B_for_Sub_Station_F_I_8"/>
      <sheetName val="step_&amp;_touch_8"/>
      <sheetName val="CALC__PER_IEEE-1115_23"/>
      <sheetName val="Load_duty_cycle23"/>
      <sheetName val="Calc-Float_123"/>
      <sheetName val="Calc-boost_123"/>
      <sheetName val="Annexure-3_123"/>
      <sheetName val="Load_Details(B1)22"/>
      <sheetName val="2007_Calendar22"/>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total_-BOQ23"/>
      <sheetName val="DETAILED__BOQ23"/>
      <sheetName val="Civil_Works22"/>
      <sheetName val="Pile_cap22"/>
      <sheetName val="pile_Fabrication22"/>
      <sheetName val="TBAL9697_-group_wise__sdpl22"/>
      <sheetName val="Typical_Design22"/>
      <sheetName val="Est_To_comp-KTRP22"/>
      <sheetName val="JCR_TOP(ITEM)-KTRP22"/>
      <sheetName val="dpc_cost16"/>
      <sheetName val="UNP-NCW_22"/>
      <sheetName val="data(R_C_Puram)16"/>
      <sheetName val="220_11__BS_16"/>
      <sheetName val="Vind_-_BtB16"/>
      <sheetName val="Cost_Rates16"/>
      <sheetName val="Cat_A_Change_Control16"/>
      <sheetName val="X_rate15"/>
      <sheetName val="General_input15"/>
      <sheetName val="Progressin_Next_mon-AP-1715"/>
      <sheetName val="Detail_In_Door_Stad15"/>
      <sheetName val="Material_15"/>
      <sheetName val="Basement_Budget15"/>
      <sheetName val="STN_WISE_EMR16"/>
      <sheetName val="except_wiring15"/>
      <sheetName val="220KV_CS15"/>
      <sheetName val="2B_for_Sub_Station_F_I_9"/>
      <sheetName val="step_&amp;_touch_9"/>
      <sheetName val="General"/>
      <sheetName val="concrete"/>
      <sheetName val="beam-reinft-IIInd floor"/>
      <sheetName val="Leg 1-1"/>
      <sheetName val="수입"/>
      <sheetName val="Lot 2A"/>
      <sheetName val="Lot 2B"/>
      <sheetName val="ord-lost_98&amp;99"/>
      <sheetName val="CALC__PER_IEEE-1115_24"/>
      <sheetName val="Load_duty_cycle24"/>
      <sheetName val="Calc-Float_124"/>
      <sheetName val="Calc-boost_124"/>
      <sheetName val="Annexure-3_124"/>
      <sheetName val="Load_Details(B1)23"/>
      <sheetName val="2007_Calendar23"/>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total_-BOQ24"/>
      <sheetName val="DETAILED__BOQ24"/>
      <sheetName val="Civil_Works23"/>
      <sheetName val="Pile_cap23"/>
      <sheetName val="pile_Fabrication23"/>
      <sheetName val="TBAL9697_-group_wise__sdpl23"/>
      <sheetName val="Typical_Design23"/>
      <sheetName val="Est_To_comp-KTRP23"/>
      <sheetName val="JCR_TOP(ITEM)-KTRP23"/>
      <sheetName val="dpc_cost17"/>
      <sheetName val="UNP-NCW_23"/>
      <sheetName val="data(R_C_Puram)17"/>
      <sheetName val="220_11__BS_17"/>
      <sheetName val="Vind_-_BtB17"/>
      <sheetName val="Cost_Rates17"/>
      <sheetName val="Cat_A_Change_Control17"/>
      <sheetName val="X_rate16"/>
      <sheetName val="General_input16"/>
      <sheetName val="Progressin_Next_mon-AP-1716"/>
      <sheetName val="Detail_In_Door_Stad16"/>
      <sheetName val="Material_16"/>
      <sheetName val="Basement_Budget16"/>
      <sheetName val="STN_WISE_EMR17"/>
      <sheetName val="except_wiring16"/>
      <sheetName val="220KV_CS16"/>
      <sheetName val="2B_for_Sub_Station_F_I_10"/>
      <sheetName val="step_&amp;_touch_10"/>
      <sheetName val="CALC__PER_IEEE-1115_25"/>
      <sheetName val="Load_duty_cycle25"/>
      <sheetName val="Calc-Float_125"/>
      <sheetName val="Calc-boost_125"/>
      <sheetName val="Annexure-3_125"/>
      <sheetName val="Load_Details(B1)24"/>
      <sheetName val="2007_Calendar24"/>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total_-BOQ25"/>
      <sheetName val="DETAILED__BOQ25"/>
      <sheetName val="Civil_Works24"/>
      <sheetName val="Pile_cap24"/>
      <sheetName val="pile_Fabrication24"/>
      <sheetName val="TBAL9697_-group_wise__sdpl24"/>
      <sheetName val="Typical_Design24"/>
      <sheetName val="Est_To_comp-KTRP24"/>
      <sheetName val="JCR_TOP(ITEM)-KTRP24"/>
      <sheetName val="dpc_cost18"/>
      <sheetName val="UNP-NCW_24"/>
      <sheetName val="data(R_C_Puram)18"/>
      <sheetName val="220_11__BS_18"/>
      <sheetName val="Vind_-_BtB18"/>
      <sheetName val="Cost_Rates18"/>
      <sheetName val="Cat_A_Change_Control18"/>
      <sheetName val="X_rate17"/>
      <sheetName val="General_input17"/>
      <sheetName val="Progressin_Next_mon-AP-1717"/>
      <sheetName val="Detail_In_Door_Stad17"/>
      <sheetName val="Material_17"/>
      <sheetName val="Basement_Budget17"/>
      <sheetName val="STN_WISE_EMR18"/>
      <sheetName val="except_wiring17"/>
      <sheetName val="220KV_CS17"/>
      <sheetName val="2B_for_Sub_Station_F_I_11"/>
      <sheetName val="step_&amp;_touch_11"/>
      <sheetName val="CALC__PER_IEEE-1115_26"/>
      <sheetName val="Load_duty_cycle26"/>
      <sheetName val="Calc-Float_126"/>
      <sheetName val="Calc-boost_126"/>
      <sheetName val="Annexure-3_126"/>
      <sheetName val="Load_Details(B1)25"/>
      <sheetName val="2007_Calendar25"/>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total_-BOQ26"/>
      <sheetName val="DETAILED__BOQ26"/>
      <sheetName val="Civil_Works25"/>
      <sheetName val="Pile_cap25"/>
      <sheetName val="pile_Fabrication25"/>
      <sheetName val="TBAL9697_-group_wise__sdpl25"/>
      <sheetName val="Typical_Design25"/>
      <sheetName val="Est_To_comp-KTRP25"/>
      <sheetName val="JCR_TOP(ITEM)-KTRP25"/>
      <sheetName val="dpc_cost19"/>
      <sheetName val="UNP-NCW_25"/>
      <sheetName val="data(R_C_Puram)19"/>
      <sheetName val="220_11__BS_19"/>
      <sheetName val="Vind_-_BtB19"/>
      <sheetName val="Cost_Rates19"/>
      <sheetName val="Cat_A_Change_Control19"/>
      <sheetName val="X_rate18"/>
      <sheetName val="General_input18"/>
      <sheetName val="Progressin_Next_mon-AP-1718"/>
      <sheetName val="Detail_In_Door_Stad18"/>
      <sheetName val="Material_18"/>
      <sheetName val="Basement_Budget18"/>
      <sheetName val="STN_WISE_EMR19"/>
      <sheetName val="except_wiring18"/>
      <sheetName val="220KV_CS18"/>
      <sheetName val="2B_for_Sub_Station_F_I_12"/>
      <sheetName val="step_&amp;_touch_12"/>
      <sheetName val="CALC__PER_IEEE-1115_31"/>
      <sheetName val="Load_duty_cycle31"/>
      <sheetName val="Calc-Float_131"/>
      <sheetName val="Calc-boost_131"/>
      <sheetName val="Annexure-3_131"/>
      <sheetName val="Load_Details(B1)30"/>
      <sheetName val="2007_Calendar30"/>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total_-BOQ31"/>
      <sheetName val="DETAILED__BOQ31"/>
      <sheetName val="Civil_Works30"/>
      <sheetName val="Pile_cap30"/>
      <sheetName val="pile_Fabrication30"/>
      <sheetName val="TBAL9697_-group_wise__sdpl30"/>
      <sheetName val="Typical_Design30"/>
      <sheetName val="Est_To_comp-KTRP30"/>
      <sheetName val="JCR_TOP(ITEM)-KTRP30"/>
      <sheetName val="dpc_cost24"/>
      <sheetName val="UNP-NCW_30"/>
      <sheetName val="data(R_C_Puram)24"/>
      <sheetName val="220_11__BS_24"/>
      <sheetName val="Vind_-_BtB24"/>
      <sheetName val="Cost_Rates24"/>
      <sheetName val="Cat_A_Change_Control24"/>
      <sheetName val="X_rate23"/>
      <sheetName val="General_input23"/>
      <sheetName val="Progressin_Next_mon-AP-1723"/>
      <sheetName val="Detail_In_Door_Stad23"/>
      <sheetName val="Material_23"/>
      <sheetName val="Basement_Budget23"/>
      <sheetName val="STN_WISE_EMR24"/>
      <sheetName val="except_wiring23"/>
      <sheetName val="2B_for_Sub_Station_F_I_17"/>
      <sheetName val="step_&amp;_touch_17"/>
      <sheetName val="220KV_CS23"/>
      <sheetName val="CALC__PER_IEEE-1115_30"/>
      <sheetName val="Load_duty_cycle30"/>
      <sheetName val="Calc-Float_130"/>
      <sheetName val="Calc-boost_130"/>
      <sheetName val="Annexure-3_130"/>
      <sheetName val="Load_Details(B1)29"/>
      <sheetName val="2007_Calendar29"/>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total_-BOQ30"/>
      <sheetName val="DETAILED__BOQ30"/>
      <sheetName val="Civil_Works29"/>
      <sheetName val="Pile_cap29"/>
      <sheetName val="pile_Fabrication29"/>
      <sheetName val="TBAL9697_-group_wise__sdpl29"/>
      <sheetName val="Typical_Design29"/>
      <sheetName val="Est_To_comp-KTRP29"/>
      <sheetName val="JCR_TOP(ITEM)-KTRP29"/>
      <sheetName val="dpc_cost23"/>
      <sheetName val="UNP-NCW_29"/>
      <sheetName val="data(R_C_Puram)23"/>
      <sheetName val="220_11__BS_23"/>
      <sheetName val="Vind_-_BtB23"/>
      <sheetName val="Cost_Rates23"/>
      <sheetName val="Cat_A_Change_Control23"/>
      <sheetName val="X_rate22"/>
      <sheetName val="General_input22"/>
      <sheetName val="Progressin_Next_mon-AP-1722"/>
      <sheetName val="Detail_In_Door_Stad22"/>
      <sheetName val="Material_22"/>
      <sheetName val="Basement_Budget22"/>
      <sheetName val="STN_WISE_EMR23"/>
      <sheetName val="except_wiring22"/>
      <sheetName val="2B_for_Sub_Station_F_I_16"/>
      <sheetName val="step_&amp;_touch_16"/>
      <sheetName val="220KV_CS22"/>
      <sheetName val="CALC__PER_IEEE-1115_27"/>
      <sheetName val="Load_duty_cycle27"/>
      <sheetName val="Calc-Float_127"/>
      <sheetName val="Calc-boost_127"/>
      <sheetName val="Annexure-3_127"/>
      <sheetName val="Load_Details(B1)26"/>
      <sheetName val="2007_Calendar26"/>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total_-BOQ27"/>
      <sheetName val="DETAILED__BOQ27"/>
      <sheetName val="Civil_Works26"/>
      <sheetName val="Pile_cap26"/>
      <sheetName val="pile_Fabrication26"/>
      <sheetName val="TBAL9697_-group_wise__sdpl26"/>
      <sheetName val="Typical_Design26"/>
      <sheetName val="Est_To_comp-KTRP26"/>
      <sheetName val="JCR_TOP(ITEM)-KTRP26"/>
      <sheetName val="dpc_cost20"/>
      <sheetName val="UNP-NCW_26"/>
      <sheetName val="data(R_C_Puram)20"/>
      <sheetName val="220_11__BS_20"/>
      <sheetName val="Vind_-_BtB20"/>
      <sheetName val="Cost_Rates20"/>
      <sheetName val="Cat_A_Change_Control20"/>
      <sheetName val="X_rate19"/>
      <sheetName val="General_input19"/>
      <sheetName val="Progressin_Next_mon-AP-1719"/>
      <sheetName val="Detail_In_Door_Stad19"/>
      <sheetName val="Material_19"/>
      <sheetName val="Basement_Budget19"/>
      <sheetName val="STN_WISE_EMR20"/>
      <sheetName val="except_wiring19"/>
      <sheetName val="2B_for_Sub_Station_F_I_13"/>
      <sheetName val="step_&amp;_touch_13"/>
      <sheetName val="220KV_CS19"/>
      <sheetName val="CALC__PER_IEEE-1115_28"/>
      <sheetName val="Load_duty_cycle28"/>
      <sheetName val="Calc-Float_128"/>
      <sheetName val="Calc-boost_128"/>
      <sheetName val="Annexure-3_128"/>
      <sheetName val="Load_Details(B1)27"/>
      <sheetName val="2007_Calendar27"/>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total_-BOQ28"/>
      <sheetName val="DETAILED__BOQ28"/>
      <sheetName val="Civil_Works27"/>
      <sheetName val="Pile_cap27"/>
      <sheetName val="pile_Fabrication27"/>
      <sheetName val="TBAL9697_-group_wise__sdpl27"/>
      <sheetName val="Typical_Design27"/>
      <sheetName val="Est_To_comp-KTRP27"/>
      <sheetName val="JCR_TOP(ITEM)-KTRP27"/>
      <sheetName val="dpc_cost21"/>
      <sheetName val="UNP-NCW_27"/>
      <sheetName val="data(R_C_Puram)21"/>
      <sheetName val="220_11__BS_21"/>
      <sheetName val="Vind_-_BtB21"/>
      <sheetName val="Cost_Rates21"/>
      <sheetName val="Cat_A_Change_Control21"/>
      <sheetName val="X_rate20"/>
      <sheetName val="General_input20"/>
      <sheetName val="Progressin_Next_mon-AP-1720"/>
      <sheetName val="Detail_In_Door_Stad20"/>
      <sheetName val="Material_20"/>
      <sheetName val="Basement_Budget20"/>
      <sheetName val="STN_WISE_EMR21"/>
      <sheetName val="except_wiring20"/>
      <sheetName val="2B_for_Sub_Station_F_I_14"/>
      <sheetName val="step_&amp;_touch_14"/>
      <sheetName val="220KV_CS20"/>
      <sheetName val="CALC__PER_IEEE-1115_29"/>
      <sheetName val="Load_duty_cycle29"/>
      <sheetName val="Calc-Float_129"/>
      <sheetName val="Calc-boost_129"/>
      <sheetName val="Annexure-3_129"/>
      <sheetName val="Load_Details(B1)28"/>
      <sheetName val="2007_Calendar28"/>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total_-BOQ29"/>
      <sheetName val="DETAILED__BOQ29"/>
      <sheetName val="Civil_Works28"/>
      <sheetName val="Pile_cap28"/>
      <sheetName val="pile_Fabrication28"/>
      <sheetName val="TBAL9697_-group_wise__sdpl28"/>
      <sheetName val="Typical_Design28"/>
      <sheetName val="Est_To_comp-KTRP28"/>
      <sheetName val="JCR_TOP(ITEM)-KTRP28"/>
      <sheetName val="dpc_cost22"/>
      <sheetName val="UNP-NCW_28"/>
      <sheetName val="data(R_C_Puram)22"/>
      <sheetName val="220_11__BS_22"/>
      <sheetName val="Vind_-_BtB22"/>
      <sheetName val="Cost_Rates22"/>
      <sheetName val="Cat_A_Change_Control22"/>
      <sheetName val="X_rate21"/>
      <sheetName val="General_input21"/>
      <sheetName val="Progressin_Next_mon-AP-1721"/>
      <sheetName val="Detail_In_Door_Stad21"/>
      <sheetName val="Material_21"/>
      <sheetName val="Basement_Budget21"/>
      <sheetName val="STN_WISE_EMR22"/>
      <sheetName val="except_wiring21"/>
      <sheetName val="2B_for_Sub_Station_F_I_15"/>
      <sheetName val="step_&amp;_touch_15"/>
      <sheetName val="220KV_CS21"/>
      <sheetName val="CALC__PER_IEEE-1115_32"/>
      <sheetName val="Load_duty_cycle32"/>
      <sheetName val="Calc-Float_132"/>
      <sheetName val="Calc-boost_132"/>
      <sheetName val="Annexure-3_132"/>
      <sheetName val="Load_Details(B1)31"/>
      <sheetName val="2007_Calendar31"/>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total_-BOQ32"/>
      <sheetName val="DETAILED__BOQ32"/>
      <sheetName val="Civil_Works31"/>
      <sheetName val="Pile_cap31"/>
      <sheetName val="pile_Fabrication31"/>
      <sheetName val="TBAL9697_-group_wise__sdpl31"/>
      <sheetName val="Typical_Design31"/>
      <sheetName val="Est_To_comp-KTRP31"/>
      <sheetName val="JCR_TOP(ITEM)-KTRP31"/>
      <sheetName val="dpc_cost25"/>
      <sheetName val="UNP-NCW_31"/>
      <sheetName val="data(R_C_Puram)25"/>
      <sheetName val="220_11__BS_25"/>
      <sheetName val="Vind_-_BtB25"/>
      <sheetName val="Cost_Rates25"/>
      <sheetName val="Cat_A_Change_Control25"/>
      <sheetName val="X_rate24"/>
      <sheetName val="General_input24"/>
      <sheetName val="Progressin_Next_mon-AP-1724"/>
      <sheetName val="Detail_In_Door_Stad24"/>
      <sheetName val="Material_24"/>
      <sheetName val="Basement_Budget24"/>
      <sheetName val="STN_WISE_EMR25"/>
      <sheetName val="except_wiring24"/>
      <sheetName val="2B_for_Sub_Station_F_I_18"/>
      <sheetName val="step_&amp;_touch_18"/>
      <sheetName val="220KV_CS24"/>
      <sheetName val="CALC__PER_IEEE-1115_35"/>
      <sheetName val="Load_duty_cycle35"/>
      <sheetName val="Calc-Float_135"/>
      <sheetName val="Calc-boost_135"/>
      <sheetName val="Annexure-3_135"/>
      <sheetName val="Load_Details(B1)34"/>
      <sheetName val="2007_Calendar34"/>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total_-BOQ35"/>
      <sheetName val="DETAILED__BOQ35"/>
      <sheetName val="Civil_Works34"/>
      <sheetName val="Pile_cap34"/>
      <sheetName val="pile_Fabrication34"/>
      <sheetName val="TBAL9697_-group_wise__sdpl34"/>
      <sheetName val="Typical_Design34"/>
      <sheetName val="Est_To_comp-KTRP34"/>
      <sheetName val="JCR_TOP(ITEM)-KTRP34"/>
      <sheetName val="dpc_cost28"/>
      <sheetName val="UNP-NCW_34"/>
      <sheetName val="data(R_C_Puram)28"/>
      <sheetName val="220_11__BS_28"/>
      <sheetName val="Vind_-_BtB28"/>
      <sheetName val="Cost_Rates28"/>
      <sheetName val="Cat_A_Change_Control28"/>
      <sheetName val="X_rate27"/>
      <sheetName val="General_input27"/>
      <sheetName val="Progressin_Next_mon-AP-1727"/>
      <sheetName val="Detail_In_Door_Stad27"/>
      <sheetName val="Material_27"/>
      <sheetName val="Basement_Budget27"/>
      <sheetName val="STN_WISE_EMR28"/>
      <sheetName val="except_wiring27"/>
      <sheetName val="2B_for_Sub_Station_F_I_21"/>
      <sheetName val="step_&amp;_touch_21"/>
      <sheetName val="220KV_CS27"/>
      <sheetName val="CALC__PER_IEEE-1115_33"/>
      <sheetName val="Load_duty_cycle33"/>
      <sheetName val="Calc-Float_133"/>
      <sheetName val="Calc-boost_133"/>
      <sheetName val="Annexure-3_133"/>
      <sheetName val="Load_Details(B1)32"/>
      <sheetName val="2007_Calendar32"/>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total_-BOQ33"/>
      <sheetName val="DETAILED__BOQ33"/>
      <sheetName val="Civil_Works32"/>
      <sheetName val="Pile_cap32"/>
      <sheetName val="pile_Fabrication32"/>
      <sheetName val="TBAL9697_-group_wise__sdpl32"/>
      <sheetName val="Typical_Design32"/>
      <sheetName val="Est_To_comp-KTRP32"/>
      <sheetName val="JCR_TOP(ITEM)-KTRP32"/>
      <sheetName val="dpc_cost26"/>
      <sheetName val="UNP-NCW_32"/>
      <sheetName val="data(R_C_Puram)26"/>
      <sheetName val="220_11__BS_26"/>
      <sheetName val="Vind_-_BtB26"/>
      <sheetName val="Cost_Rates26"/>
      <sheetName val="Cat_A_Change_Control26"/>
      <sheetName val="X_rate25"/>
      <sheetName val="General_input25"/>
      <sheetName val="Progressin_Next_mon-AP-1725"/>
      <sheetName val="Detail_In_Door_Stad25"/>
      <sheetName val="Material_25"/>
      <sheetName val="Basement_Budget25"/>
      <sheetName val="STN_WISE_EMR26"/>
      <sheetName val="except_wiring25"/>
      <sheetName val="2B_for_Sub_Station_F_I_19"/>
      <sheetName val="step_&amp;_touch_19"/>
      <sheetName val="220KV_CS25"/>
      <sheetName val="CALC__PER_IEEE-1115_34"/>
      <sheetName val="Load_duty_cycle34"/>
      <sheetName val="Calc-Float_134"/>
      <sheetName val="Calc-boost_134"/>
      <sheetName val="Annexure-3_134"/>
      <sheetName val="Load_Details(B1)33"/>
      <sheetName val="2007_Calendar33"/>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total_-BOQ34"/>
      <sheetName val="DETAILED__BOQ34"/>
      <sheetName val="Civil_Works33"/>
      <sheetName val="Pile_cap33"/>
      <sheetName val="pile_Fabrication33"/>
      <sheetName val="TBAL9697_-group_wise__sdpl33"/>
      <sheetName val="Typical_Design33"/>
      <sheetName val="Est_To_comp-KTRP33"/>
      <sheetName val="JCR_TOP(ITEM)-KTRP33"/>
      <sheetName val="dpc_cost27"/>
      <sheetName val="UNP-NCW_33"/>
      <sheetName val="data(R_C_Puram)27"/>
      <sheetName val="220_11__BS_27"/>
      <sheetName val="Vind_-_BtB27"/>
      <sheetName val="Cost_Rates27"/>
      <sheetName val="Cat_A_Change_Control27"/>
      <sheetName val="X_rate26"/>
      <sheetName val="General_input26"/>
      <sheetName val="Progressin_Next_mon-AP-1726"/>
      <sheetName val="Detail_In_Door_Stad26"/>
      <sheetName val="Material_26"/>
      <sheetName val="Basement_Budget26"/>
      <sheetName val="STN_WISE_EMR27"/>
      <sheetName val="except_wiring26"/>
      <sheetName val="2B_for_Sub_Station_F_I_20"/>
      <sheetName val="step_&amp;_touch_20"/>
      <sheetName val="220KV_CS26"/>
      <sheetName val="CALC__PER_IEEE-1115_36"/>
      <sheetName val="Load_duty_cycle36"/>
      <sheetName val="Calc-Float_136"/>
      <sheetName val="Calc-boost_136"/>
      <sheetName val="Annexure-3_136"/>
      <sheetName val="Load_Details(B1)35"/>
      <sheetName val="2007_Calendar35"/>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total_-BOQ36"/>
      <sheetName val="DETAILED__BOQ36"/>
      <sheetName val="Civil_Works35"/>
      <sheetName val="Pile_cap35"/>
      <sheetName val="pile_Fabrication35"/>
      <sheetName val="TBAL9697_-group_wise__sdpl35"/>
      <sheetName val="Typical_Design35"/>
      <sheetName val="Est_To_comp-KTRP35"/>
      <sheetName val="JCR_TOP(ITEM)-KTRP35"/>
      <sheetName val="dpc_cost29"/>
      <sheetName val="UNP-NCW_35"/>
      <sheetName val="data(R_C_Puram)29"/>
      <sheetName val="220_11__BS_29"/>
      <sheetName val="Vind_-_BtB29"/>
      <sheetName val="Cost_Rates29"/>
      <sheetName val="Cat_A_Change_Control29"/>
      <sheetName val="X_rate28"/>
      <sheetName val="General_input28"/>
      <sheetName val="Progressin_Next_mon-AP-1728"/>
      <sheetName val="Detail_In_Door_Stad28"/>
      <sheetName val="Material_28"/>
      <sheetName val="Basement_Budget28"/>
      <sheetName val="STN_WISE_EMR29"/>
      <sheetName val="except_wiring28"/>
      <sheetName val="2B_for_Sub_Station_F_I_22"/>
      <sheetName val="step_&amp;_touch_22"/>
      <sheetName val="220KV_CS28"/>
      <sheetName val="beam-reinft-IIInd_floor"/>
      <sheetName val="Leg_1-1"/>
      <sheetName val="Lot_2A"/>
      <sheetName val="Lot_2B"/>
      <sheetName val="CALC__PER_IEEE-1115_37"/>
      <sheetName val="Load_duty_cycle37"/>
      <sheetName val="Calc-Float_137"/>
      <sheetName val="Calc-boost_137"/>
      <sheetName val="Annexure-3_137"/>
      <sheetName val="Load_Details(B1)36"/>
      <sheetName val="2007_Calendar36"/>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total_-BOQ37"/>
      <sheetName val="DETAILED__BOQ37"/>
      <sheetName val="Civil_Works36"/>
      <sheetName val="Pile_cap36"/>
      <sheetName val="pile_Fabrication36"/>
      <sheetName val="TBAL9697_-group_wise__sdpl36"/>
      <sheetName val="Typical_Design36"/>
      <sheetName val="Est_To_comp-KTRP36"/>
      <sheetName val="JCR_TOP(ITEM)-KTRP36"/>
      <sheetName val="dpc_cost30"/>
      <sheetName val="UNP-NCW_36"/>
      <sheetName val="data(R_C_Puram)30"/>
      <sheetName val="220_11__BS_30"/>
      <sheetName val="Vind_-_BtB30"/>
      <sheetName val="Cost_Rates30"/>
      <sheetName val="Cat_A_Change_Control30"/>
      <sheetName val="X_rate29"/>
      <sheetName val="General_input29"/>
      <sheetName val="Progressin_Next_mon-AP-1729"/>
      <sheetName val="Detail_In_Door_Stad29"/>
      <sheetName val="Material_29"/>
      <sheetName val="Basement_Budget29"/>
      <sheetName val="STN_WISE_EMR30"/>
      <sheetName val="except_wiring29"/>
      <sheetName val="2B_for_Sub_Station_F_I_23"/>
      <sheetName val="step_&amp;_touch_23"/>
      <sheetName val="220KV_CS29"/>
      <sheetName val="beam-reinft-IIInd_floor1"/>
      <sheetName val="Leg_1-11"/>
      <sheetName val="Lot_2A1"/>
      <sheetName val="Lot_2B1"/>
      <sheetName val="CALC__PER_IEEE-1115_38"/>
      <sheetName val="Load_duty_cycle38"/>
      <sheetName val="Calc-Float_138"/>
      <sheetName val="Calc-boost_138"/>
      <sheetName val="Annexure-3_138"/>
      <sheetName val="Load_Details(B1)37"/>
      <sheetName val="2007_Calendar37"/>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total_-BOQ38"/>
      <sheetName val="DETAILED__BOQ38"/>
      <sheetName val="Civil_Works37"/>
      <sheetName val="Pile_cap37"/>
      <sheetName val="pile_Fabrication37"/>
      <sheetName val="TBAL9697_-group_wise__sdpl37"/>
      <sheetName val="Typical_Design37"/>
      <sheetName val="Est_To_comp-KTRP37"/>
      <sheetName val="JCR_TOP(ITEM)-KTRP37"/>
      <sheetName val="dpc_cost31"/>
      <sheetName val="UNP-NCW_37"/>
      <sheetName val="data(R_C_Puram)31"/>
      <sheetName val="220_11__BS_31"/>
      <sheetName val="Vind_-_BtB31"/>
      <sheetName val="Cost_Rates31"/>
      <sheetName val="Cat_A_Change_Control31"/>
      <sheetName val="X_rate30"/>
      <sheetName val="General_input30"/>
      <sheetName val="Progressin_Next_mon-AP-1730"/>
      <sheetName val="Detail_In_Door_Stad30"/>
      <sheetName val="Material_30"/>
      <sheetName val="Basement_Budget30"/>
      <sheetName val="STN_WISE_EMR31"/>
      <sheetName val="except_wiring30"/>
      <sheetName val="2B_for_Sub_Station_F_I_24"/>
      <sheetName val="step_&amp;_touch_24"/>
      <sheetName val="220KV_CS30"/>
      <sheetName val="beam-reinft-IIInd_floor2"/>
      <sheetName val="Leg_1-12"/>
      <sheetName val="Lot_2A2"/>
      <sheetName val="Lot_2B2"/>
      <sheetName val="CALC__PER_IEEE-1115_39"/>
      <sheetName val="Load_duty_cycle39"/>
      <sheetName val="Calc-Float_139"/>
      <sheetName val="Calc-boost_139"/>
      <sheetName val="Annexure-3_139"/>
      <sheetName val="Load_Details(B1)38"/>
      <sheetName val="2007_Calendar38"/>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total_-BOQ39"/>
      <sheetName val="DETAILED__BOQ39"/>
      <sheetName val="Civil_Works38"/>
      <sheetName val="Pile_cap38"/>
      <sheetName val="pile_Fabrication38"/>
      <sheetName val="TBAL9697_-group_wise__sdpl38"/>
      <sheetName val="Typical_Design38"/>
      <sheetName val="Est_To_comp-KTRP38"/>
      <sheetName val="JCR_TOP(ITEM)-KTRP38"/>
      <sheetName val="dpc_cost32"/>
      <sheetName val="UNP-NCW_38"/>
      <sheetName val="data(R_C_Puram)32"/>
      <sheetName val="220_11__BS_32"/>
      <sheetName val="Vind_-_BtB32"/>
      <sheetName val="Cost_Rates32"/>
      <sheetName val="Cat_A_Change_Control32"/>
      <sheetName val="X_rate31"/>
      <sheetName val="General_input31"/>
      <sheetName val="Progressin_Next_mon-AP-1731"/>
      <sheetName val="Detail_In_Door_Stad31"/>
      <sheetName val="Material_31"/>
      <sheetName val="Basement_Budget31"/>
      <sheetName val="STN_WISE_EMR32"/>
      <sheetName val="except_wiring31"/>
      <sheetName val="2B_for_Sub_Station_F_I_25"/>
      <sheetName val="step_&amp;_touch_25"/>
      <sheetName val="220KV_CS31"/>
      <sheetName val="beam-reinft-IIInd_floor3"/>
      <sheetName val="Leg_1-13"/>
      <sheetName val="Lot_2A3"/>
      <sheetName val="Lot_2B3"/>
      <sheetName val="CALC__PER_IEEE-1115_40"/>
      <sheetName val="Load_duty_cycle40"/>
      <sheetName val="Calc-Float_140"/>
      <sheetName val="Calc-boost_140"/>
      <sheetName val="Annexure-3_140"/>
      <sheetName val="Load_Details(B1)39"/>
      <sheetName val="2007_Calendar39"/>
      <sheetName val="MANDAY_RATE40"/>
      <sheetName val="Ins__of_Panels40"/>
      <sheetName val="Ins__of_MCB_DB40"/>
      <sheetName val="Pt_Wiring,_Ckt_main,_Sub_Main40"/>
      <sheetName val="Cable,_Cable_Termination40"/>
      <sheetName val="Earth_Exc,_Earthing,_Earth_Co40"/>
      <sheetName val="Ins_of_Light_Fixtures40"/>
      <sheetName val="Cable_Tray,_Steel,_LA,_Misc40"/>
      <sheetName val="total_-BOQ40"/>
      <sheetName val="DETAILED__BOQ40"/>
      <sheetName val="Civil_Works39"/>
      <sheetName val="Pile_cap39"/>
      <sheetName val="pile_Fabrication39"/>
      <sheetName val="TBAL9697_-group_wise__sdpl39"/>
      <sheetName val="Typical_Design39"/>
      <sheetName val="Est_To_comp-KTRP39"/>
      <sheetName val="JCR_TOP(ITEM)-KTRP39"/>
      <sheetName val="dpc_cost33"/>
      <sheetName val="UNP-NCW_39"/>
      <sheetName val="data(R_C_Puram)33"/>
      <sheetName val="220_11__BS_33"/>
      <sheetName val="Vind_-_BtB33"/>
      <sheetName val="Cost_Rates33"/>
      <sheetName val="Cat_A_Change_Control33"/>
      <sheetName val="X_rate32"/>
      <sheetName val="General_input32"/>
      <sheetName val="Progressin_Next_mon-AP-1732"/>
      <sheetName val="Detail_In_Door_Stad32"/>
      <sheetName val="Material_32"/>
      <sheetName val="Basement_Budget32"/>
      <sheetName val="STN_WISE_EMR33"/>
      <sheetName val="except_wiring32"/>
      <sheetName val="2B_for_Sub_Station_F_I_26"/>
      <sheetName val="step_&amp;_touch_26"/>
      <sheetName val="220KV_CS32"/>
      <sheetName val="beam-reinft-IIInd_floor4"/>
      <sheetName val="Leg_1-14"/>
      <sheetName val="Lot_2A4"/>
      <sheetName val="Lot_2B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 val="FT-06-02_(2)20"/>
      <sheetName val="FT-002_R0_(6)20"/>
      <sheetName val="FM-05-03_(2)20"/>
      <sheetName val="220_11__BS_14"/>
      <sheetName val="Rate_Analysis13"/>
      <sheetName val="220KV_CS13"/>
      <sheetName val="220Kv_(2)13"/>
      <sheetName val="material_cacus13"/>
      <sheetName val="except_wiring13"/>
      <sheetName val="FT-06-02_(2)7"/>
      <sheetName val="FT-002_R0_(6)7"/>
      <sheetName val="FM-05-03_(2)7"/>
      <sheetName val="220_11__BS_1"/>
      <sheetName val="220KV_CS"/>
      <sheetName val="220Kv_(2)"/>
      <sheetName val="material_cacus"/>
      <sheetName val="except_wiring"/>
      <sheetName val="FT-06-02_(2)8"/>
      <sheetName val="FT-002_R0_(6)8"/>
      <sheetName val="FM-05-03_(2)8"/>
      <sheetName val="220_11__BS_2"/>
      <sheetName val="Rate_Analysis1"/>
      <sheetName val="220KV_CS1"/>
      <sheetName val="220Kv_(2)1"/>
      <sheetName val="material_cacus1"/>
      <sheetName val="except_wiring1"/>
      <sheetName val="FT-06-02_(2)9"/>
      <sheetName val="FT-002_R0_(6)9"/>
      <sheetName val="FM-05-03_(2)9"/>
      <sheetName val="220_11__BS_3"/>
      <sheetName val="Rate_Analysis2"/>
      <sheetName val="220KV_CS2"/>
      <sheetName val="220Kv_(2)2"/>
      <sheetName val="material_cacus2"/>
      <sheetName val="except_wiring2"/>
      <sheetName val="FT-06-02_(2)10"/>
      <sheetName val="FT-002_R0_(6)10"/>
      <sheetName val="FM-05-03_(2)10"/>
      <sheetName val="220_11__BS_4"/>
      <sheetName val="Rate_Analysis3"/>
      <sheetName val="220KV_CS3"/>
      <sheetName val="220Kv_(2)3"/>
      <sheetName val="material_cacus3"/>
      <sheetName val="except_wiring3"/>
      <sheetName val="FT-06-02_(2)11"/>
      <sheetName val="FT-002_R0_(6)11"/>
      <sheetName val="FM-05-03_(2)11"/>
      <sheetName val="220_11__BS_5"/>
      <sheetName val="Rate_Analysis4"/>
      <sheetName val="220KV_CS4"/>
      <sheetName val="220Kv_(2)4"/>
      <sheetName val="material_cacus4"/>
      <sheetName val="except_wiring4"/>
      <sheetName val="FT-06-02_(2)16"/>
      <sheetName val="FT-002_R0_(6)16"/>
      <sheetName val="FM-05-03_(2)16"/>
      <sheetName val="220_11__BS_10"/>
      <sheetName val="Rate_Analysis9"/>
      <sheetName val="220KV_CS9"/>
      <sheetName val="material_cacus9"/>
      <sheetName val="220Kv_(2)9"/>
      <sheetName val="except_wiring9"/>
      <sheetName val="FT-06-02_(2)12"/>
      <sheetName val="FT-002_R0_(6)12"/>
      <sheetName val="FM-05-03_(2)12"/>
      <sheetName val="220_11__BS_6"/>
      <sheetName val="Rate_Analysis5"/>
      <sheetName val="220KV_CS5"/>
      <sheetName val="220Kv_(2)5"/>
      <sheetName val="material_cacus5"/>
      <sheetName val="except_wiring5"/>
      <sheetName val="FT-06-02_(2)14"/>
      <sheetName val="FT-002_R0_(6)14"/>
      <sheetName val="FM-05-03_(2)14"/>
      <sheetName val="220_11__BS_8"/>
      <sheetName val="Rate_Analysis7"/>
      <sheetName val="220KV_CS7"/>
      <sheetName val="220Kv_(2)7"/>
      <sheetName val="material_cacus7"/>
      <sheetName val="except_wiring7"/>
      <sheetName val="FT-06-02_(2)13"/>
      <sheetName val="FT-002_R0_(6)13"/>
      <sheetName val="FM-05-03_(2)13"/>
      <sheetName val="220_11__BS_7"/>
      <sheetName val="Rate_Analysis6"/>
      <sheetName val="220KV_CS6"/>
      <sheetName val="material_cacus6"/>
      <sheetName val="220Kv_(2)6"/>
      <sheetName val="except_wiring6"/>
      <sheetName val="FT-06-02_(2)15"/>
      <sheetName val="FT-002_R0_(6)15"/>
      <sheetName val="FM-05-03_(2)15"/>
      <sheetName val="220_11__BS_9"/>
      <sheetName val="Rate_Analysis8"/>
      <sheetName val="220KV_CS8"/>
      <sheetName val="material_cacus8"/>
      <sheetName val="220Kv_(2)8"/>
      <sheetName val="except_wiring8"/>
      <sheetName val="FT-06-02_(2)17"/>
      <sheetName val="FT-002_R0_(6)17"/>
      <sheetName val="FM-05-03_(2)17"/>
      <sheetName val="220_11__BS_11"/>
      <sheetName val="Rate_Analysis10"/>
      <sheetName val="220KV_CS10"/>
      <sheetName val="220Kv_(2)10"/>
      <sheetName val="material_cacus10"/>
      <sheetName val="except_wiring10"/>
      <sheetName val="FT-06-02_(2)18"/>
      <sheetName val="FT-002_R0_(6)18"/>
      <sheetName val="FM-05-03_(2)18"/>
      <sheetName val="220_11__BS_12"/>
      <sheetName val="Rate_Analysis11"/>
      <sheetName val="220KV_CS11"/>
      <sheetName val="material_cacus11"/>
      <sheetName val="220Kv_(2)11"/>
      <sheetName val="except_wiring11"/>
      <sheetName val="FT-06-02_(2)19"/>
      <sheetName val="FT-002_R0_(6)19"/>
      <sheetName val="FM-05-03_(2)19"/>
      <sheetName val="220_11__BS_13"/>
      <sheetName val="Rate_Analysis12"/>
      <sheetName val="220KV_CS12"/>
      <sheetName val="220Kv_(2)12"/>
      <sheetName val="material_cacus12"/>
      <sheetName val="except_wiring12"/>
      <sheetName val="FT-06-02_(2)21"/>
      <sheetName val="FT-002_R0_(6)21"/>
      <sheetName val="FM-05-03_(2)21"/>
      <sheetName val="220_11__BS_15"/>
      <sheetName val="Rate_Analysis14"/>
      <sheetName val="220KV_CS14"/>
      <sheetName val="220Kv_(2)14"/>
      <sheetName val="material_cacus14"/>
      <sheetName val="except_wiring14"/>
      <sheetName val="FT-06-02_(2)22"/>
      <sheetName val="FT-002_R0_(6)22"/>
      <sheetName val="FM-05-03_(2)22"/>
      <sheetName val="220_11__BS_16"/>
      <sheetName val="Rate_Analysis15"/>
      <sheetName val="220KV_CS15"/>
      <sheetName val="220Kv_(2)15"/>
      <sheetName val="material_cacus15"/>
      <sheetName val="except_wiring15"/>
      <sheetName val="TABLES"/>
      <sheetName val="Design"/>
      <sheetName val="SUPER BOQ"/>
      <sheetName val="Planned Prog Lev 3 - revG"/>
      <sheetName val="SUPER Takeoff"/>
      <sheetName val="IPMEQPT"/>
      <sheetName val="INDEX"/>
      <sheetName val="IPSPRS"/>
      <sheetName val="IPTTC"/>
      <sheetName val="3BPA00132-5-3 W plan HVPNL"/>
      <sheetName val="Data"/>
      <sheetName val="FT-06-02_(2)23"/>
      <sheetName val="FT-002_R0_(6)23"/>
      <sheetName val="FM-05-03_(2)23"/>
      <sheetName val="220_11__BS_17"/>
      <sheetName val="Rate_Analysis16"/>
      <sheetName val="220KV_CS16"/>
      <sheetName val="220Kv_(2)16"/>
      <sheetName val="material_cacus16"/>
      <sheetName val="except_wiring16"/>
      <sheetName val="FT-06-02_(2)24"/>
      <sheetName val="FT-002_R0_(6)24"/>
      <sheetName val="FM-05-03_(2)24"/>
      <sheetName val="220_11__BS_18"/>
      <sheetName val="Rate_Analysis17"/>
      <sheetName val="220KV_CS17"/>
      <sheetName val="220Kv_(2)17"/>
      <sheetName val="material_cacus17"/>
      <sheetName val="except_wiring17"/>
      <sheetName val="FT-06-02_(2)25"/>
      <sheetName val="FT-002_R0_(6)25"/>
      <sheetName val="FM-05-03_(2)25"/>
      <sheetName val="220_11__BS_19"/>
      <sheetName val="Rate_Analysis18"/>
      <sheetName val="220KV_CS18"/>
      <sheetName val="220Kv_(2)18"/>
      <sheetName val="material_cacus18"/>
      <sheetName val="except_wiring18"/>
      <sheetName val="FT-06-02_(2)30"/>
      <sheetName val="FT-002_R0_(6)30"/>
      <sheetName val="FM-05-03_(2)30"/>
      <sheetName val="220_11__BS_24"/>
      <sheetName val="Rate_Analysis23"/>
      <sheetName val="220KV_CS23"/>
      <sheetName val="material_cacus23"/>
      <sheetName val="220Kv_(2)23"/>
      <sheetName val="except_wiring23"/>
      <sheetName val="FT-06-02_(2)29"/>
      <sheetName val="FT-002_R0_(6)29"/>
      <sheetName val="FM-05-03_(2)29"/>
      <sheetName val="220_11__BS_23"/>
      <sheetName val="Rate_Analysis22"/>
      <sheetName val="220KV_CS22"/>
      <sheetName val="material_cacus22"/>
      <sheetName val="220Kv_(2)22"/>
      <sheetName val="except_wiring22"/>
      <sheetName val="FT-06-02_(2)26"/>
      <sheetName val="FT-002_R0_(6)26"/>
      <sheetName val="FM-05-03_(2)26"/>
      <sheetName val="220_11__BS_20"/>
      <sheetName val="Rate_Analysis19"/>
      <sheetName val="220KV_CS19"/>
      <sheetName val="material_cacus19"/>
      <sheetName val="220Kv_(2)19"/>
      <sheetName val="except_wiring19"/>
      <sheetName val="FT-06-02_(2)27"/>
      <sheetName val="FT-002_R0_(6)27"/>
      <sheetName val="FM-05-03_(2)27"/>
      <sheetName val="220_11__BS_21"/>
      <sheetName val="Rate_Analysis20"/>
      <sheetName val="220KV_CS20"/>
      <sheetName val="material_cacus20"/>
      <sheetName val="220Kv_(2)20"/>
      <sheetName val="except_wiring20"/>
      <sheetName val="FT-06-02_(2)28"/>
      <sheetName val="FT-002_R0_(6)28"/>
      <sheetName val="FM-05-03_(2)28"/>
      <sheetName val="220_11__BS_22"/>
      <sheetName val="Rate_Analysis21"/>
      <sheetName val="220KV_CS21"/>
      <sheetName val="material_cacus21"/>
      <sheetName val="220Kv_(2)21"/>
      <sheetName val="except_wiring21"/>
      <sheetName val="FT-06-02_(2)31"/>
      <sheetName val="FT-002_R0_(6)31"/>
      <sheetName val="FM-05-03_(2)31"/>
      <sheetName val="220_11__BS_25"/>
      <sheetName val="Rate_Analysis24"/>
      <sheetName val="220KV_CS24"/>
      <sheetName val="material_cacus24"/>
      <sheetName val="220Kv_(2)24"/>
      <sheetName val="except_wiring24"/>
      <sheetName val="FT-06-02_(2)34"/>
      <sheetName val="FT-002_R0_(6)34"/>
      <sheetName val="FM-05-03_(2)34"/>
      <sheetName val="220_11__BS_28"/>
      <sheetName val="Rate_Analysis27"/>
      <sheetName val="220KV_CS27"/>
      <sheetName val="material_cacus27"/>
      <sheetName val="220Kv_(2)27"/>
      <sheetName val="except_wiring27"/>
      <sheetName val="FT-06-02_(2)32"/>
      <sheetName val="FT-002_R0_(6)32"/>
      <sheetName val="FM-05-03_(2)32"/>
      <sheetName val="220_11__BS_26"/>
      <sheetName val="Rate_Analysis25"/>
      <sheetName val="220KV_CS25"/>
      <sheetName val="material_cacus25"/>
      <sheetName val="220Kv_(2)25"/>
      <sheetName val="except_wiring25"/>
      <sheetName val="FT-06-02_(2)33"/>
      <sheetName val="FT-002_R0_(6)33"/>
      <sheetName val="FM-05-03_(2)33"/>
      <sheetName val="220_11__BS_27"/>
      <sheetName val="Rate_Analysis26"/>
      <sheetName val="220KV_CS26"/>
      <sheetName val="material_cacus26"/>
      <sheetName val="220Kv_(2)26"/>
      <sheetName val="except_wiring26"/>
      <sheetName val="KALK"/>
      <sheetName val="FT-06-02_(2)35"/>
      <sheetName val="FT-002_R0_(6)35"/>
      <sheetName val="FM-05-03_(2)35"/>
      <sheetName val="220_11__BS_29"/>
      <sheetName val="Rate_Analysis28"/>
      <sheetName val="220KV_CS28"/>
      <sheetName val="material_cacus28"/>
      <sheetName val="220Kv_(2)28"/>
      <sheetName val="except_wiring28"/>
      <sheetName val="SUPER_BOQ"/>
      <sheetName val="Planned_Prog_Lev_3_-_revG"/>
      <sheetName val="SUPER_Takeoff"/>
      <sheetName val="3BPA00132-5-3_W_plan_HVPNL"/>
      <sheetName val="FT-06-02_(2)36"/>
      <sheetName val="FT-002_R0_(6)36"/>
      <sheetName val="FM-05-03_(2)36"/>
      <sheetName val="220_11__BS_30"/>
      <sheetName val="Rate_Analysis29"/>
      <sheetName val="220KV_CS29"/>
      <sheetName val="material_cacus29"/>
      <sheetName val="220Kv_(2)29"/>
      <sheetName val="except_wiring29"/>
      <sheetName val="SUPER_BOQ1"/>
      <sheetName val="Planned_Prog_Lev_3_-_revG1"/>
      <sheetName val="SUPER_Takeoff1"/>
      <sheetName val="3BPA00132-5-3_W_plan_HVPNL1"/>
      <sheetName val="FT-06-02_(2)37"/>
      <sheetName val="FT-002_R0_(6)37"/>
      <sheetName val="FM-05-03_(2)37"/>
      <sheetName val="220_11__BS_31"/>
      <sheetName val="Rate_Analysis30"/>
      <sheetName val="220KV_CS30"/>
      <sheetName val="material_cacus30"/>
      <sheetName val="220Kv_(2)30"/>
      <sheetName val="except_wiring30"/>
      <sheetName val="SUPER_BOQ2"/>
      <sheetName val="Planned_Prog_Lev_3_-_revG2"/>
      <sheetName val="SUPER_Takeoff2"/>
      <sheetName val="3BPA00132-5-3_W_plan_HVPNL2"/>
      <sheetName val="FT-06-02_(2)38"/>
      <sheetName val="FT-002_R0_(6)38"/>
      <sheetName val="FM-05-03_(2)38"/>
      <sheetName val="220_11__BS_32"/>
      <sheetName val="Rate_Analysis31"/>
      <sheetName val="220KV_CS31"/>
      <sheetName val="material_cacus31"/>
      <sheetName val="220Kv_(2)31"/>
      <sheetName val="except_wiring31"/>
      <sheetName val="SUPER_BOQ3"/>
      <sheetName val="Planned_Prog_Lev_3_-_revG3"/>
      <sheetName val="SUPER_Takeoff3"/>
      <sheetName val="3BPA00132-5-3_W_plan_HVPNL3"/>
      <sheetName val="FT-06-02_(2)39"/>
      <sheetName val="FT-002_R0_(6)39"/>
      <sheetName val="FM-05-03_(2)39"/>
      <sheetName val="220_11__BS_33"/>
      <sheetName val="Rate_Analysis32"/>
      <sheetName val="220KV_CS32"/>
      <sheetName val="material_cacus32"/>
      <sheetName val="220Kv_(2)32"/>
      <sheetName val="except_wiring32"/>
      <sheetName val="SUPER_BOQ4"/>
      <sheetName val="Planned_Prog_Lev_3_-_revG4"/>
      <sheetName val="SUPER_Takeoff4"/>
      <sheetName val="3BPA00132-5-3_W_plan_HVPNL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 val="Planned Prog Lev 3 - revG"/>
      <sheetName val="Sheet4"/>
      <sheetName val="pack (b)"/>
      <sheetName val="coalmine"/>
      <sheetName val="dummy"/>
      <sheetName val="Load Details-220kV"/>
      <sheetName val="pile Fabrication"/>
      <sheetName val="Exist"/>
      <sheetName val="LEFT"/>
      <sheetName val="RIGHT"/>
      <sheetName val="2B for Sub_Station_F_I_"/>
      <sheetName val="P&amp;M"/>
      <sheetName val="Date"/>
      <sheetName val="Road work"/>
      <sheetName val="annexture-g1"/>
      <sheetName val="steam table"/>
      <sheetName val="Indirect Cost"/>
      <sheetName val="purpose&amp;input"/>
      <sheetName val="Natural gas"/>
      <sheetName val="220_11__BS_7"/>
      <sheetName val="DETAILED__BOQ7"/>
      <sheetName val="beam-reinft-IIInd_floor4"/>
      <sheetName val="labour_rates4"/>
      <sheetName val="final_abstract4"/>
      <sheetName val="dpc_cost4"/>
      <sheetName val="schedule_nos4"/>
      <sheetName val="LOCAL_RATES4"/>
      <sheetName val="Sales_breakup4"/>
      <sheetName val="regions_&amp;_PL4"/>
      <sheetName val="HR_List-06-104"/>
      <sheetName val="Total_Staff_List3"/>
      <sheetName val="Weightage_Factor3"/>
      <sheetName val="Rate_Analysis3"/>
      <sheetName val="2007_Calendar1"/>
      <sheetName val="Data_Sheet"/>
      <sheetName val="except_wiring"/>
      <sheetName val="Mp-team_1"/>
      <sheetName val="Form_63"/>
      <sheetName val="material_cacus"/>
      <sheetName val="lc_11"/>
      <sheetName val="lc_21"/>
      <sheetName val="Basic_Rate"/>
      <sheetName val="Abs_PMRL"/>
      <sheetName val="220_11__BS_8"/>
      <sheetName val="DETAILED__BOQ8"/>
      <sheetName val="beam-reinft-IIInd_floor5"/>
      <sheetName val="labour_rates5"/>
      <sheetName val="final_abstract5"/>
      <sheetName val="dpc_cost5"/>
      <sheetName val="schedule_nos5"/>
      <sheetName val="LOCAL_RATES5"/>
      <sheetName val="Sales_breakup5"/>
      <sheetName val="regions_&amp;_PL5"/>
      <sheetName val="HR_List-06-105"/>
      <sheetName val="Total_Staff_List4"/>
      <sheetName val="Weightage_Factor4"/>
      <sheetName val="Rate_Analysis4"/>
      <sheetName val="2007_Calendar2"/>
      <sheetName val="Data_Sheet1"/>
      <sheetName val="except_wiring1"/>
      <sheetName val="Mp-team_11"/>
      <sheetName val="Form_64"/>
      <sheetName val="material_cacus1"/>
      <sheetName val="lc_111"/>
      <sheetName val="lc_211"/>
      <sheetName val="Basic_Rate1"/>
      <sheetName val="Abs_PMRL1"/>
      <sheetName val="Org_Chart25"/>
      <sheetName val="220_11__BS_9"/>
      <sheetName val="DETAILED__BOQ9"/>
      <sheetName val="beam-reinft-IIInd_floor6"/>
      <sheetName val="labour_rates6"/>
      <sheetName val="final_abstract6"/>
      <sheetName val="dpc_cost6"/>
      <sheetName val="schedule_nos6"/>
      <sheetName val="Basic_Rates25"/>
      <sheetName val="LOCAL_RATES6"/>
      <sheetName val="Material_25"/>
      <sheetName val="Labour_&amp;_Plant25"/>
      <sheetName val="INPUT_SHEET25"/>
      <sheetName val="Basement_Budget8"/>
      <sheetName val="Sales_breakup6"/>
      <sheetName val="regions_&amp;_PL6"/>
      <sheetName val="HR_List-06-106"/>
      <sheetName val="Total_Staff_List5"/>
      <sheetName val="Weightage_Factor5"/>
      <sheetName val="Rate_Analysis5"/>
      <sheetName val="2007_Calendar3"/>
      <sheetName val="except_wiring2"/>
      <sheetName val="Data_Sheet2"/>
      <sheetName val="Hotel_Info_Input8"/>
      <sheetName val="Mp-team_12"/>
      <sheetName val="Form_65"/>
      <sheetName val="TBAL9697_-group_wise__sdpl"/>
      <sheetName val="M_S_"/>
      <sheetName val="Intro_"/>
      <sheetName val="material_cacus2"/>
      <sheetName val="lc_112"/>
      <sheetName val="lc_212"/>
      <sheetName val="Basic_Rate2"/>
      <sheetName val="Abs_PMRL2"/>
      <sheetName val="Planned_Prog_Lev_3_-_revG"/>
      <sheetName val="pack_(b)"/>
      <sheetName val="Load_Details-220kV"/>
      <sheetName val="pile_Fabrication"/>
      <sheetName val="2B_for_Sub_Station_F_I_"/>
      <sheetName val="Road_work"/>
      <sheetName val="steam_table"/>
      <sheetName val="Indirect_Cost"/>
      <sheetName val="consl_bs"/>
      <sheetName val="Org_Chart26"/>
      <sheetName val="220_11__BS_10"/>
      <sheetName val="DETAILED__BOQ10"/>
      <sheetName val="beam-reinft-IIInd_floor7"/>
      <sheetName val="labour_rates7"/>
      <sheetName val="final_abstract7"/>
      <sheetName val="dpc_cost7"/>
      <sheetName val="schedule_nos7"/>
      <sheetName val="Basic_Rates26"/>
      <sheetName val="LOCAL_RATES7"/>
      <sheetName val="Material_26"/>
      <sheetName val="Labour_&amp;_Plant26"/>
      <sheetName val="INPUT_SHEET26"/>
      <sheetName val="Basement_Budget9"/>
      <sheetName val="Sales_breakup7"/>
      <sheetName val="regions_&amp;_PL7"/>
      <sheetName val="HR_List-06-107"/>
      <sheetName val="Total_Staff_List6"/>
      <sheetName val="Weightage_Factor6"/>
      <sheetName val="Rate_Analysis6"/>
      <sheetName val="2007_Calendar4"/>
      <sheetName val="except_wiring3"/>
      <sheetName val="Data_Sheet3"/>
      <sheetName val="Hotel_Info_Input9"/>
      <sheetName val="Mp-team_13"/>
      <sheetName val="Form_66"/>
      <sheetName val="TBAL9697_-group_wise__sdpl1"/>
      <sheetName val="M_S_1"/>
      <sheetName val="Intro_1"/>
      <sheetName val="material_cacus3"/>
      <sheetName val="lc_113"/>
      <sheetName val="lc_213"/>
      <sheetName val="Basic_Rate3"/>
      <sheetName val="Abs_PMRL3"/>
      <sheetName val="Planned_Prog_Lev_3_-_revG1"/>
      <sheetName val="pack_(b)1"/>
      <sheetName val="Load_Details-220kV1"/>
      <sheetName val="pile_Fabrication1"/>
      <sheetName val="2B_for_Sub_Station_F_I_1"/>
      <sheetName val="Road_work1"/>
      <sheetName val="steam_table1"/>
      <sheetName val="Indirect_Cost1"/>
      <sheetName val="consl_bs1"/>
      <sheetName val="Org_Chart27"/>
      <sheetName val="220_11__BS_11"/>
      <sheetName val="DETAILED__BOQ11"/>
      <sheetName val="beam-reinft-IIInd_floor8"/>
      <sheetName val="labour_rates8"/>
      <sheetName val="final_abstract8"/>
      <sheetName val="dpc_cost8"/>
      <sheetName val="schedule_nos8"/>
      <sheetName val="Basic_Rates27"/>
      <sheetName val="LOCAL_RATES8"/>
      <sheetName val="Material_27"/>
      <sheetName val="Labour_&amp;_Plant27"/>
      <sheetName val="INPUT_SHEET27"/>
      <sheetName val="Basement_Budget10"/>
      <sheetName val="Sales_breakup8"/>
      <sheetName val="regions_&amp;_PL8"/>
      <sheetName val="HR_List-06-108"/>
      <sheetName val="Total_Staff_List7"/>
      <sheetName val="Weightage_Factor7"/>
      <sheetName val="Rate_Analysis7"/>
      <sheetName val="2007_Calendar5"/>
      <sheetName val="except_wiring4"/>
      <sheetName val="Data_Sheet4"/>
      <sheetName val="Hotel_Info_Input10"/>
      <sheetName val="Mp-team_14"/>
      <sheetName val="Form_67"/>
      <sheetName val="TBAL9697_-group_wise__sdpl2"/>
      <sheetName val="M_S_2"/>
      <sheetName val="Intro_2"/>
      <sheetName val="material_cacus4"/>
      <sheetName val="lc_114"/>
      <sheetName val="lc_214"/>
      <sheetName val="Basic_Rate4"/>
      <sheetName val="Abs_PMRL4"/>
      <sheetName val="Planned_Prog_Lev_3_-_revG2"/>
      <sheetName val="pack_(b)2"/>
      <sheetName val="Load_Details-220kV2"/>
      <sheetName val="pile_Fabrication2"/>
      <sheetName val="2B_for_Sub_Station_F_I_2"/>
      <sheetName val="Road_work2"/>
      <sheetName val="steam_table2"/>
      <sheetName val="Indirect_Cost2"/>
      <sheetName val="consl_bs2"/>
      <sheetName val="Org_Chart28"/>
      <sheetName val="220_11__BS_12"/>
      <sheetName val="DETAILED__BOQ12"/>
      <sheetName val="beam-reinft-IIInd_floor9"/>
      <sheetName val="labour_rates9"/>
      <sheetName val="final_abstract9"/>
      <sheetName val="dpc_cost9"/>
      <sheetName val="schedule_nos9"/>
      <sheetName val="Basic_Rates28"/>
      <sheetName val="LOCAL_RATES9"/>
      <sheetName val="Material_28"/>
      <sheetName val="Labour_&amp;_Plant28"/>
      <sheetName val="INPUT_SHEET28"/>
      <sheetName val="Basement_Budget11"/>
      <sheetName val="Sales_breakup9"/>
      <sheetName val="regions_&amp;_PL9"/>
      <sheetName val="HR_List-06-109"/>
      <sheetName val="Total_Staff_List8"/>
      <sheetName val="Weightage_Factor8"/>
      <sheetName val="Rate_Analysis8"/>
      <sheetName val="2007_Calendar6"/>
      <sheetName val="except_wiring5"/>
      <sheetName val="Data_Sheet5"/>
      <sheetName val="Hotel_Info_Input11"/>
      <sheetName val="Mp-team_15"/>
      <sheetName val="Form_68"/>
      <sheetName val="TBAL9697_-group_wise__sdpl3"/>
      <sheetName val="M_S_3"/>
      <sheetName val="Intro_3"/>
      <sheetName val="material_cacus5"/>
      <sheetName val="lc_115"/>
      <sheetName val="lc_215"/>
      <sheetName val="Basic_Rate5"/>
      <sheetName val="Abs_PMRL5"/>
      <sheetName val="Planned_Prog_Lev_3_-_revG3"/>
      <sheetName val="pack_(b)3"/>
      <sheetName val="Load_Details-220kV3"/>
      <sheetName val="pile_Fabrication3"/>
      <sheetName val="2B_for_Sub_Station_F_I_3"/>
      <sheetName val="Road_work3"/>
      <sheetName val="steam_table3"/>
      <sheetName val="Indirect_Cost3"/>
      <sheetName val="consl_bs3"/>
      <sheetName val="Org_Chart29"/>
      <sheetName val="220_11__BS_13"/>
      <sheetName val="DETAILED__BOQ13"/>
      <sheetName val="beam-reinft-IIInd_floor10"/>
      <sheetName val="labour_rates10"/>
      <sheetName val="final_abstract10"/>
      <sheetName val="dpc_cost10"/>
      <sheetName val="schedule_nos10"/>
      <sheetName val="Basic_Rates29"/>
      <sheetName val="LOCAL_RATES10"/>
      <sheetName val="Material_29"/>
      <sheetName val="Labour_&amp;_Plant29"/>
      <sheetName val="INPUT_SHEET29"/>
      <sheetName val="Basement_Budget12"/>
      <sheetName val="Sales_breakup10"/>
      <sheetName val="regions_&amp;_PL10"/>
      <sheetName val="HR_List-06-1010"/>
      <sheetName val="Total_Staff_List9"/>
      <sheetName val="Weightage_Factor9"/>
      <sheetName val="Rate_Analysis9"/>
      <sheetName val="2007_Calendar7"/>
      <sheetName val="except_wiring6"/>
      <sheetName val="Data_Sheet6"/>
      <sheetName val="Hotel_Info_Input12"/>
      <sheetName val="Mp-team_16"/>
      <sheetName val="Form_69"/>
      <sheetName val="TBAL9697_-group_wise__sdpl4"/>
      <sheetName val="M_S_4"/>
      <sheetName val="Intro_4"/>
      <sheetName val="material_cacus6"/>
      <sheetName val="lc_116"/>
      <sheetName val="lc_216"/>
      <sheetName val="Basic_Rate6"/>
      <sheetName val="Abs_PMRL6"/>
      <sheetName val="Planned_Prog_Lev_3_-_revG4"/>
      <sheetName val="pack_(b)4"/>
      <sheetName val="Load_Details-220kV4"/>
      <sheetName val="pile_Fabrication4"/>
      <sheetName val="2B_for_Sub_Station_F_I_4"/>
      <sheetName val="Road_work4"/>
      <sheetName val="steam_table4"/>
      <sheetName val="Indirect_Cost4"/>
      <sheetName val="consl_bs4"/>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 val="AH_cal-HBL__(3)18"/>
      <sheetName val="No__of_cells18"/>
      <sheetName val="Load_Summary18"/>
      <sheetName val="AH_cal-HBL__(2)18"/>
      <sheetName val="AH_cal-HBL_18"/>
      <sheetName val="Load_Details-220kV18"/>
      <sheetName val="Load_Details-33kV18"/>
      <sheetName val="lmp_&amp;_salse18"/>
      <sheetName val="Project_Budget_Worksheet18"/>
      <sheetName val="Load_Details_220kV18"/>
      <sheetName val="Builtup_Area18"/>
      <sheetName val="3BPA00132-5-3_W_plan_HVPNL15"/>
      <sheetName val="220_11__BS_15"/>
      <sheetName val="Legal_Risk_Analysis15"/>
      <sheetName val="Motor_Data15"/>
      <sheetName val="Cover_sheet14"/>
      <sheetName val="PRICE_BID14"/>
      <sheetName val="modifiedbattery_size14"/>
      <sheetName val="Prog_Sum13"/>
      <sheetName val="Supply_RATES13"/>
      <sheetName val="water_prop_13"/>
      <sheetName val="SC_Cost_FEB_0313"/>
      <sheetName val="BM_DATA_SHEET13"/>
      <sheetName val="Cable_data13"/>
      <sheetName val="BS_pricing13"/>
      <sheetName val="Rate_Analysis13"/>
      <sheetName val="DETAILED__BOQ13"/>
      <sheetName val="LOCAL_RATES13"/>
      <sheetName val="Civil_Boq13"/>
      <sheetName val="ABP_inputs13"/>
      <sheetName val="Synergy_Sales_Budget13"/>
      <sheetName val="Block_A_-_BOQ13"/>
      <sheetName val="INPUT_SHEET13"/>
      <sheetName val="BOQ_Direct_selling_cost13"/>
      <sheetName val="BASIS_-DEC_0813"/>
      <sheetName val="Summary_year_Plan13"/>
      <sheetName val="Approved_MTD_Proj_#'s13"/>
      <sheetName val="Field_Values13"/>
      <sheetName val="OLTC_MB13"/>
      <sheetName val="400kV_(Cost)13"/>
      <sheetName val="Resumen_Económico13"/>
      <sheetName val="SS_Source_Spells7"/>
      <sheetName val="Prog_Sum"/>
      <sheetName val="SC_Cost_FEB_03"/>
      <sheetName val="Rate_Analysis"/>
      <sheetName val="DETAILED__BOQ"/>
      <sheetName val="LOCAL_RATES"/>
      <sheetName val="Civil_Boq"/>
      <sheetName val="ABP_inputs"/>
      <sheetName val="Synergy_Sales_Budget"/>
      <sheetName val="Block_A_-_BOQ"/>
      <sheetName val="INPUT_SHEET"/>
      <sheetName val="BOQ_Direct_selling_cost"/>
      <sheetName val="BASIS_-DEC_08"/>
      <sheetName val="Summary_year_Plan"/>
      <sheetName val="Approved_MTD_Proj_#'s"/>
      <sheetName val="Field_Values"/>
      <sheetName val="OLTC_MB"/>
      <sheetName val="400kV_(Cost)"/>
      <sheetName val="Resumen_Económico"/>
      <sheetName val="Prog_Sum1"/>
      <sheetName val="SC_Cost_FEB_031"/>
      <sheetName val="Rate_Analysis1"/>
      <sheetName val="DETAILED__BOQ1"/>
      <sheetName val="LOCAL_RATES1"/>
      <sheetName val="Civil_Boq1"/>
      <sheetName val="ABP_inputs1"/>
      <sheetName val="Synergy_Sales_Budget1"/>
      <sheetName val="Block_A_-_BOQ1"/>
      <sheetName val="INPUT_SHEET1"/>
      <sheetName val="BOQ_Direct_selling_cost1"/>
      <sheetName val="BASIS_-DEC_081"/>
      <sheetName val="Summary_year_Plan1"/>
      <sheetName val="Approved_MTD_Proj_#'s1"/>
      <sheetName val="Field_Values1"/>
      <sheetName val="OLTC_MB1"/>
      <sheetName val="400kV_(Cost)1"/>
      <sheetName val="Resumen_Económico1"/>
      <sheetName val="Prog_Sum2"/>
      <sheetName val="SC_Cost_FEB_032"/>
      <sheetName val="Rate_Analysis2"/>
      <sheetName val="DETAILED__BOQ2"/>
      <sheetName val="LOCAL_RATES2"/>
      <sheetName val="Civil_Boq2"/>
      <sheetName val="ABP_inputs2"/>
      <sheetName val="Synergy_Sales_Budget2"/>
      <sheetName val="Block_A_-_BOQ2"/>
      <sheetName val="INPUT_SHEET2"/>
      <sheetName val="BOQ_Direct_selling_cost2"/>
      <sheetName val="BASIS_-DEC_082"/>
      <sheetName val="Summary_year_Plan2"/>
      <sheetName val="Approved_MTD_Proj_#'s2"/>
      <sheetName val="Field_Values2"/>
      <sheetName val="OLTC_MB2"/>
      <sheetName val="400kV_(Cost)2"/>
      <sheetName val="Resumen_Económico2"/>
      <sheetName val="AH_cal-HBL__(3)8"/>
      <sheetName val="No__of_cells8"/>
      <sheetName val="Load_Summary8"/>
      <sheetName val="AH_cal-HBL__(2)8"/>
      <sheetName val="AH_cal-HBL_8"/>
      <sheetName val="Load_Details-220kV8"/>
      <sheetName val="Load_Details-33kV8"/>
      <sheetName val="lmp_&amp;_salse8"/>
      <sheetName val="Project_Budget_Worksheet8"/>
      <sheetName val="Load_Details_220kV8"/>
      <sheetName val="Builtup_Area8"/>
      <sheetName val="3BPA00132-5-3_W_plan_HVPNL5"/>
      <sheetName val="220_11__BS_5"/>
      <sheetName val="Legal_Risk_Analysis5"/>
      <sheetName val="Motor_Data5"/>
      <sheetName val="Cover_sheet4"/>
      <sheetName val="PRICE_BID4"/>
      <sheetName val="modifiedbattery_size4"/>
      <sheetName val="Prog_Sum3"/>
      <sheetName val="Supply_RATES3"/>
      <sheetName val="water_prop_3"/>
      <sheetName val="SC_Cost_FEB_033"/>
      <sheetName val="BM_DATA_SHEET3"/>
      <sheetName val="Cable_data3"/>
      <sheetName val="BS_pricing3"/>
      <sheetName val="Rate_Analysis3"/>
      <sheetName val="DETAILED__BOQ3"/>
      <sheetName val="LOCAL_RATES3"/>
      <sheetName val="Civil_Boq3"/>
      <sheetName val="ABP_inputs3"/>
      <sheetName val="Synergy_Sales_Budget3"/>
      <sheetName val="Block_A_-_BOQ3"/>
      <sheetName val="INPUT_SHEET3"/>
      <sheetName val="BOQ_Direct_selling_cost3"/>
      <sheetName val="BASIS_-DEC_083"/>
      <sheetName val="Summary_year_Plan3"/>
      <sheetName val="Approved_MTD_Proj_#'s3"/>
      <sheetName val="Field_Values3"/>
      <sheetName val="OLTC_MB3"/>
      <sheetName val="400kV_(Cost)3"/>
      <sheetName val="Resumen_Económico3"/>
      <sheetName val="AH_cal-HBL__(3)9"/>
      <sheetName val="No__of_cells9"/>
      <sheetName val="Load_Summary9"/>
      <sheetName val="AH_cal-HBL__(2)9"/>
      <sheetName val="AH_cal-HBL_9"/>
      <sheetName val="Load_Details-220kV9"/>
      <sheetName val="Load_Details-33kV9"/>
      <sheetName val="lmp_&amp;_salse9"/>
      <sheetName val="Project_Budget_Worksheet9"/>
      <sheetName val="Load_Details_220kV9"/>
      <sheetName val="Builtup_Area9"/>
      <sheetName val="3BPA00132-5-3_W_plan_HVPNL6"/>
      <sheetName val="220_11__BS_6"/>
      <sheetName val="Legal_Risk_Analysis6"/>
      <sheetName val="Motor_Data6"/>
      <sheetName val="Cover_sheet5"/>
      <sheetName val="PRICE_BID5"/>
      <sheetName val="modifiedbattery_size5"/>
      <sheetName val="Prog_Sum4"/>
      <sheetName val="Supply_RATES4"/>
      <sheetName val="water_prop_4"/>
      <sheetName val="SC_Cost_FEB_034"/>
      <sheetName val="BM_DATA_SHEET4"/>
      <sheetName val="Cable_data4"/>
      <sheetName val="BS_pricing4"/>
      <sheetName val="Rate_Analysis4"/>
      <sheetName val="DETAILED__BOQ4"/>
      <sheetName val="LOCAL_RATES4"/>
      <sheetName val="Civil_Boq4"/>
      <sheetName val="ABP_inputs4"/>
      <sheetName val="Synergy_Sales_Budget4"/>
      <sheetName val="Block_A_-_BOQ4"/>
      <sheetName val="INPUT_SHEET4"/>
      <sheetName val="BOQ_Direct_selling_cost4"/>
      <sheetName val="BASIS_-DEC_084"/>
      <sheetName val="Summary_year_Plan4"/>
      <sheetName val="Approved_MTD_Proj_#'s4"/>
      <sheetName val="Field_Values4"/>
      <sheetName val="OLTC_MB4"/>
      <sheetName val="400kV_(Cost)4"/>
      <sheetName val="Resumen_Económico4"/>
      <sheetName val="AH_cal-HBL__(3)14"/>
      <sheetName val="No__of_cells14"/>
      <sheetName val="Load_Summary14"/>
      <sheetName val="AH_cal-HBL__(2)14"/>
      <sheetName val="AH_cal-HBL_14"/>
      <sheetName val="Load_Details-220kV14"/>
      <sheetName val="Load_Details-33kV14"/>
      <sheetName val="lmp_&amp;_salse14"/>
      <sheetName val="Project_Budget_Worksheet14"/>
      <sheetName val="Load_Details_220kV14"/>
      <sheetName val="Builtup_Area14"/>
      <sheetName val="3BPA00132-5-3_W_plan_HVPNL11"/>
      <sheetName val="220_11__BS_11"/>
      <sheetName val="Legal_Risk_Analysis11"/>
      <sheetName val="Motor_Data11"/>
      <sheetName val="Cover_sheet10"/>
      <sheetName val="PRICE_BID10"/>
      <sheetName val="modifiedbattery_size10"/>
      <sheetName val="Supply_RATES9"/>
      <sheetName val="water_prop_9"/>
      <sheetName val="Prog_Sum9"/>
      <sheetName val="SC_Cost_FEB_039"/>
      <sheetName val="BM_DATA_SHEET9"/>
      <sheetName val="Cable_data9"/>
      <sheetName val="BS_pricing9"/>
      <sheetName val="Rate_Analysis9"/>
      <sheetName val="DETAILED__BOQ9"/>
      <sheetName val="Civil_Boq9"/>
      <sheetName val="ABP_inputs9"/>
      <sheetName val="Synergy_Sales_Budget9"/>
      <sheetName val="Block_A_-_BOQ9"/>
      <sheetName val="INPUT_SHEET9"/>
      <sheetName val="BOQ_Direct_selling_cost9"/>
      <sheetName val="BASIS_-DEC_089"/>
      <sheetName val="Summary_year_Plan9"/>
      <sheetName val="Approved_MTD_Proj_#'s9"/>
      <sheetName val="Field_Values9"/>
      <sheetName val="OLTC_MB9"/>
      <sheetName val="400kV_(Cost)9"/>
      <sheetName val="Resumen_Económico9"/>
      <sheetName val="LOCAL_RATES9"/>
      <sheetName val="AH_cal-HBL__(3)10"/>
      <sheetName val="No__of_cells10"/>
      <sheetName val="Load_Summary10"/>
      <sheetName val="AH_cal-HBL__(2)10"/>
      <sheetName val="AH_cal-HBL_10"/>
      <sheetName val="Load_Details-220kV10"/>
      <sheetName val="Load_Details-33kV10"/>
      <sheetName val="lmp_&amp;_salse10"/>
      <sheetName val="Project_Budget_Worksheet10"/>
      <sheetName val="Load_Details_220kV10"/>
      <sheetName val="Builtup_Area10"/>
      <sheetName val="3BPA00132-5-3_W_plan_HVPNL7"/>
      <sheetName val="220_11__BS_7"/>
      <sheetName val="Legal_Risk_Analysis7"/>
      <sheetName val="Motor_Data7"/>
      <sheetName val="Cover_sheet6"/>
      <sheetName val="PRICE_BID6"/>
      <sheetName val="modifiedbattery_size6"/>
      <sheetName val="Prog_Sum5"/>
      <sheetName val="Supply_RATES5"/>
      <sheetName val="water_prop_5"/>
      <sheetName val="SC_Cost_FEB_035"/>
      <sheetName val="BM_DATA_SHEET5"/>
      <sheetName val="Cable_data5"/>
      <sheetName val="BS_pricing5"/>
      <sheetName val="Rate_Analysis5"/>
      <sheetName val="DETAILED__BOQ5"/>
      <sheetName val="LOCAL_RATES5"/>
      <sheetName val="Civil_Boq5"/>
      <sheetName val="ABP_inputs5"/>
      <sheetName val="Synergy_Sales_Budget5"/>
      <sheetName val="Block_A_-_BOQ5"/>
      <sheetName val="INPUT_SHEET5"/>
      <sheetName val="BOQ_Direct_selling_cost5"/>
      <sheetName val="BASIS_-DEC_085"/>
      <sheetName val="Summary_year_Plan5"/>
      <sheetName val="Approved_MTD_Proj_#'s5"/>
      <sheetName val="Field_Values5"/>
      <sheetName val="OLTC_MB5"/>
      <sheetName val="400kV_(Cost)5"/>
      <sheetName val="Resumen_Económico5"/>
      <sheetName val="SS_Source_Spells3"/>
      <sheetName val="AH_cal-HBL__(3)12"/>
      <sheetName val="No__of_cells12"/>
      <sheetName val="Load_Summary12"/>
      <sheetName val="AH_cal-HBL__(2)12"/>
      <sheetName val="AH_cal-HBL_12"/>
      <sheetName val="Load_Details-220kV12"/>
      <sheetName val="Load_Details-33kV12"/>
      <sheetName val="lmp_&amp;_salse12"/>
      <sheetName val="Project_Budget_Worksheet12"/>
      <sheetName val="Load_Details_220kV12"/>
      <sheetName val="Builtup_Area12"/>
      <sheetName val="3BPA00132-5-3_W_plan_HVPNL9"/>
      <sheetName val="220_11__BS_9"/>
      <sheetName val="Legal_Risk_Analysis9"/>
      <sheetName val="Motor_Data9"/>
      <sheetName val="Cover_sheet8"/>
      <sheetName val="PRICE_BID8"/>
      <sheetName val="modifiedbattery_size8"/>
      <sheetName val="Prog_Sum7"/>
      <sheetName val="Supply_RATES7"/>
      <sheetName val="water_prop_7"/>
      <sheetName val="SC_Cost_FEB_037"/>
      <sheetName val="BM_DATA_SHEET7"/>
      <sheetName val="Cable_data7"/>
      <sheetName val="BS_pricing7"/>
      <sheetName val="Rate_Analysis7"/>
      <sheetName val="DETAILED__BOQ7"/>
      <sheetName val="LOCAL_RATES7"/>
      <sheetName val="Civil_Boq7"/>
      <sheetName val="ABP_inputs7"/>
      <sheetName val="Synergy_Sales_Budget7"/>
      <sheetName val="Block_A_-_BOQ7"/>
      <sheetName val="INPUT_SHEET7"/>
      <sheetName val="BOQ_Direct_selling_cost7"/>
      <sheetName val="BASIS_-DEC_087"/>
      <sheetName val="Summary_year_Plan7"/>
      <sheetName val="Approved_MTD_Proj_#'s7"/>
      <sheetName val="Field_Values7"/>
      <sheetName val="OLTC_MB7"/>
      <sheetName val="400kV_(Cost)7"/>
      <sheetName val="Resumen_Económico7"/>
      <sheetName val="SS_Source_Spells1"/>
      <sheetName val="AH_cal-HBL__(3)11"/>
      <sheetName val="No__of_cells11"/>
      <sheetName val="Load_Summary11"/>
      <sheetName val="AH_cal-HBL__(2)11"/>
      <sheetName val="AH_cal-HBL_11"/>
      <sheetName val="Load_Details-220kV11"/>
      <sheetName val="Load_Details-33kV11"/>
      <sheetName val="lmp_&amp;_salse11"/>
      <sheetName val="Project_Budget_Worksheet11"/>
      <sheetName val="Load_Details_220kV11"/>
      <sheetName val="Builtup_Area11"/>
      <sheetName val="3BPA00132-5-3_W_plan_HVPNL8"/>
      <sheetName val="220_11__BS_8"/>
      <sheetName val="Legal_Risk_Analysis8"/>
      <sheetName val="Motor_Data8"/>
      <sheetName val="Cover_sheet7"/>
      <sheetName val="PRICE_BID7"/>
      <sheetName val="modifiedbattery_size7"/>
      <sheetName val="Supply_RATES6"/>
      <sheetName val="water_prop_6"/>
      <sheetName val="Prog_Sum6"/>
      <sheetName val="SC_Cost_FEB_036"/>
      <sheetName val="BM_DATA_SHEET6"/>
      <sheetName val="Cable_data6"/>
      <sheetName val="BS_pricing6"/>
      <sheetName val="Rate_Analysis6"/>
      <sheetName val="DETAILED__BOQ6"/>
      <sheetName val="Civil_Boq6"/>
      <sheetName val="ABP_inputs6"/>
      <sheetName val="Synergy_Sales_Budget6"/>
      <sheetName val="Block_A_-_BOQ6"/>
      <sheetName val="INPUT_SHEET6"/>
      <sheetName val="BOQ_Direct_selling_cost6"/>
      <sheetName val="BASIS_-DEC_086"/>
      <sheetName val="Summary_year_Plan6"/>
      <sheetName val="Approved_MTD_Proj_#'s6"/>
      <sheetName val="Field_Values6"/>
      <sheetName val="OLTC_MB6"/>
      <sheetName val="400kV_(Cost)6"/>
      <sheetName val="Resumen_Económico6"/>
      <sheetName val="LOCAL_RATES6"/>
      <sheetName val="SS_Source_Spells"/>
      <sheetName val="AH_cal-HBL__(3)13"/>
      <sheetName val="No__of_cells13"/>
      <sheetName val="Load_Summary13"/>
      <sheetName val="AH_cal-HBL__(2)13"/>
      <sheetName val="AH_cal-HBL_13"/>
      <sheetName val="Load_Details-220kV13"/>
      <sheetName val="Load_Details-33kV13"/>
      <sheetName val="lmp_&amp;_salse13"/>
      <sheetName val="Project_Budget_Worksheet13"/>
      <sheetName val="Load_Details_220kV13"/>
      <sheetName val="Builtup_Area13"/>
      <sheetName val="3BPA00132-5-3_W_plan_HVPNL10"/>
      <sheetName val="220_11__BS_10"/>
      <sheetName val="Legal_Risk_Analysis10"/>
      <sheetName val="Motor_Data10"/>
      <sheetName val="Cover_sheet9"/>
      <sheetName val="PRICE_BID9"/>
      <sheetName val="modifiedbattery_size9"/>
      <sheetName val="Supply_RATES8"/>
      <sheetName val="water_prop_8"/>
      <sheetName val="Prog_Sum8"/>
      <sheetName val="SC_Cost_FEB_038"/>
      <sheetName val="BM_DATA_SHEET8"/>
      <sheetName val="Cable_data8"/>
      <sheetName val="BS_pricing8"/>
      <sheetName val="Rate_Analysis8"/>
      <sheetName val="DETAILED__BOQ8"/>
      <sheetName val="Civil_Boq8"/>
      <sheetName val="ABP_inputs8"/>
      <sheetName val="Synergy_Sales_Budget8"/>
      <sheetName val="Block_A_-_BOQ8"/>
      <sheetName val="INPUT_SHEET8"/>
      <sheetName val="BOQ_Direct_selling_cost8"/>
      <sheetName val="BASIS_-DEC_088"/>
      <sheetName val="Summary_year_Plan8"/>
      <sheetName val="Approved_MTD_Proj_#'s8"/>
      <sheetName val="Field_Values8"/>
      <sheetName val="OLTC_MB8"/>
      <sheetName val="400kV_(Cost)8"/>
      <sheetName val="Resumen_Económico8"/>
      <sheetName val="LOCAL_RATES8"/>
      <sheetName val="SS_Source_Spells2"/>
      <sheetName val="AH_cal-HBL__(3)15"/>
      <sheetName val="No__of_cells15"/>
      <sheetName val="Load_Summary15"/>
      <sheetName val="AH_cal-HBL__(2)15"/>
      <sheetName val="AH_cal-HBL_15"/>
      <sheetName val="Load_Details-220kV15"/>
      <sheetName val="Load_Details-33kV15"/>
      <sheetName val="lmp_&amp;_salse15"/>
      <sheetName val="Project_Budget_Worksheet15"/>
      <sheetName val="Load_Details_220kV15"/>
      <sheetName val="Builtup_Area15"/>
      <sheetName val="3BPA00132-5-3_W_plan_HVPNL12"/>
      <sheetName val="220_11__BS_12"/>
      <sheetName val="Legal_Risk_Analysis12"/>
      <sheetName val="Motor_Data12"/>
      <sheetName val="Cover_sheet11"/>
      <sheetName val="PRICE_BID11"/>
      <sheetName val="modifiedbattery_size11"/>
      <sheetName val="Prog_Sum10"/>
      <sheetName val="Supply_RATES10"/>
      <sheetName val="water_prop_10"/>
      <sheetName val="SC_Cost_FEB_0310"/>
      <sheetName val="BM_DATA_SHEET10"/>
      <sheetName val="Cable_data10"/>
      <sheetName val="BS_pricing10"/>
      <sheetName val="Rate_Analysis10"/>
      <sheetName val="DETAILED__BOQ10"/>
      <sheetName val="LOCAL_RATES10"/>
      <sheetName val="Civil_Boq10"/>
      <sheetName val="ABP_inputs10"/>
      <sheetName val="Synergy_Sales_Budget10"/>
      <sheetName val="Block_A_-_BOQ10"/>
      <sheetName val="INPUT_SHEET10"/>
      <sheetName val="BOQ_Direct_selling_cost10"/>
      <sheetName val="BASIS_-DEC_0810"/>
      <sheetName val="Summary_year_Plan10"/>
      <sheetName val="Approved_MTD_Proj_#'s10"/>
      <sheetName val="Field_Values10"/>
      <sheetName val="OLTC_MB10"/>
      <sheetName val="400kV_(Cost)10"/>
      <sheetName val="Resumen_Económico10"/>
      <sheetName val="SS_Source_Spells4"/>
      <sheetName val="AH_cal-HBL__(3)16"/>
      <sheetName val="No__of_cells16"/>
      <sheetName val="Load_Summary16"/>
      <sheetName val="AH_cal-HBL__(2)16"/>
      <sheetName val="AH_cal-HBL_16"/>
      <sheetName val="Load_Details-220kV16"/>
      <sheetName val="Load_Details-33kV16"/>
      <sheetName val="lmp_&amp;_salse16"/>
      <sheetName val="Project_Budget_Worksheet16"/>
      <sheetName val="Load_Details_220kV16"/>
      <sheetName val="Builtup_Area16"/>
      <sheetName val="3BPA00132-5-3_W_plan_HVPNL13"/>
      <sheetName val="220_11__BS_13"/>
      <sheetName val="Legal_Risk_Analysis13"/>
      <sheetName val="Motor_Data13"/>
      <sheetName val="Cover_sheet12"/>
      <sheetName val="PRICE_BID12"/>
      <sheetName val="modifiedbattery_size12"/>
      <sheetName val="Supply_RATES11"/>
      <sheetName val="water_prop_11"/>
      <sheetName val="Prog_Sum11"/>
      <sheetName val="SC_Cost_FEB_0311"/>
      <sheetName val="BM_DATA_SHEET11"/>
      <sheetName val="Cable_data11"/>
      <sheetName val="BS_pricing11"/>
      <sheetName val="Rate_Analysis11"/>
      <sheetName val="DETAILED__BOQ11"/>
      <sheetName val="Civil_Boq11"/>
      <sheetName val="ABP_inputs11"/>
      <sheetName val="Synergy_Sales_Budget11"/>
      <sheetName val="Block_A_-_BOQ11"/>
      <sheetName val="INPUT_SHEET11"/>
      <sheetName val="BOQ_Direct_selling_cost11"/>
      <sheetName val="BASIS_-DEC_0811"/>
      <sheetName val="Summary_year_Plan11"/>
      <sheetName val="Approved_MTD_Proj_#'s11"/>
      <sheetName val="Field_Values11"/>
      <sheetName val="OLTC_MB11"/>
      <sheetName val="400kV_(Cost)11"/>
      <sheetName val="Resumen_Económico11"/>
      <sheetName val="LOCAL_RATES11"/>
      <sheetName val="SS_Source_Spells5"/>
      <sheetName val="AH_cal-HBL__(3)17"/>
      <sheetName val="No__of_cells17"/>
      <sheetName val="Load_Summary17"/>
      <sheetName val="AH_cal-HBL__(2)17"/>
      <sheetName val="AH_cal-HBL_17"/>
      <sheetName val="Load_Details-220kV17"/>
      <sheetName val="Load_Details-33kV17"/>
      <sheetName val="lmp_&amp;_salse17"/>
      <sheetName val="Project_Budget_Worksheet17"/>
      <sheetName val="Load_Details_220kV17"/>
      <sheetName val="Builtup_Area17"/>
      <sheetName val="3BPA00132-5-3_W_plan_HVPNL14"/>
      <sheetName val="220_11__BS_14"/>
      <sheetName val="Legal_Risk_Analysis14"/>
      <sheetName val="Motor_Data14"/>
      <sheetName val="Cover_sheet13"/>
      <sheetName val="PRICE_BID13"/>
      <sheetName val="modifiedbattery_size13"/>
      <sheetName val="Prog_Sum12"/>
      <sheetName val="Supply_RATES12"/>
      <sheetName val="water_prop_12"/>
      <sheetName val="SC_Cost_FEB_0312"/>
      <sheetName val="BM_DATA_SHEET12"/>
      <sheetName val="Cable_data12"/>
      <sheetName val="BS_pricing12"/>
      <sheetName val="Rate_Analysis12"/>
      <sheetName val="DETAILED__BOQ12"/>
      <sheetName val="LOCAL_RATES12"/>
      <sheetName val="Civil_Boq12"/>
      <sheetName val="ABP_inputs12"/>
      <sheetName val="Synergy_Sales_Budget12"/>
      <sheetName val="Block_A_-_BOQ12"/>
      <sheetName val="INPUT_SHEET12"/>
      <sheetName val="BOQ_Direct_selling_cost12"/>
      <sheetName val="BASIS_-DEC_0812"/>
      <sheetName val="Summary_year_Plan12"/>
      <sheetName val="Approved_MTD_Proj_#'s12"/>
      <sheetName val="Field_Values12"/>
      <sheetName val="OLTC_MB12"/>
      <sheetName val="400kV_(Cost)12"/>
      <sheetName val="Resumen_Económico12"/>
      <sheetName val="SS_Source_Spells6"/>
      <sheetName val="AH_cal-HBL__(3)19"/>
      <sheetName val="No__of_cells19"/>
      <sheetName val="Load_Summary19"/>
      <sheetName val="AH_cal-HBL__(2)19"/>
      <sheetName val="AH_cal-HBL_19"/>
      <sheetName val="Load_Details-220kV19"/>
      <sheetName val="Load_Details-33kV19"/>
      <sheetName val="lmp_&amp;_salse19"/>
      <sheetName val="Project_Budget_Worksheet19"/>
      <sheetName val="Load_Details_220kV19"/>
      <sheetName val="Builtup_Area19"/>
      <sheetName val="3BPA00132-5-3_W_plan_HVPNL16"/>
      <sheetName val="220_11__BS_16"/>
      <sheetName val="Legal_Risk_Analysis16"/>
      <sheetName val="Motor_Data16"/>
      <sheetName val="Cover_sheet15"/>
      <sheetName val="PRICE_BID15"/>
      <sheetName val="modifiedbattery_size15"/>
      <sheetName val="Prog_Sum14"/>
      <sheetName val="Supply_RATES14"/>
      <sheetName val="water_prop_14"/>
      <sheetName val="SC_Cost_FEB_0314"/>
      <sheetName val="BM_DATA_SHEET14"/>
      <sheetName val="Cable_data14"/>
      <sheetName val="BS_pricing14"/>
      <sheetName val="Rate_Analysis14"/>
      <sheetName val="DETAILED__BOQ14"/>
      <sheetName val="LOCAL_RATES14"/>
      <sheetName val="Civil_Boq14"/>
      <sheetName val="ABP_inputs14"/>
      <sheetName val="Synergy_Sales_Budget14"/>
      <sheetName val="Block_A_-_BOQ14"/>
      <sheetName val="INPUT_SHEET14"/>
      <sheetName val="BOQ_Direct_selling_cost14"/>
      <sheetName val="BASIS_-DEC_0814"/>
      <sheetName val="Summary_year_Plan14"/>
      <sheetName val="Approved_MTD_Proj_#'s14"/>
      <sheetName val="Field_Values14"/>
      <sheetName val="OLTC_MB14"/>
      <sheetName val="400kV_(Cost)14"/>
      <sheetName val="Resumen_Económico14"/>
      <sheetName val="SS_Source_Spells8"/>
      <sheetName val="AH_cal-HBL__(3)20"/>
      <sheetName val="No__of_cells20"/>
      <sheetName val="Load_Summary20"/>
      <sheetName val="AH_cal-HBL__(2)20"/>
      <sheetName val="AH_cal-HBL_20"/>
      <sheetName val="Load_Details-220kV20"/>
      <sheetName val="Load_Details-33kV20"/>
      <sheetName val="lmp_&amp;_salse20"/>
      <sheetName val="Project_Budget_Worksheet20"/>
      <sheetName val="Load_Details_220kV20"/>
      <sheetName val="Builtup_Area20"/>
      <sheetName val="3BPA00132-5-3_W_plan_HVPNL17"/>
      <sheetName val="220_11__BS_17"/>
      <sheetName val="Legal_Risk_Analysis17"/>
      <sheetName val="Motor_Data17"/>
      <sheetName val="Cover_sheet16"/>
      <sheetName val="PRICE_BID16"/>
      <sheetName val="modifiedbattery_size16"/>
      <sheetName val="Prog_Sum15"/>
      <sheetName val="Supply_RATES15"/>
      <sheetName val="water_prop_15"/>
      <sheetName val="SC_Cost_FEB_0315"/>
      <sheetName val="BM_DATA_SHEET15"/>
      <sheetName val="Cable_data15"/>
      <sheetName val="BS_pricing15"/>
      <sheetName val="Rate_Analysis15"/>
      <sheetName val="DETAILED__BOQ15"/>
      <sheetName val="LOCAL_RATES15"/>
      <sheetName val="Civil_Boq15"/>
      <sheetName val="ABP_inputs15"/>
      <sheetName val="Synergy_Sales_Budget15"/>
      <sheetName val="Block_A_-_BOQ15"/>
      <sheetName val="INPUT_SHEET15"/>
      <sheetName val="BOQ_Direct_selling_cost15"/>
      <sheetName val="BASIS_-DEC_0815"/>
      <sheetName val="Summary_year_Plan15"/>
      <sheetName val="Approved_MTD_Proj_#'s15"/>
      <sheetName val="Field_Values15"/>
      <sheetName val="OLTC_MB15"/>
      <sheetName val="400kV_(Cost)15"/>
      <sheetName val="Resumen_Económico15"/>
      <sheetName val="SS_Source_Spells9"/>
      <sheetName val="purpose&amp;input"/>
      <sheetName val="Data"/>
      <sheetName val="Loads"/>
      <sheetName val="RES-PLANNING"/>
      <sheetName val="grid"/>
      <sheetName val="STEEL STRUCTURE"/>
      <sheetName val="Mico"/>
      <sheetName val="Staff Acco."/>
      <sheetName val="E-2 200kp Resi Sup St."/>
      <sheetName val="AH_cal-HBL__(3)21"/>
      <sheetName val="No__of_cells21"/>
      <sheetName val="Load_Summary21"/>
      <sheetName val="AH_cal-HBL__(2)21"/>
      <sheetName val="AH_cal-HBL_21"/>
      <sheetName val="Load_Details-220kV21"/>
      <sheetName val="Load_Details-33kV21"/>
      <sheetName val="lmp_&amp;_salse21"/>
      <sheetName val="Project_Budget_Worksheet21"/>
      <sheetName val="Builtup_Area21"/>
      <sheetName val="Load_Details_220kV21"/>
      <sheetName val="3BPA00132-5-3_W_plan_HVPNL18"/>
      <sheetName val="220_11__BS_18"/>
      <sheetName val="Cover_sheet17"/>
      <sheetName val="PRICE_BID17"/>
      <sheetName val="modifiedbattery_size17"/>
      <sheetName val="Legal_Risk_Analysis18"/>
      <sheetName val="Motor_Data18"/>
      <sheetName val="Supply_RATES16"/>
      <sheetName val="water_prop_16"/>
      <sheetName val="Prog_Sum16"/>
      <sheetName val="SC_Cost_FEB_0316"/>
      <sheetName val="BM_DATA_SHEET16"/>
      <sheetName val="Cable_data16"/>
      <sheetName val="BS_pricing16"/>
      <sheetName val="Rate_Analysis16"/>
      <sheetName val="DETAILED__BOQ16"/>
      <sheetName val="LOCAL_RATES16"/>
      <sheetName val="Civil_Boq16"/>
      <sheetName val="ABP_inputs16"/>
      <sheetName val="Synergy_Sales_Budget16"/>
      <sheetName val="Block_A_-_BOQ16"/>
      <sheetName val="INPUT_SHEET16"/>
      <sheetName val="BOQ_Direct_selling_cost16"/>
      <sheetName val="BASIS_-DEC_0816"/>
      <sheetName val="Summary_year_Plan16"/>
      <sheetName val="Approved_MTD_Proj_#'s16"/>
      <sheetName val="Field_Values16"/>
      <sheetName val="OLTC_MB16"/>
      <sheetName val="400kV_(Cost)16"/>
      <sheetName val="Resumen_Económico16"/>
      <sheetName val="SS_Source_Spells10"/>
      <sheetName val="AH_cal-HBL__(3)22"/>
      <sheetName val="No__of_cells22"/>
      <sheetName val="Load_Summary22"/>
      <sheetName val="AH_cal-HBL__(2)22"/>
      <sheetName val="AH_cal-HBL_22"/>
      <sheetName val="Load_Details-220kV22"/>
      <sheetName val="Load_Details-33kV22"/>
      <sheetName val="lmp_&amp;_salse22"/>
      <sheetName val="Project_Budget_Worksheet22"/>
      <sheetName val="Load_Details_220kV22"/>
      <sheetName val="Builtup_Area22"/>
      <sheetName val="3BPA00132-5-3_W_plan_HVPNL19"/>
      <sheetName val="220_11__BS_19"/>
      <sheetName val="Legal_Risk_Analysis19"/>
      <sheetName val="Motor_Data19"/>
      <sheetName val="Cover_sheet18"/>
      <sheetName val="PRICE_BID18"/>
      <sheetName val="modifiedbattery_size18"/>
      <sheetName val="Prog_Sum17"/>
      <sheetName val="Supply_RATES17"/>
      <sheetName val="water_prop_17"/>
      <sheetName val="SC_Cost_FEB_0317"/>
      <sheetName val="BM_DATA_SHEET17"/>
      <sheetName val="Cable_data17"/>
      <sheetName val="BS_pricing17"/>
      <sheetName val="Rate_Analysis17"/>
      <sheetName val="DETAILED__BOQ17"/>
      <sheetName val="LOCAL_RATES17"/>
      <sheetName val="Civil_Boq17"/>
      <sheetName val="ABP_inputs17"/>
      <sheetName val="Synergy_Sales_Budget17"/>
      <sheetName val="Block_A_-_BOQ17"/>
      <sheetName val="INPUT_SHEET17"/>
      <sheetName val="BOQ_Direct_selling_cost17"/>
      <sheetName val="BASIS_-DEC_0817"/>
      <sheetName val="Summary_year_Plan17"/>
      <sheetName val="Approved_MTD_Proj_#'s17"/>
      <sheetName val="Field_Values17"/>
      <sheetName val="OLTC_MB17"/>
      <sheetName val="400kV_(Cost)17"/>
      <sheetName val="Resumen_Económico17"/>
      <sheetName val="SS_Source_Spells11"/>
      <sheetName val="AH_cal-HBL__(3)23"/>
      <sheetName val="No__of_cells23"/>
      <sheetName val="Load_Summary23"/>
      <sheetName val="AH_cal-HBL__(2)23"/>
      <sheetName val="AH_cal-HBL_23"/>
      <sheetName val="Load_Details-220kV23"/>
      <sheetName val="Load_Details-33kV23"/>
      <sheetName val="lmp_&amp;_salse23"/>
      <sheetName val="Project_Budget_Worksheet23"/>
      <sheetName val="Builtup_Area23"/>
      <sheetName val="Load_Details_220kV23"/>
      <sheetName val="3BPA00132-5-3_W_plan_HVPNL20"/>
      <sheetName val="220_11__BS_20"/>
      <sheetName val="Cover_sheet19"/>
      <sheetName val="PRICE_BID19"/>
      <sheetName val="modifiedbattery_size19"/>
      <sheetName val="Legal_Risk_Analysis20"/>
      <sheetName val="Motor_Data20"/>
      <sheetName val="Supply_RATES18"/>
      <sheetName val="water_prop_18"/>
      <sheetName val="Prog_Sum18"/>
      <sheetName val="SC_Cost_FEB_0318"/>
      <sheetName val="BM_DATA_SHEET18"/>
      <sheetName val="Cable_data18"/>
      <sheetName val="BS_pricing18"/>
      <sheetName val="Rate_Analysis18"/>
      <sheetName val="DETAILED__BOQ18"/>
      <sheetName val="LOCAL_RATES18"/>
      <sheetName val="Civil_Boq18"/>
      <sheetName val="ABP_inputs18"/>
      <sheetName val="Synergy_Sales_Budget18"/>
      <sheetName val="Block_A_-_BOQ18"/>
      <sheetName val="INPUT_SHEET18"/>
      <sheetName val="BOQ_Direct_selling_cost18"/>
      <sheetName val="BASIS_-DEC_0818"/>
      <sheetName val="Summary_year_Plan18"/>
      <sheetName val="Approved_MTD_Proj_#'s18"/>
      <sheetName val="Field_Values18"/>
      <sheetName val="OLTC_MB18"/>
      <sheetName val="400kV_(Cost)18"/>
      <sheetName val="Resumen_Económico18"/>
      <sheetName val="SS_Source_Spells12"/>
      <sheetName val="AH_cal-HBL__(3)28"/>
      <sheetName val="No__of_cells28"/>
      <sheetName val="Load_Summary28"/>
      <sheetName val="AH_cal-HBL__(2)28"/>
      <sheetName val="AH_cal-HBL_28"/>
      <sheetName val="Load_Details-220kV28"/>
      <sheetName val="Load_Details-33kV28"/>
      <sheetName val="lmp_&amp;_salse28"/>
      <sheetName val="Project_Budget_Worksheet28"/>
      <sheetName val="Builtup_Area28"/>
      <sheetName val="Load_Details_220kV28"/>
      <sheetName val="3BPA00132-5-3_W_plan_HVPNL25"/>
      <sheetName val="220_11__BS_25"/>
      <sheetName val="Cover_sheet24"/>
      <sheetName val="PRICE_BID24"/>
      <sheetName val="modifiedbattery_size24"/>
      <sheetName val="Legal_Risk_Analysis25"/>
      <sheetName val="Motor_Data25"/>
      <sheetName val="Supply_RATES23"/>
      <sheetName val="water_prop_23"/>
      <sheetName val="Prog_Sum23"/>
      <sheetName val="SC_Cost_FEB_0323"/>
      <sheetName val="BM_DATA_SHEET23"/>
      <sheetName val="Cable_data23"/>
      <sheetName val="BS_pricing23"/>
      <sheetName val="Rate_Analysis23"/>
      <sheetName val="DETAILED__BOQ23"/>
      <sheetName val="Civil_Boq23"/>
      <sheetName val="ABP_inputs23"/>
      <sheetName val="Synergy_Sales_Budget23"/>
      <sheetName val="Block_A_-_BOQ23"/>
      <sheetName val="INPUT_SHEET23"/>
      <sheetName val="BOQ_Direct_selling_cost23"/>
      <sheetName val="BASIS_-DEC_0823"/>
      <sheetName val="Summary_year_Plan23"/>
      <sheetName val="Approved_MTD_Proj_#'s23"/>
      <sheetName val="Field_Values23"/>
      <sheetName val="OLTC_MB23"/>
      <sheetName val="400kV_(Cost)23"/>
      <sheetName val="Resumen_Económico23"/>
      <sheetName val="LOCAL_RATES23"/>
      <sheetName val="SS_Source_Spells17"/>
      <sheetName val="AH_cal-HBL__(3)27"/>
      <sheetName val="No__of_cells27"/>
      <sheetName val="Load_Summary27"/>
      <sheetName val="AH_cal-HBL__(2)27"/>
      <sheetName val="AH_cal-HBL_27"/>
      <sheetName val="Load_Details-220kV27"/>
      <sheetName val="Load_Details-33kV27"/>
      <sheetName val="lmp_&amp;_salse27"/>
      <sheetName val="Project_Budget_Worksheet27"/>
      <sheetName val="Builtup_Area27"/>
      <sheetName val="Load_Details_220kV27"/>
      <sheetName val="3BPA00132-5-3_W_plan_HVPNL24"/>
      <sheetName val="220_11__BS_24"/>
      <sheetName val="Cover_sheet23"/>
      <sheetName val="PRICE_BID23"/>
      <sheetName val="modifiedbattery_size23"/>
      <sheetName val="Legal_Risk_Analysis24"/>
      <sheetName val="Motor_Data24"/>
      <sheetName val="Supply_RATES22"/>
      <sheetName val="water_prop_22"/>
      <sheetName val="Prog_Sum22"/>
      <sheetName val="SC_Cost_FEB_0322"/>
      <sheetName val="BM_DATA_SHEET22"/>
      <sheetName val="Cable_data22"/>
      <sheetName val="BS_pricing22"/>
      <sheetName val="Rate_Analysis22"/>
      <sheetName val="DETAILED__BOQ22"/>
      <sheetName val="Civil_Boq22"/>
      <sheetName val="ABP_inputs22"/>
      <sheetName val="Synergy_Sales_Budget22"/>
      <sheetName val="Block_A_-_BOQ22"/>
      <sheetName val="INPUT_SHEET22"/>
      <sheetName val="BOQ_Direct_selling_cost22"/>
      <sheetName val="BASIS_-DEC_0822"/>
      <sheetName val="Summary_year_Plan22"/>
      <sheetName val="Approved_MTD_Proj_#'s22"/>
      <sheetName val="Field_Values22"/>
      <sheetName val="OLTC_MB22"/>
      <sheetName val="400kV_(Cost)22"/>
      <sheetName val="Resumen_Económico22"/>
      <sheetName val="LOCAL_RATES22"/>
      <sheetName val="SS_Source_Spells16"/>
      <sheetName val="AH_cal-HBL__(3)24"/>
      <sheetName val="No__of_cells24"/>
      <sheetName val="Load_Summary24"/>
      <sheetName val="AH_cal-HBL__(2)24"/>
      <sheetName val="AH_cal-HBL_24"/>
      <sheetName val="Load_Details-220kV24"/>
      <sheetName val="Load_Details-33kV24"/>
      <sheetName val="lmp_&amp;_salse24"/>
      <sheetName val="Project_Budget_Worksheet24"/>
      <sheetName val="Builtup_Area24"/>
      <sheetName val="Load_Details_220kV24"/>
      <sheetName val="3BPA00132-5-3_W_plan_HVPNL21"/>
      <sheetName val="220_11__BS_21"/>
      <sheetName val="Cover_sheet20"/>
      <sheetName val="PRICE_BID20"/>
      <sheetName val="modifiedbattery_size20"/>
      <sheetName val="Legal_Risk_Analysis21"/>
      <sheetName val="Motor_Data21"/>
      <sheetName val="Supply_RATES19"/>
      <sheetName val="water_prop_19"/>
      <sheetName val="Prog_Sum19"/>
      <sheetName val="SC_Cost_FEB_0319"/>
      <sheetName val="BM_DATA_SHEET19"/>
      <sheetName val="Cable_data19"/>
      <sheetName val="BS_pricing19"/>
      <sheetName val="Rate_Analysis19"/>
      <sheetName val="DETAILED__BOQ19"/>
      <sheetName val="Civil_Boq19"/>
      <sheetName val="ABP_inputs19"/>
      <sheetName val="Synergy_Sales_Budget19"/>
      <sheetName val="Block_A_-_BOQ19"/>
      <sheetName val="INPUT_SHEET19"/>
      <sheetName val="BOQ_Direct_selling_cost19"/>
      <sheetName val="BASIS_-DEC_0819"/>
      <sheetName val="Summary_year_Plan19"/>
      <sheetName val="Approved_MTD_Proj_#'s19"/>
      <sheetName val="Field_Values19"/>
      <sheetName val="OLTC_MB19"/>
      <sheetName val="400kV_(Cost)19"/>
      <sheetName val="Resumen_Económico19"/>
      <sheetName val="LOCAL_RATES19"/>
      <sheetName val="SS_Source_Spells13"/>
      <sheetName val="AH_cal-HBL__(3)25"/>
      <sheetName val="No__of_cells25"/>
      <sheetName val="Load_Summary25"/>
      <sheetName val="AH_cal-HBL__(2)25"/>
      <sheetName val="AH_cal-HBL_25"/>
      <sheetName val="Load_Details-220kV25"/>
      <sheetName val="Load_Details-33kV25"/>
      <sheetName val="lmp_&amp;_salse25"/>
      <sheetName val="Project_Budget_Worksheet25"/>
      <sheetName val="Builtup_Area25"/>
      <sheetName val="Load_Details_220kV25"/>
      <sheetName val="3BPA00132-5-3_W_plan_HVPNL22"/>
      <sheetName val="220_11__BS_22"/>
      <sheetName val="Cover_sheet21"/>
      <sheetName val="PRICE_BID21"/>
      <sheetName val="modifiedbattery_size21"/>
      <sheetName val="Legal_Risk_Analysis22"/>
      <sheetName val="Motor_Data22"/>
      <sheetName val="Supply_RATES20"/>
      <sheetName val="water_prop_20"/>
      <sheetName val="Prog_Sum20"/>
      <sheetName val="SC_Cost_FEB_0320"/>
      <sheetName val="BM_DATA_SHEET20"/>
      <sheetName val="Cable_data20"/>
      <sheetName val="BS_pricing20"/>
      <sheetName val="Rate_Analysis20"/>
      <sheetName val="DETAILED__BOQ20"/>
      <sheetName val="Civil_Boq20"/>
      <sheetName val="ABP_inputs20"/>
      <sheetName val="Synergy_Sales_Budget20"/>
      <sheetName val="Block_A_-_BOQ20"/>
      <sheetName val="INPUT_SHEET20"/>
      <sheetName val="BOQ_Direct_selling_cost20"/>
      <sheetName val="BASIS_-DEC_0820"/>
      <sheetName val="Summary_year_Plan20"/>
      <sheetName val="Approved_MTD_Proj_#'s20"/>
      <sheetName val="Field_Values20"/>
      <sheetName val="OLTC_MB20"/>
      <sheetName val="400kV_(Cost)20"/>
      <sheetName val="Resumen_Económico20"/>
      <sheetName val="LOCAL_RATES20"/>
      <sheetName val="SS_Source_Spells14"/>
      <sheetName val="AH_cal-HBL__(3)26"/>
      <sheetName val="No__of_cells26"/>
      <sheetName val="Load_Summary26"/>
      <sheetName val="AH_cal-HBL__(2)26"/>
      <sheetName val="AH_cal-HBL_26"/>
      <sheetName val="Load_Details-220kV26"/>
      <sheetName val="Load_Details-33kV26"/>
      <sheetName val="lmp_&amp;_salse26"/>
      <sheetName val="Project_Budget_Worksheet26"/>
      <sheetName val="Builtup_Area26"/>
      <sheetName val="Load_Details_220kV26"/>
      <sheetName val="3BPA00132-5-3_W_plan_HVPNL23"/>
      <sheetName val="220_11__BS_23"/>
      <sheetName val="Cover_sheet22"/>
      <sheetName val="PRICE_BID22"/>
      <sheetName val="modifiedbattery_size22"/>
      <sheetName val="Legal_Risk_Analysis23"/>
      <sheetName val="Motor_Data23"/>
      <sheetName val="Supply_RATES21"/>
      <sheetName val="water_prop_21"/>
      <sheetName val="Prog_Sum21"/>
      <sheetName val="SC_Cost_FEB_0321"/>
      <sheetName val="BM_DATA_SHEET21"/>
      <sheetName val="Cable_data21"/>
      <sheetName val="BS_pricing21"/>
      <sheetName val="Rate_Analysis21"/>
      <sheetName val="DETAILED__BOQ21"/>
      <sheetName val="Civil_Boq21"/>
      <sheetName val="ABP_inputs21"/>
      <sheetName val="Synergy_Sales_Budget21"/>
      <sheetName val="Block_A_-_BOQ21"/>
      <sheetName val="INPUT_SHEET21"/>
      <sheetName val="BOQ_Direct_selling_cost21"/>
      <sheetName val="BASIS_-DEC_0821"/>
      <sheetName val="Summary_year_Plan21"/>
      <sheetName val="Approved_MTD_Proj_#'s21"/>
      <sheetName val="Field_Values21"/>
      <sheetName val="OLTC_MB21"/>
      <sheetName val="400kV_(Cost)21"/>
      <sheetName val="Resumen_Económico21"/>
      <sheetName val="LOCAL_RATES21"/>
      <sheetName val="SS_Source_Spells15"/>
      <sheetName val="AH_cal-HBL__(3)29"/>
      <sheetName val="No__of_cells29"/>
      <sheetName val="Load_Summary29"/>
      <sheetName val="AH_cal-HBL__(2)29"/>
      <sheetName val="AH_cal-HBL_29"/>
      <sheetName val="Load_Details-220kV29"/>
      <sheetName val="Load_Details-33kV29"/>
      <sheetName val="lmp_&amp;_salse29"/>
      <sheetName val="Project_Budget_Worksheet29"/>
      <sheetName val="Builtup_Area29"/>
      <sheetName val="Load_Details_220kV29"/>
      <sheetName val="3BPA00132-5-3_W_plan_HVPNL26"/>
      <sheetName val="220_11__BS_26"/>
      <sheetName val="Cover_sheet25"/>
      <sheetName val="PRICE_BID25"/>
      <sheetName val="modifiedbattery_size25"/>
      <sheetName val="Legal_Risk_Analysis26"/>
      <sheetName val="Motor_Data26"/>
      <sheetName val="Supply_RATES24"/>
      <sheetName val="water_prop_24"/>
      <sheetName val="Prog_Sum24"/>
      <sheetName val="SC_Cost_FEB_0324"/>
      <sheetName val="BM_DATA_SHEET24"/>
      <sheetName val="Cable_data24"/>
      <sheetName val="BS_pricing24"/>
      <sheetName val="Rate_Analysis24"/>
      <sheetName val="DETAILED__BOQ24"/>
      <sheetName val="Civil_Boq24"/>
      <sheetName val="ABP_inputs24"/>
      <sheetName val="Synergy_Sales_Budget24"/>
      <sheetName val="Block_A_-_BOQ24"/>
      <sheetName val="INPUT_SHEET24"/>
      <sheetName val="BOQ_Direct_selling_cost24"/>
      <sheetName val="BASIS_-DEC_0824"/>
      <sheetName val="Summary_year_Plan24"/>
      <sheetName val="Approved_MTD_Proj_#'s24"/>
      <sheetName val="Field_Values24"/>
      <sheetName val="OLTC_MB24"/>
      <sheetName val="400kV_(Cost)24"/>
      <sheetName val="Resumen_Económico24"/>
      <sheetName val="LOCAL_RATES24"/>
      <sheetName val="SS_Source_Spells18"/>
      <sheetName val="AH_cal-HBL__(3)32"/>
      <sheetName val="No__of_cells32"/>
      <sheetName val="Load_Summary32"/>
      <sheetName val="AH_cal-HBL__(2)32"/>
      <sheetName val="AH_cal-HBL_32"/>
      <sheetName val="Load_Details-220kV32"/>
      <sheetName val="Load_Details-33kV32"/>
      <sheetName val="lmp_&amp;_salse32"/>
      <sheetName val="Project_Budget_Worksheet32"/>
      <sheetName val="Builtup_Area32"/>
      <sheetName val="Load_Details_220kV32"/>
      <sheetName val="3BPA00132-5-3_W_plan_HVPNL29"/>
      <sheetName val="220_11__BS_29"/>
      <sheetName val="Cover_sheet28"/>
      <sheetName val="PRICE_BID28"/>
      <sheetName val="modifiedbattery_size28"/>
      <sheetName val="Legal_Risk_Analysis29"/>
      <sheetName val="Motor_Data29"/>
      <sheetName val="Supply_RATES27"/>
      <sheetName val="water_prop_27"/>
      <sheetName val="Prog_Sum27"/>
      <sheetName val="SC_Cost_FEB_0327"/>
      <sheetName val="BM_DATA_SHEET27"/>
      <sheetName val="Cable_data27"/>
      <sheetName val="BS_pricing27"/>
      <sheetName val="Rate_Analysis27"/>
      <sheetName val="DETAILED__BOQ27"/>
      <sheetName val="Civil_Boq27"/>
      <sheetName val="ABP_inputs27"/>
      <sheetName val="Synergy_Sales_Budget27"/>
      <sheetName val="Block_A_-_BOQ27"/>
      <sheetName val="INPUT_SHEET27"/>
      <sheetName val="BOQ_Direct_selling_cost27"/>
      <sheetName val="BASIS_-DEC_0827"/>
      <sheetName val="Summary_year_Plan27"/>
      <sheetName val="Approved_MTD_Proj_#'s27"/>
      <sheetName val="Field_Values27"/>
      <sheetName val="OLTC_MB27"/>
      <sheetName val="400kV_(Cost)27"/>
      <sheetName val="Resumen_Económico27"/>
      <sheetName val="LOCAL_RATES27"/>
      <sheetName val="SS_Source_Spells21"/>
      <sheetName val="AH_cal-HBL__(3)30"/>
      <sheetName val="No__of_cells30"/>
      <sheetName val="Load_Summary30"/>
      <sheetName val="AH_cal-HBL__(2)30"/>
      <sheetName val="AH_cal-HBL_30"/>
      <sheetName val="Load_Details-220kV30"/>
      <sheetName val="Load_Details-33kV30"/>
      <sheetName val="lmp_&amp;_salse30"/>
      <sheetName val="Project_Budget_Worksheet30"/>
      <sheetName val="Builtup_Area30"/>
      <sheetName val="Load_Details_220kV30"/>
      <sheetName val="3BPA00132-5-3_W_plan_HVPNL27"/>
      <sheetName val="220_11__BS_27"/>
      <sheetName val="Cover_sheet26"/>
      <sheetName val="PRICE_BID26"/>
      <sheetName val="modifiedbattery_size26"/>
      <sheetName val="Legal_Risk_Analysis27"/>
      <sheetName val="Motor_Data27"/>
      <sheetName val="Supply_RATES25"/>
      <sheetName val="water_prop_25"/>
      <sheetName val="Prog_Sum25"/>
      <sheetName val="SC_Cost_FEB_0325"/>
      <sheetName val="BM_DATA_SHEET25"/>
      <sheetName val="Cable_data25"/>
      <sheetName val="BS_pricing25"/>
      <sheetName val="Rate_Analysis25"/>
      <sheetName val="DETAILED__BOQ25"/>
      <sheetName val="Civil_Boq25"/>
      <sheetName val="ABP_inputs25"/>
      <sheetName val="Synergy_Sales_Budget25"/>
      <sheetName val="Block_A_-_BOQ25"/>
      <sheetName val="INPUT_SHEET25"/>
      <sheetName val="BOQ_Direct_selling_cost25"/>
      <sheetName val="BASIS_-DEC_0825"/>
      <sheetName val="Summary_year_Plan25"/>
      <sheetName val="Approved_MTD_Proj_#'s25"/>
      <sheetName val="Field_Values25"/>
      <sheetName val="OLTC_MB25"/>
      <sheetName val="400kV_(Cost)25"/>
      <sheetName val="Resumen_Económico25"/>
      <sheetName val="LOCAL_RATES25"/>
      <sheetName val="SS_Source_Spells19"/>
      <sheetName val="AH_cal-HBL__(3)31"/>
      <sheetName val="No__of_cells31"/>
      <sheetName val="Load_Summary31"/>
      <sheetName val="AH_cal-HBL__(2)31"/>
      <sheetName val="AH_cal-HBL_31"/>
      <sheetName val="Load_Details-220kV31"/>
      <sheetName val="Load_Details-33kV31"/>
      <sheetName val="lmp_&amp;_salse31"/>
      <sheetName val="Project_Budget_Worksheet31"/>
      <sheetName val="Builtup_Area31"/>
      <sheetName val="Load_Details_220kV31"/>
      <sheetName val="3BPA00132-5-3_W_plan_HVPNL28"/>
      <sheetName val="220_11__BS_28"/>
      <sheetName val="Cover_sheet27"/>
      <sheetName val="PRICE_BID27"/>
      <sheetName val="modifiedbattery_size27"/>
      <sheetName val="Legal_Risk_Analysis28"/>
      <sheetName val="Motor_Data28"/>
      <sheetName val="Supply_RATES26"/>
      <sheetName val="water_prop_26"/>
      <sheetName val="Prog_Sum26"/>
      <sheetName val="SC_Cost_FEB_0326"/>
      <sheetName val="BM_DATA_SHEET26"/>
      <sheetName val="Cable_data26"/>
      <sheetName val="BS_pricing26"/>
      <sheetName val="Rate_Analysis26"/>
      <sheetName val="DETAILED__BOQ26"/>
      <sheetName val="Civil_Boq26"/>
      <sheetName val="ABP_inputs26"/>
      <sheetName val="Synergy_Sales_Budget26"/>
      <sheetName val="Block_A_-_BOQ26"/>
      <sheetName val="INPUT_SHEET26"/>
      <sheetName val="BOQ_Direct_selling_cost26"/>
      <sheetName val="BASIS_-DEC_0826"/>
      <sheetName val="Summary_year_Plan26"/>
      <sheetName val="Approved_MTD_Proj_#'s26"/>
      <sheetName val="Field_Values26"/>
      <sheetName val="OLTC_MB26"/>
      <sheetName val="400kV_(Cost)26"/>
      <sheetName val="Resumen_Económico26"/>
      <sheetName val="LOCAL_RATES26"/>
      <sheetName val="SS_Source_Spells20"/>
      <sheetName val="Project Base"/>
      <sheetName val="input_spider"/>
      <sheetName val="MAIN"/>
      <sheetName val="priceinfo"/>
      <sheetName val="PROJECT "/>
      <sheetName val="rtu_master"/>
      <sheetName val="layoutinfo"/>
      <sheetName val="AH_cal-HBL__(3)33"/>
      <sheetName val="No__of_cells33"/>
      <sheetName val="Load_Summary33"/>
      <sheetName val="AH_cal-HBL__(2)33"/>
      <sheetName val="AH_cal-HBL_33"/>
      <sheetName val="Load_Details-220kV33"/>
      <sheetName val="Load_Details-33kV33"/>
      <sheetName val="lmp_&amp;_salse33"/>
      <sheetName val="Project_Budget_Worksheet33"/>
      <sheetName val="Builtup_Area33"/>
      <sheetName val="Load_Details_220kV33"/>
      <sheetName val="3BPA00132-5-3_W_plan_HVPNL30"/>
      <sheetName val="220_11__BS_30"/>
      <sheetName val="Cover_sheet29"/>
      <sheetName val="PRICE_BID29"/>
      <sheetName val="modifiedbattery_size29"/>
      <sheetName val="Legal_Risk_Analysis30"/>
      <sheetName val="Motor_Data30"/>
      <sheetName val="Supply_RATES28"/>
      <sheetName val="water_prop_28"/>
      <sheetName val="Prog_Sum28"/>
      <sheetName val="SC_Cost_FEB_0328"/>
      <sheetName val="BM_DATA_SHEET28"/>
      <sheetName val="Cable_data28"/>
      <sheetName val="BS_pricing28"/>
      <sheetName val="Rate_Analysis28"/>
      <sheetName val="DETAILED__BOQ28"/>
      <sheetName val="Civil_Boq28"/>
      <sheetName val="ABP_inputs28"/>
      <sheetName val="Synergy_Sales_Budget28"/>
      <sheetName val="Block_A_-_BOQ28"/>
      <sheetName val="INPUT_SHEET28"/>
      <sheetName val="BOQ_Direct_selling_cost28"/>
      <sheetName val="BASIS_-DEC_0828"/>
      <sheetName val="Summary_year_Plan28"/>
      <sheetName val="Approved_MTD_Proj_#'s28"/>
      <sheetName val="Field_Values28"/>
      <sheetName val="OLTC_MB28"/>
      <sheetName val="400kV_(Cost)28"/>
      <sheetName val="Resumen_Económico28"/>
      <sheetName val="LOCAL_RATES28"/>
      <sheetName val="SS_Source_Spells22"/>
      <sheetName val="STEEL_STRUCTURE"/>
      <sheetName val="Staff_Acco_"/>
      <sheetName val="E-2_200kp_Resi_Sup_St_"/>
      <sheetName val="AH_cal-HBL__(3)34"/>
      <sheetName val="No__of_cells34"/>
      <sheetName val="Load_Summary34"/>
      <sheetName val="AH_cal-HBL__(2)34"/>
      <sheetName val="AH_cal-HBL_34"/>
      <sheetName val="Load_Details-220kV34"/>
      <sheetName val="Load_Details-33kV34"/>
      <sheetName val="lmp_&amp;_salse34"/>
      <sheetName val="Project_Budget_Worksheet34"/>
      <sheetName val="Builtup_Area34"/>
      <sheetName val="Load_Details_220kV34"/>
      <sheetName val="3BPA00132-5-3_W_plan_HVPNL31"/>
      <sheetName val="220_11__BS_31"/>
      <sheetName val="Cover_sheet30"/>
      <sheetName val="PRICE_BID30"/>
      <sheetName val="modifiedbattery_size30"/>
      <sheetName val="Legal_Risk_Analysis31"/>
      <sheetName val="Motor_Data31"/>
      <sheetName val="Supply_RATES29"/>
      <sheetName val="water_prop_29"/>
      <sheetName val="Prog_Sum29"/>
      <sheetName val="SC_Cost_FEB_0329"/>
      <sheetName val="BM_DATA_SHEET29"/>
      <sheetName val="Cable_data29"/>
      <sheetName val="BS_pricing29"/>
      <sheetName val="Rate_Analysis29"/>
      <sheetName val="DETAILED__BOQ29"/>
      <sheetName val="Civil_Boq29"/>
      <sheetName val="ABP_inputs29"/>
      <sheetName val="Synergy_Sales_Budget29"/>
      <sheetName val="Block_A_-_BOQ29"/>
      <sheetName val="INPUT_SHEET29"/>
      <sheetName val="BOQ_Direct_selling_cost29"/>
      <sheetName val="BASIS_-DEC_0829"/>
      <sheetName val="Summary_year_Plan29"/>
      <sheetName val="Approved_MTD_Proj_#'s29"/>
      <sheetName val="Field_Values29"/>
      <sheetName val="OLTC_MB29"/>
      <sheetName val="400kV_(Cost)29"/>
      <sheetName val="Resumen_Económico29"/>
      <sheetName val="LOCAL_RATES29"/>
      <sheetName val="SS_Source_Spells23"/>
      <sheetName val="STEEL_STRUCTURE1"/>
      <sheetName val="Staff_Acco_1"/>
      <sheetName val="E-2_200kp_Resi_Sup_St_1"/>
      <sheetName val="AH_cal-HBL__(3)35"/>
      <sheetName val="No__of_cells35"/>
      <sheetName val="Load_Summary35"/>
      <sheetName val="AH_cal-HBL__(2)35"/>
      <sheetName val="AH_cal-HBL_35"/>
      <sheetName val="Load_Details-220kV35"/>
      <sheetName val="Load_Details-33kV35"/>
      <sheetName val="lmp_&amp;_salse35"/>
      <sheetName val="Project_Budget_Worksheet35"/>
      <sheetName val="Builtup_Area35"/>
      <sheetName val="Load_Details_220kV35"/>
      <sheetName val="3BPA00132-5-3_W_plan_HVPNL32"/>
      <sheetName val="220_11__BS_32"/>
      <sheetName val="Cover_sheet31"/>
      <sheetName val="PRICE_BID31"/>
      <sheetName val="modifiedbattery_size31"/>
      <sheetName val="Legal_Risk_Analysis32"/>
      <sheetName val="Motor_Data32"/>
      <sheetName val="Supply_RATES30"/>
      <sheetName val="water_prop_30"/>
      <sheetName val="Prog_Sum30"/>
      <sheetName val="SC_Cost_FEB_0330"/>
      <sheetName val="BM_DATA_SHEET30"/>
      <sheetName val="Cable_data30"/>
      <sheetName val="BS_pricing30"/>
      <sheetName val="Rate_Analysis30"/>
      <sheetName val="DETAILED__BOQ30"/>
      <sheetName val="Civil_Boq30"/>
      <sheetName val="ABP_inputs30"/>
      <sheetName val="Synergy_Sales_Budget30"/>
      <sheetName val="Block_A_-_BOQ30"/>
      <sheetName val="INPUT_SHEET30"/>
      <sheetName val="BOQ_Direct_selling_cost30"/>
      <sheetName val="BASIS_-DEC_0830"/>
      <sheetName val="Summary_year_Plan30"/>
      <sheetName val="Approved_MTD_Proj_#'s30"/>
      <sheetName val="Field_Values30"/>
      <sheetName val="OLTC_MB30"/>
      <sheetName val="400kV_(Cost)30"/>
      <sheetName val="Resumen_Económico30"/>
      <sheetName val="LOCAL_RATES30"/>
      <sheetName val="SS_Source_Spells24"/>
      <sheetName val="STEEL_STRUCTURE2"/>
      <sheetName val="Staff_Acco_2"/>
      <sheetName val="E-2_200kp_Resi_Sup_St_2"/>
      <sheetName val="AH_cal-HBL__(3)36"/>
      <sheetName val="No__of_cells36"/>
      <sheetName val="Load_Summary36"/>
      <sheetName val="AH_cal-HBL__(2)36"/>
      <sheetName val="AH_cal-HBL_36"/>
      <sheetName val="Load_Details-220kV36"/>
      <sheetName val="Load_Details-33kV36"/>
      <sheetName val="lmp_&amp;_salse36"/>
      <sheetName val="Project_Budget_Worksheet36"/>
      <sheetName val="Builtup_Area36"/>
      <sheetName val="Load_Details_220kV36"/>
      <sheetName val="3BPA00132-5-3_W_plan_HVPNL33"/>
      <sheetName val="220_11__BS_33"/>
      <sheetName val="Cover_sheet32"/>
      <sheetName val="PRICE_BID32"/>
      <sheetName val="modifiedbattery_size32"/>
      <sheetName val="Legal_Risk_Analysis33"/>
      <sheetName val="Motor_Data33"/>
      <sheetName val="Supply_RATES31"/>
      <sheetName val="water_prop_31"/>
      <sheetName val="Prog_Sum31"/>
      <sheetName val="SC_Cost_FEB_0331"/>
      <sheetName val="BM_DATA_SHEET31"/>
      <sheetName val="Cable_data31"/>
      <sheetName val="BS_pricing31"/>
      <sheetName val="Rate_Analysis31"/>
      <sheetName val="DETAILED__BOQ31"/>
      <sheetName val="Civil_Boq31"/>
      <sheetName val="ABP_inputs31"/>
      <sheetName val="Synergy_Sales_Budget31"/>
      <sheetName val="Block_A_-_BOQ31"/>
      <sheetName val="INPUT_SHEET31"/>
      <sheetName val="BOQ_Direct_selling_cost31"/>
      <sheetName val="BASIS_-DEC_0831"/>
      <sheetName val="Summary_year_Plan31"/>
      <sheetName val="Approved_MTD_Proj_#'s31"/>
      <sheetName val="Field_Values31"/>
      <sheetName val="OLTC_MB31"/>
      <sheetName val="400kV_(Cost)31"/>
      <sheetName val="Resumen_Económico31"/>
      <sheetName val="LOCAL_RATES31"/>
      <sheetName val="SS_Source_Spells25"/>
      <sheetName val="STEEL_STRUCTURE3"/>
      <sheetName val="Staff_Acco_3"/>
      <sheetName val="E-2_200kp_Resi_Sup_St_3"/>
      <sheetName val="AH_cal-HBL__(3)37"/>
      <sheetName val="No__of_cells37"/>
      <sheetName val="Load_Summary37"/>
      <sheetName val="AH_cal-HBL__(2)37"/>
      <sheetName val="AH_cal-HBL_37"/>
      <sheetName val="Load_Details-220kV37"/>
      <sheetName val="Load_Details-33kV37"/>
      <sheetName val="lmp_&amp;_salse37"/>
      <sheetName val="Project_Budget_Worksheet37"/>
      <sheetName val="Builtup_Area37"/>
      <sheetName val="Load_Details_220kV37"/>
      <sheetName val="3BPA00132-5-3_W_plan_HVPNL34"/>
      <sheetName val="220_11__BS_34"/>
      <sheetName val="Cover_sheet33"/>
      <sheetName val="PRICE_BID33"/>
      <sheetName val="modifiedbattery_size33"/>
      <sheetName val="Legal_Risk_Analysis34"/>
      <sheetName val="Motor_Data34"/>
      <sheetName val="Supply_RATES32"/>
      <sheetName val="water_prop_32"/>
      <sheetName val="Prog_Sum32"/>
      <sheetName val="SC_Cost_FEB_0332"/>
      <sheetName val="BM_DATA_SHEET32"/>
      <sheetName val="Cable_data32"/>
      <sheetName val="BS_pricing32"/>
      <sheetName val="Rate_Analysis32"/>
      <sheetName val="DETAILED__BOQ32"/>
      <sheetName val="Civil_Boq32"/>
      <sheetName val="ABP_inputs32"/>
      <sheetName val="Synergy_Sales_Budget32"/>
      <sheetName val="Block_A_-_BOQ32"/>
      <sheetName val="INPUT_SHEET32"/>
      <sheetName val="BOQ_Direct_selling_cost32"/>
      <sheetName val="BASIS_-DEC_0832"/>
      <sheetName val="Summary_year_Plan32"/>
      <sheetName val="Approved_MTD_Proj_#'s32"/>
      <sheetName val="Field_Values32"/>
      <sheetName val="OLTC_MB32"/>
      <sheetName val="400kV_(Cost)32"/>
      <sheetName val="Resumen_Económico32"/>
      <sheetName val="LOCAL_RATES32"/>
      <sheetName val="SS_Source_Spells26"/>
      <sheetName val="STEEL_STRUCTURE4"/>
      <sheetName val="Staff_Acco_4"/>
      <sheetName val="E-2_200kp_Resi_Sup_St_4"/>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refreshError="1"/>
      <sheetData sheetId="1343" refreshError="1"/>
      <sheetData sheetId="1344" refreshError="1"/>
      <sheetData sheetId="1345" refreshError="1"/>
      <sheetData sheetId="1346" refreshError="1"/>
      <sheetData sheetId="1347" refreshError="1"/>
      <sheetData sheetId="1348" refreshError="1"/>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 val="FT-001_R021"/>
      <sheetName val="FT-05-02_R021"/>
      <sheetName val="e220-66kV_21"/>
      <sheetName val="issue_summary_21"/>
      <sheetName val="iso-forms_21"/>
      <sheetName val="resis__coeffC12021"/>
      <sheetName val="SCHEMATIC_SKETCH21"/>
      <sheetName val="steam_outlet20"/>
      <sheetName val="MANDAY_RATE20"/>
      <sheetName val="Ins__of_Panels20"/>
      <sheetName val="Ins__of_MCB_DB20"/>
      <sheetName val="Pt_Wiring,_Ckt_main,_Sub_Main20"/>
      <sheetName val="Cable,_Cable_Termination20"/>
      <sheetName val="Earth_Exc,_Earthing,_Earth_Co20"/>
      <sheetName val="Ins_of_Light_Fixtures20"/>
      <sheetName val="Cable_Tray,_Steel,_LA,_Misc20"/>
      <sheetName val="REVENUES_&amp;_BS16"/>
      <sheetName val="Leg_1-116"/>
      <sheetName val="QOSWS_16"/>
      <sheetName val="Ref_Tables16"/>
      <sheetName val="Labour_&amp;_Plant16"/>
      <sheetName val="M_R_List_(2)16"/>
      <sheetName val="RAJU_ASSO16"/>
      <sheetName val="7_Other_Costs16"/>
      <sheetName val="water_prop_16"/>
      <sheetName val="RATE-ANAY_16"/>
      <sheetName val="A_3_716"/>
      <sheetName val="Sales_Cycle_Stages14"/>
      <sheetName val="Schedule_No_114"/>
      <sheetName val="Data_sheet14"/>
      <sheetName val="Sulphur_(2)13"/>
      <sheetName val="PV_FDN13"/>
      <sheetName val="Sch__Areas14"/>
      <sheetName val="NLD_-_Assum14"/>
      <sheetName val="Abstract_Sheet20"/>
      <sheetName val="F_114"/>
      <sheetName val="ROW_Compensation13"/>
      <sheetName val="Cash_Flow14"/>
      <sheetName val="Summary_Rates_From_Contract14"/>
      <sheetName val="LOCAL_RATES13"/>
      <sheetName val="bs_BP_04_SA13"/>
      <sheetName val="CABLE_DATA13"/>
      <sheetName val="Weightage_Factor13"/>
      <sheetName val="Front_end13"/>
      <sheetName val="Load_Details-220kV13"/>
      <sheetName val="Motor_Data13"/>
      <sheetName val="hori__vessel(E-895)13"/>
      <sheetName val="JOBS__UNDER_TURNKEY_BASIS13"/>
      <sheetName val="Gr_182_-_OHE13"/>
      <sheetName val="Costos_R_H__13"/>
      <sheetName val="except_wiring13"/>
      <sheetName val="Desgn(zone_I)7"/>
      <sheetName val="Break_down_adjustments7"/>
      <sheetName val="Activity_No_(A)_(_12)__7"/>
      <sheetName val="FT-001_R08"/>
      <sheetName val="FT-05-02_R08"/>
      <sheetName val="e220-66kV_8"/>
      <sheetName val="issue_summary_8"/>
      <sheetName val="iso-forms_8"/>
      <sheetName val="resis__coeffC1208"/>
      <sheetName val="SCHEMATIC_SKETCH8"/>
      <sheetName val="steam_outlet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REVENUES_&amp;_BS3"/>
      <sheetName val="Leg_1-13"/>
      <sheetName val="QOSWS_3"/>
      <sheetName val="Ref_Tables3"/>
      <sheetName val="Labour_&amp;_Plant3"/>
      <sheetName val="M_R_List_(2)3"/>
      <sheetName val="RAJU_ASSO3"/>
      <sheetName val="7_Other_Costs3"/>
      <sheetName val="water_prop_3"/>
      <sheetName val="RATE-ANAY_3"/>
      <sheetName val="A_3_73"/>
      <sheetName val="Sales_Cycle_Stages1"/>
      <sheetName val="Schedule_No_11"/>
      <sheetName val="Data_sheet1"/>
      <sheetName val="Sulphur_(2)"/>
      <sheetName val="PV_FDN"/>
      <sheetName val="Sch__Areas1"/>
      <sheetName val="NLD_-_Assum1"/>
      <sheetName val="Abstract_Sheet7"/>
      <sheetName val="F_11"/>
      <sheetName val="ROW_Compensation"/>
      <sheetName val="Cash_Flow1"/>
      <sheetName val="Summary_Rates_From_Contract1"/>
      <sheetName val="LOCAL_RATES"/>
      <sheetName val="bs_BP_04_SA"/>
      <sheetName val="CABLE_DATA"/>
      <sheetName val="Weightage_Factor"/>
      <sheetName val="Front_end"/>
      <sheetName val="Load_Details-220kV"/>
      <sheetName val="Motor_Data"/>
      <sheetName val="hori__vessel(E-895)"/>
      <sheetName val="JOBS__UNDER_TURNKEY_BASIS"/>
      <sheetName val="Gr_182_-_OHE"/>
      <sheetName val="Costos_R_H__"/>
      <sheetName val="except_wiring"/>
      <sheetName val="FT-001_R09"/>
      <sheetName val="FT-05-02_R09"/>
      <sheetName val="e220-66kV_9"/>
      <sheetName val="issue_summary_9"/>
      <sheetName val="iso-forms_9"/>
      <sheetName val="resis__coeffC1209"/>
      <sheetName val="SCHEMATIC_SKETCH9"/>
      <sheetName val="steam_outlet8"/>
      <sheetName val="MANDAY_RATE8"/>
      <sheetName val="Ins__of_Panels8"/>
      <sheetName val="Ins__of_MCB_DB8"/>
      <sheetName val="Pt_Wiring,_Ckt_main,_Sub_Main8"/>
      <sheetName val="Cable,_Cable_Termination8"/>
      <sheetName val="Earth_Exc,_Earthing,_Earth_Con8"/>
      <sheetName val="Ins_of_Light_Fixtures8"/>
      <sheetName val="Cable_Tray,_Steel,_LA,_Misc8"/>
      <sheetName val="REVENUES_&amp;_BS4"/>
      <sheetName val="Leg_1-14"/>
      <sheetName val="QOSWS_4"/>
      <sheetName val="Ref_Tables4"/>
      <sheetName val="Labour_&amp;_Plant4"/>
      <sheetName val="M_R_List_(2)4"/>
      <sheetName val="RAJU_ASSO4"/>
      <sheetName val="7_Other_Costs4"/>
      <sheetName val="water_prop_4"/>
      <sheetName val="RATE-ANAY_4"/>
      <sheetName val="A_3_74"/>
      <sheetName val="Sales_Cycle_Stages2"/>
      <sheetName val="Schedule_No_12"/>
      <sheetName val="Data_sheet2"/>
      <sheetName val="Sulphur_(2)1"/>
      <sheetName val="PV_FDN1"/>
      <sheetName val="Sch__Areas2"/>
      <sheetName val="NLD_-_Assum2"/>
      <sheetName val="Abstract_Sheet8"/>
      <sheetName val="F_12"/>
      <sheetName val="ROW_Compensation1"/>
      <sheetName val="Cash_Flow2"/>
      <sheetName val="Summary_Rates_From_Contract2"/>
      <sheetName val="LOCAL_RATES1"/>
      <sheetName val="bs_BP_04_SA1"/>
      <sheetName val="CABLE_DATA1"/>
      <sheetName val="Weightage_Factor1"/>
      <sheetName val="Front_end1"/>
      <sheetName val="Load_Details-220kV1"/>
      <sheetName val="Motor_Data1"/>
      <sheetName val="hori__vessel(E-895)1"/>
      <sheetName val="JOBS__UNDER_TURNKEY_BASIS1"/>
      <sheetName val="Gr_182_-_OHE1"/>
      <sheetName val="Costos_R_H__1"/>
      <sheetName val="except_wiring1"/>
      <sheetName val="FT-001_R010"/>
      <sheetName val="FT-05-02_R010"/>
      <sheetName val="e220-66kV_10"/>
      <sheetName val="issue_summary_10"/>
      <sheetName val="iso-forms_10"/>
      <sheetName val="resis__coeffC12010"/>
      <sheetName val="SCHEMATIC_SKETCH10"/>
      <sheetName val="steam_outlet9"/>
      <sheetName val="MANDAY_RATE9"/>
      <sheetName val="Ins__of_Panels9"/>
      <sheetName val="Ins__of_MCB_DB9"/>
      <sheetName val="Pt_Wiring,_Ckt_main,_Sub_Main9"/>
      <sheetName val="Cable,_Cable_Termination9"/>
      <sheetName val="Earth_Exc,_Earthing,_Earth_Con9"/>
      <sheetName val="Ins_of_Light_Fixtures9"/>
      <sheetName val="Cable_Tray,_Steel,_LA,_Misc9"/>
      <sheetName val="REVENUES_&amp;_BS5"/>
      <sheetName val="Leg_1-15"/>
      <sheetName val="QOSWS_5"/>
      <sheetName val="Ref_Tables5"/>
      <sheetName val="Labour_&amp;_Plant5"/>
      <sheetName val="M_R_List_(2)5"/>
      <sheetName val="RAJU_ASSO5"/>
      <sheetName val="7_Other_Costs5"/>
      <sheetName val="water_prop_5"/>
      <sheetName val="RATE-ANAY_5"/>
      <sheetName val="A_3_75"/>
      <sheetName val="Sales_Cycle_Stages3"/>
      <sheetName val="Schedule_No_13"/>
      <sheetName val="Data_sheet3"/>
      <sheetName val="Sulphur_(2)2"/>
      <sheetName val="PV_FDN2"/>
      <sheetName val="Sch__Areas3"/>
      <sheetName val="NLD_-_Assum3"/>
      <sheetName val="Abstract_Sheet9"/>
      <sheetName val="F_13"/>
      <sheetName val="ROW_Compensation2"/>
      <sheetName val="Cash_Flow3"/>
      <sheetName val="Summary_Rates_From_Contract3"/>
      <sheetName val="LOCAL_RATES2"/>
      <sheetName val="bs_BP_04_SA2"/>
      <sheetName val="CABLE_DATA2"/>
      <sheetName val="Weightage_Factor2"/>
      <sheetName val="Front_end2"/>
      <sheetName val="Load_Details-220kV2"/>
      <sheetName val="Motor_Data2"/>
      <sheetName val="hori__vessel(E-895)2"/>
      <sheetName val="JOBS__UNDER_TURNKEY_BASIS2"/>
      <sheetName val="Gr_182_-_OHE2"/>
      <sheetName val="Costos_R_H__2"/>
      <sheetName val="except_wiring2"/>
      <sheetName val="FT-001_R011"/>
      <sheetName val="FT-05-02_R011"/>
      <sheetName val="e220-66kV_11"/>
      <sheetName val="issue_summary_11"/>
      <sheetName val="iso-forms_11"/>
      <sheetName val="resis__coeffC12011"/>
      <sheetName val="SCHEMATIC_SKETCH11"/>
      <sheetName val="steam_outlet10"/>
      <sheetName val="MANDAY_RATE10"/>
      <sheetName val="Ins__of_Panels10"/>
      <sheetName val="Ins__of_MCB_DB10"/>
      <sheetName val="Pt_Wiring,_Ckt_main,_Sub_Main10"/>
      <sheetName val="Cable,_Cable_Termination10"/>
      <sheetName val="Earth_Exc,_Earthing,_Earth_Co10"/>
      <sheetName val="Ins_of_Light_Fixtures10"/>
      <sheetName val="Cable_Tray,_Steel,_LA,_Misc10"/>
      <sheetName val="REVENUES_&amp;_BS6"/>
      <sheetName val="Leg_1-16"/>
      <sheetName val="QOSWS_6"/>
      <sheetName val="Ref_Tables6"/>
      <sheetName val="Labour_&amp;_Plant6"/>
      <sheetName val="M_R_List_(2)6"/>
      <sheetName val="RAJU_ASSO6"/>
      <sheetName val="7_Other_Costs6"/>
      <sheetName val="water_prop_6"/>
      <sheetName val="RATE-ANAY_6"/>
      <sheetName val="A_3_76"/>
      <sheetName val="Sales_Cycle_Stages4"/>
      <sheetName val="Schedule_No_14"/>
      <sheetName val="Data_sheet4"/>
      <sheetName val="Sulphur_(2)3"/>
      <sheetName val="PV_FDN3"/>
      <sheetName val="Sch__Areas4"/>
      <sheetName val="NLD_-_Assum4"/>
      <sheetName val="Abstract_Sheet10"/>
      <sheetName val="F_14"/>
      <sheetName val="ROW_Compensation3"/>
      <sheetName val="Cash_Flow4"/>
      <sheetName val="Summary_Rates_From_Contract4"/>
      <sheetName val="LOCAL_RATES3"/>
      <sheetName val="bs_BP_04_SA3"/>
      <sheetName val="CABLE_DATA3"/>
      <sheetName val="Weightage_Factor3"/>
      <sheetName val="Front_end3"/>
      <sheetName val="Load_Details-220kV3"/>
      <sheetName val="Motor_Data3"/>
      <sheetName val="hori__vessel(E-895)3"/>
      <sheetName val="JOBS__UNDER_TURNKEY_BASIS3"/>
      <sheetName val="Gr_182_-_OHE3"/>
      <sheetName val="Costos_R_H__3"/>
      <sheetName val="except_wiring3"/>
      <sheetName val="FT-001_R012"/>
      <sheetName val="FT-05-02_R012"/>
      <sheetName val="e220-66kV_12"/>
      <sheetName val="issue_summary_12"/>
      <sheetName val="iso-forms_12"/>
      <sheetName val="resis__coeffC12012"/>
      <sheetName val="SCHEMATIC_SKETCH12"/>
      <sheetName val="steam_outlet11"/>
      <sheetName val="MANDAY_RATE11"/>
      <sheetName val="Ins__of_Panels11"/>
      <sheetName val="Ins__of_MCB_DB11"/>
      <sheetName val="Pt_Wiring,_Ckt_main,_Sub_Main11"/>
      <sheetName val="Cable,_Cable_Termination11"/>
      <sheetName val="Earth_Exc,_Earthing,_Earth_Co11"/>
      <sheetName val="Ins_of_Light_Fixtures11"/>
      <sheetName val="Cable_Tray,_Steel,_LA,_Misc11"/>
      <sheetName val="REVENUES_&amp;_BS7"/>
      <sheetName val="Leg_1-17"/>
      <sheetName val="QOSWS_7"/>
      <sheetName val="Ref_Tables7"/>
      <sheetName val="Labour_&amp;_Plant7"/>
      <sheetName val="M_R_List_(2)7"/>
      <sheetName val="RAJU_ASSO7"/>
      <sheetName val="7_Other_Costs7"/>
      <sheetName val="water_prop_7"/>
      <sheetName val="RATE-ANAY_7"/>
      <sheetName val="A_3_77"/>
      <sheetName val="Sales_Cycle_Stages5"/>
      <sheetName val="Schedule_No_15"/>
      <sheetName val="Data_sheet5"/>
      <sheetName val="Sulphur_(2)4"/>
      <sheetName val="PV_FDN4"/>
      <sheetName val="Sch__Areas5"/>
      <sheetName val="NLD_-_Assum5"/>
      <sheetName val="Abstract_Sheet11"/>
      <sheetName val="F_15"/>
      <sheetName val="ROW_Compensation4"/>
      <sheetName val="Cash_Flow5"/>
      <sheetName val="Summary_Rates_From_Contract5"/>
      <sheetName val="LOCAL_RATES4"/>
      <sheetName val="bs_BP_04_SA4"/>
      <sheetName val="CABLE_DATA4"/>
      <sheetName val="Weightage_Factor4"/>
      <sheetName val="Front_end4"/>
      <sheetName val="Load_Details-220kV4"/>
      <sheetName val="Motor_Data4"/>
      <sheetName val="hori__vessel(E-895)4"/>
      <sheetName val="JOBS__UNDER_TURNKEY_BASIS4"/>
      <sheetName val="Gr_182_-_OHE4"/>
      <sheetName val="Costos_R_H__4"/>
      <sheetName val="except_wiring4"/>
      <sheetName val="FT-001_R017"/>
      <sheetName val="FT-05-02_R017"/>
      <sheetName val="e220-66kV_17"/>
      <sheetName val="issue_summary_17"/>
      <sheetName val="iso-forms_17"/>
      <sheetName val="resis__coeffC12017"/>
      <sheetName val="SCHEMATIC_SKETCH17"/>
      <sheetName val="steam_outlet16"/>
      <sheetName val="MANDAY_RATE16"/>
      <sheetName val="Ins__of_Panels16"/>
      <sheetName val="Ins__of_MCB_DB16"/>
      <sheetName val="Pt_Wiring,_Ckt_main,_Sub_Main16"/>
      <sheetName val="Cable,_Cable_Termination16"/>
      <sheetName val="Earth_Exc,_Earthing,_Earth_Co16"/>
      <sheetName val="Ins_of_Light_Fixtures16"/>
      <sheetName val="Cable_Tray,_Steel,_LA,_Misc16"/>
      <sheetName val="REVENUES_&amp;_BS12"/>
      <sheetName val="Leg_1-112"/>
      <sheetName val="QOSWS_12"/>
      <sheetName val="Ref_Tables12"/>
      <sheetName val="Labour_&amp;_Plant12"/>
      <sheetName val="M_R_List_(2)12"/>
      <sheetName val="RAJU_ASSO12"/>
      <sheetName val="7_Other_Costs12"/>
      <sheetName val="water_prop_12"/>
      <sheetName val="Sales_Cycle_Stages10"/>
      <sheetName val="Schedule_No_110"/>
      <sheetName val="RATE-ANAY_12"/>
      <sheetName val="Data_sheet10"/>
      <sheetName val="A_3_712"/>
      <sheetName val="Sch__Areas10"/>
      <sheetName val="NLD_-_Assum10"/>
      <sheetName val="Abstract_Sheet16"/>
      <sheetName val="F_110"/>
      <sheetName val="PV_FDN9"/>
      <sheetName val="Sulphur_(2)9"/>
      <sheetName val="Cash_Flow10"/>
      <sheetName val="Summary_Rates_From_Contract10"/>
      <sheetName val="ROW_Compensation9"/>
      <sheetName val="LOCAL_RATES9"/>
      <sheetName val="bs_BP_04_SA9"/>
      <sheetName val="CABLE_DATA9"/>
      <sheetName val="Weightage_Factor9"/>
      <sheetName val="Load_Details-220kV9"/>
      <sheetName val="Motor_Data9"/>
      <sheetName val="hori__vessel(E-895)9"/>
      <sheetName val="JOBS__UNDER_TURNKEY_BASIS9"/>
      <sheetName val="Gr_182_-_OHE9"/>
      <sheetName val="Costos_R_H__9"/>
      <sheetName val="except_wiring9"/>
      <sheetName val="Front_end9"/>
      <sheetName val="FT-001_R013"/>
      <sheetName val="FT-05-02_R013"/>
      <sheetName val="e220-66kV_13"/>
      <sheetName val="issue_summary_13"/>
      <sheetName val="iso-forms_13"/>
      <sheetName val="resis__coeffC12013"/>
      <sheetName val="SCHEMATIC_SKETCH13"/>
      <sheetName val="steam_outlet12"/>
      <sheetName val="MANDAY_RATE12"/>
      <sheetName val="Ins__of_Panels12"/>
      <sheetName val="Ins__of_MCB_DB12"/>
      <sheetName val="Pt_Wiring,_Ckt_main,_Sub_Main12"/>
      <sheetName val="Cable,_Cable_Termination12"/>
      <sheetName val="Earth_Exc,_Earthing,_Earth_Co12"/>
      <sheetName val="Ins_of_Light_Fixtures12"/>
      <sheetName val="Cable_Tray,_Steel,_LA,_Misc12"/>
      <sheetName val="REVENUES_&amp;_BS8"/>
      <sheetName val="Leg_1-18"/>
      <sheetName val="QOSWS_8"/>
      <sheetName val="Ref_Tables8"/>
      <sheetName val="Labour_&amp;_Plant8"/>
      <sheetName val="M_R_List_(2)8"/>
      <sheetName val="RAJU_ASSO8"/>
      <sheetName val="7_Other_Costs8"/>
      <sheetName val="water_prop_8"/>
      <sheetName val="RATE-ANAY_8"/>
      <sheetName val="A_3_78"/>
      <sheetName val="Sales_Cycle_Stages6"/>
      <sheetName val="Schedule_No_16"/>
      <sheetName val="Data_sheet6"/>
      <sheetName val="Sulphur_(2)5"/>
      <sheetName val="PV_FDN5"/>
      <sheetName val="Sch__Areas6"/>
      <sheetName val="NLD_-_Assum6"/>
      <sheetName val="Abstract_Sheet12"/>
      <sheetName val="F_16"/>
      <sheetName val="ROW_Compensation5"/>
      <sheetName val="Cash_Flow6"/>
      <sheetName val="Summary_Rates_From_Contract6"/>
      <sheetName val="LOCAL_RATES5"/>
      <sheetName val="bs_BP_04_SA5"/>
      <sheetName val="CABLE_DATA5"/>
      <sheetName val="Weightage_Factor5"/>
      <sheetName val="Front_end5"/>
      <sheetName val="Load_Details-220kV5"/>
      <sheetName val="Motor_Data5"/>
      <sheetName val="hori__vessel(E-895)5"/>
      <sheetName val="JOBS__UNDER_TURNKEY_BASIS5"/>
      <sheetName val="Gr_182_-_OHE5"/>
      <sheetName val="Costos_R_H__5"/>
      <sheetName val="except_wiring5"/>
      <sheetName val="Desgn(zone_I)3"/>
      <sheetName val="Break_down_adjustments3"/>
      <sheetName val="Activity_No_(A)_(_12)__3"/>
      <sheetName val="FT-001_R015"/>
      <sheetName val="FT-05-02_R015"/>
      <sheetName val="e220-66kV_15"/>
      <sheetName val="issue_summary_15"/>
      <sheetName val="iso-forms_15"/>
      <sheetName val="resis__coeffC12015"/>
      <sheetName val="SCHEMATIC_SKETCH15"/>
      <sheetName val="steam_outlet14"/>
      <sheetName val="MANDAY_RATE14"/>
      <sheetName val="Ins__of_Panels14"/>
      <sheetName val="Ins__of_MCB_DB14"/>
      <sheetName val="Pt_Wiring,_Ckt_main,_Sub_Main14"/>
      <sheetName val="Cable,_Cable_Termination14"/>
      <sheetName val="Earth_Exc,_Earthing,_Earth_Co14"/>
      <sheetName val="Ins_of_Light_Fixtures14"/>
      <sheetName val="Cable_Tray,_Steel,_LA,_Misc14"/>
      <sheetName val="REVENUES_&amp;_BS10"/>
      <sheetName val="Leg_1-110"/>
      <sheetName val="QOSWS_10"/>
      <sheetName val="Ref_Tables10"/>
      <sheetName val="Labour_&amp;_Plant10"/>
      <sheetName val="M_R_List_(2)10"/>
      <sheetName val="RAJU_ASSO10"/>
      <sheetName val="7_Other_Costs10"/>
      <sheetName val="water_prop_10"/>
      <sheetName val="RATE-ANAY_10"/>
      <sheetName val="A_3_710"/>
      <sheetName val="Sales_Cycle_Stages8"/>
      <sheetName val="Schedule_No_18"/>
      <sheetName val="Data_sheet8"/>
      <sheetName val="Sulphur_(2)7"/>
      <sheetName val="PV_FDN7"/>
      <sheetName val="Sch__Areas8"/>
      <sheetName val="NLD_-_Assum8"/>
      <sheetName val="Abstract_Sheet14"/>
      <sheetName val="F_18"/>
      <sheetName val="ROW_Compensation7"/>
      <sheetName val="Cash_Flow8"/>
      <sheetName val="Summary_Rates_From_Contract8"/>
      <sheetName val="LOCAL_RATES7"/>
      <sheetName val="bs_BP_04_SA7"/>
      <sheetName val="CABLE_DATA7"/>
      <sheetName val="Weightage_Factor7"/>
      <sheetName val="Front_end7"/>
      <sheetName val="Load_Details-220kV7"/>
      <sheetName val="Motor_Data7"/>
      <sheetName val="hori__vessel(E-895)7"/>
      <sheetName val="JOBS__UNDER_TURNKEY_BASIS7"/>
      <sheetName val="Gr_182_-_OHE7"/>
      <sheetName val="Costos_R_H__7"/>
      <sheetName val="except_wiring7"/>
      <sheetName val="Desgn(zone_I)1"/>
      <sheetName val="Break_down_adjustments1"/>
      <sheetName val="Activity_No_(A)_(_12)__1"/>
      <sheetName val="FT-001_R014"/>
      <sheetName val="FT-05-02_R014"/>
      <sheetName val="e220-66kV_14"/>
      <sheetName val="issue_summary_14"/>
      <sheetName val="iso-forms_14"/>
      <sheetName val="resis__coeffC12014"/>
      <sheetName val="SCHEMATIC_SKETCH14"/>
      <sheetName val="steam_outlet13"/>
      <sheetName val="MANDAY_RATE13"/>
      <sheetName val="Ins__of_Panels13"/>
      <sheetName val="Ins__of_MCB_DB13"/>
      <sheetName val="Pt_Wiring,_Ckt_main,_Sub_Main13"/>
      <sheetName val="Cable,_Cable_Termination13"/>
      <sheetName val="Earth_Exc,_Earthing,_Earth_Co13"/>
      <sheetName val="Ins_of_Light_Fixtures13"/>
      <sheetName val="Cable_Tray,_Steel,_LA,_Misc13"/>
      <sheetName val="REVENUES_&amp;_BS9"/>
      <sheetName val="Leg_1-19"/>
      <sheetName val="QOSWS_9"/>
      <sheetName val="Ref_Tables9"/>
      <sheetName val="Labour_&amp;_Plant9"/>
      <sheetName val="M_R_List_(2)9"/>
      <sheetName val="RAJU_ASSO9"/>
      <sheetName val="7_Other_Costs9"/>
      <sheetName val="water_prop_9"/>
      <sheetName val="Sales_Cycle_Stages7"/>
      <sheetName val="Schedule_No_17"/>
      <sheetName val="RATE-ANAY_9"/>
      <sheetName val="Data_sheet7"/>
      <sheetName val="A_3_79"/>
      <sheetName val="Sch__Areas7"/>
      <sheetName val="NLD_-_Assum7"/>
      <sheetName val="Abstract_Sheet13"/>
      <sheetName val="F_17"/>
      <sheetName val="PV_FDN6"/>
      <sheetName val="Sulphur_(2)6"/>
      <sheetName val="Cash_Flow7"/>
      <sheetName val="Summary_Rates_From_Contract7"/>
      <sheetName val="ROW_Compensation6"/>
      <sheetName val="LOCAL_RATES6"/>
      <sheetName val="bs_BP_04_SA6"/>
      <sheetName val="CABLE_DATA6"/>
      <sheetName val="Weightage_Factor6"/>
      <sheetName val="Load_Details-220kV6"/>
      <sheetName val="Motor_Data6"/>
      <sheetName val="hori__vessel(E-895)6"/>
      <sheetName val="JOBS__UNDER_TURNKEY_BASIS6"/>
      <sheetName val="Gr_182_-_OHE6"/>
      <sheetName val="Costos_R_H__6"/>
      <sheetName val="except_wiring6"/>
      <sheetName val="Front_end6"/>
      <sheetName val="Desgn(zone_I)"/>
      <sheetName val="Break_down_adjustments"/>
      <sheetName val="Activity_No_(A)_(_12)__"/>
      <sheetName val="FT-001_R016"/>
      <sheetName val="FT-05-02_R016"/>
      <sheetName val="e220-66kV_16"/>
      <sheetName val="issue_summary_16"/>
      <sheetName val="iso-forms_16"/>
      <sheetName val="resis__coeffC12016"/>
      <sheetName val="SCHEMATIC_SKETCH16"/>
      <sheetName val="steam_outlet15"/>
      <sheetName val="MANDAY_RATE15"/>
      <sheetName val="Ins__of_Panels15"/>
      <sheetName val="Ins__of_MCB_DB15"/>
      <sheetName val="Pt_Wiring,_Ckt_main,_Sub_Main15"/>
      <sheetName val="Cable,_Cable_Termination15"/>
      <sheetName val="Earth_Exc,_Earthing,_Earth_Co15"/>
      <sheetName val="Ins_of_Light_Fixtures15"/>
      <sheetName val="Cable_Tray,_Steel,_LA,_Misc15"/>
      <sheetName val="REVENUES_&amp;_BS11"/>
      <sheetName val="Leg_1-111"/>
      <sheetName val="QOSWS_11"/>
      <sheetName val="Ref_Tables11"/>
      <sheetName val="Labour_&amp;_Plant11"/>
      <sheetName val="M_R_List_(2)11"/>
      <sheetName val="RAJU_ASSO11"/>
      <sheetName val="7_Other_Costs11"/>
      <sheetName val="water_prop_11"/>
      <sheetName val="Sales_Cycle_Stages9"/>
      <sheetName val="Schedule_No_19"/>
      <sheetName val="RATE-ANAY_11"/>
      <sheetName val="Data_sheet9"/>
      <sheetName val="A_3_711"/>
      <sheetName val="Sch__Areas9"/>
      <sheetName val="NLD_-_Assum9"/>
      <sheetName val="Abstract_Sheet15"/>
      <sheetName val="F_19"/>
      <sheetName val="PV_FDN8"/>
      <sheetName val="Sulphur_(2)8"/>
      <sheetName val="Cash_Flow9"/>
      <sheetName val="Summary_Rates_From_Contract9"/>
      <sheetName val="ROW_Compensation8"/>
      <sheetName val="LOCAL_RATES8"/>
      <sheetName val="bs_BP_04_SA8"/>
      <sheetName val="CABLE_DATA8"/>
      <sheetName val="Weightage_Factor8"/>
      <sheetName val="Load_Details-220kV8"/>
      <sheetName val="Motor_Data8"/>
      <sheetName val="hori__vessel(E-895)8"/>
      <sheetName val="JOBS__UNDER_TURNKEY_BASIS8"/>
      <sheetName val="Gr_182_-_OHE8"/>
      <sheetName val="Costos_R_H__8"/>
      <sheetName val="except_wiring8"/>
      <sheetName val="Front_end8"/>
      <sheetName val="Desgn(zone_I)2"/>
      <sheetName val="Break_down_adjustments2"/>
      <sheetName val="Activity_No_(A)_(_12)__2"/>
      <sheetName val="FT-001_R018"/>
      <sheetName val="FT-05-02_R018"/>
      <sheetName val="e220-66kV_18"/>
      <sheetName val="issue_summary_18"/>
      <sheetName val="iso-forms_18"/>
      <sheetName val="resis__coeffC12018"/>
      <sheetName val="SCHEMATIC_SKETCH18"/>
      <sheetName val="steam_outlet17"/>
      <sheetName val="MANDAY_RATE17"/>
      <sheetName val="Ins__of_Panels17"/>
      <sheetName val="Ins__of_MCB_DB17"/>
      <sheetName val="Pt_Wiring,_Ckt_main,_Sub_Main17"/>
      <sheetName val="Cable,_Cable_Termination17"/>
      <sheetName val="Earth_Exc,_Earthing,_Earth_Co17"/>
      <sheetName val="Ins_of_Light_Fixtures17"/>
      <sheetName val="Cable_Tray,_Steel,_LA,_Misc17"/>
      <sheetName val="REVENUES_&amp;_BS13"/>
      <sheetName val="Leg_1-113"/>
      <sheetName val="QOSWS_13"/>
      <sheetName val="Ref_Tables13"/>
      <sheetName val="Labour_&amp;_Plant13"/>
      <sheetName val="M_R_List_(2)13"/>
      <sheetName val="RAJU_ASSO13"/>
      <sheetName val="7_Other_Costs13"/>
      <sheetName val="water_prop_13"/>
      <sheetName val="RATE-ANAY_13"/>
      <sheetName val="A_3_713"/>
      <sheetName val="Sales_Cycle_Stages11"/>
      <sheetName val="Schedule_No_111"/>
      <sheetName val="Data_sheet11"/>
      <sheetName val="Sulphur_(2)10"/>
      <sheetName val="PV_FDN10"/>
      <sheetName val="Sch__Areas11"/>
      <sheetName val="NLD_-_Assum11"/>
      <sheetName val="Abstract_Sheet17"/>
      <sheetName val="F_111"/>
      <sheetName val="ROW_Compensation10"/>
      <sheetName val="Cash_Flow11"/>
      <sheetName val="Summary_Rates_From_Contract11"/>
      <sheetName val="LOCAL_RATES10"/>
      <sheetName val="bs_BP_04_SA10"/>
      <sheetName val="CABLE_DATA10"/>
      <sheetName val="Weightage_Factor10"/>
      <sheetName val="Front_end10"/>
      <sheetName val="Load_Details-220kV10"/>
      <sheetName val="Motor_Data10"/>
      <sheetName val="hori__vessel(E-895)10"/>
      <sheetName val="JOBS__UNDER_TURNKEY_BASIS10"/>
      <sheetName val="Gr_182_-_OHE10"/>
      <sheetName val="Costos_R_H__10"/>
      <sheetName val="except_wiring10"/>
      <sheetName val="Desgn(zone_I)4"/>
      <sheetName val="Break_down_adjustments4"/>
      <sheetName val="Activity_No_(A)_(_12)__4"/>
      <sheetName val="FT-001_R019"/>
      <sheetName val="FT-05-02_R019"/>
      <sheetName val="e220-66kV_19"/>
      <sheetName val="issue_summary_19"/>
      <sheetName val="iso-forms_19"/>
      <sheetName val="resis__coeffC12019"/>
      <sheetName val="SCHEMATIC_SKETCH19"/>
      <sheetName val="steam_outlet18"/>
      <sheetName val="MANDAY_RATE18"/>
      <sheetName val="Ins__of_Panels18"/>
      <sheetName val="Ins__of_MCB_DB18"/>
      <sheetName val="Pt_Wiring,_Ckt_main,_Sub_Main18"/>
      <sheetName val="Cable,_Cable_Termination18"/>
      <sheetName val="Earth_Exc,_Earthing,_Earth_Co18"/>
      <sheetName val="Ins_of_Light_Fixtures18"/>
      <sheetName val="Cable_Tray,_Steel,_LA,_Misc18"/>
      <sheetName val="REVENUES_&amp;_BS14"/>
      <sheetName val="Leg_1-114"/>
      <sheetName val="QOSWS_14"/>
      <sheetName val="Ref_Tables14"/>
      <sheetName val="Labour_&amp;_Plant14"/>
      <sheetName val="M_R_List_(2)14"/>
      <sheetName val="RAJU_ASSO14"/>
      <sheetName val="7_Other_Costs14"/>
      <sheetName val="water_prop_14"/>
      <sheetName val="Sales_Cycle_Stages12"/>
      <sheetName val="Schedule_No_112"/>
      <sheetName val="RATE-ANAY_14"/>
      <sheetName val="Data_sheet12"/>
      <sheetName val="A_3_714"/>
      <sheetName val="Sch__Areas12"/>
      <sheetName val="NLD_-_Assum12"/>
      <sheetName val="Abstract_Sheet18"/>
      <sheetName val="F_112"/>
      <sheetName val="PV_FDN11"/>
      <sheetName val="Sulphur_(2)11"/>
      <sheetName val="Cash_Flow12"/>
      <sheetName val="Summary_Rates_From_Contract12"/>
      <sheetName val="ROW_Compensation11"/>
      <sheetName val="LOCAL_RATES11"/>
      <sheetName val="bs_BP_04_SA11"/>
      <sheetName val="CABLE_DATA11"/>
      <sheetName val="Weightage_Factor11"/>
      <sheetName val="Load_Details-220kV11"/>
      <sheetName val="Motor_Data11"/>
      <sheetName val="hori__vessel(E-895)11"/>
      <sheetName val="JOBS__UNDER_TURNKEY_BASIS11"/>
      <sheetName val="Gr_182_-_OHE11"/>
      <sheetName val="Costos_R_H__11"/>
      <sheetName val="except_wiring11"/>
      <sheetName val="Front_end11"/>
      <sheetName val="Desgn(zone_I)5"/>
      <sheetName val="Break_down_adjustments5"/>
      <sheetName val="Activity_No_(A)_(_12)__5"/>
      <sheetName val="FT-001_R020"/>
      <sheetName val="FT-05-02_R020"/>
      <sheetName val="e220-66kV_20"/>
      <sheetName val="issue_summary_20"/>
      <sheetName val="iso-forms_20"/>
      <sheetName val="resis__coeffC12020"/>
      <sheetName val="SCHEMATIC_SKETCH20"/>
      <sheetName val="steam_outlet19"/>
      <sheetName val="MANDAY_RATE19"/>
      <sheetName val="Ins__of_Panels19"/>
      <sheetName val="Ins__of_MCB_DB19"/>
      <sheetName val="Pt_Wiring,_Ckt_main,_Sub_Main19"/>
      <sheetName val="Cable,_Cable_Termination19"/>
      <sheetName val="Earth_Exc,_Earthing,_Earth_Co19"/>
      <sheetName val="Ins_of_Light_Fixtures19"/>
      <sheetName val="Cable_Tray,_Steel,_LA,_Misc19"/>
      <sheetName val="REVENUES_&amp;_BS15"/>
      <sheetName val="Leg_1-115"/>
      <sheetName val="QOSWS_15"/>
      <sheetName val="Ref_Tables15"/>
      <sheetName val="Labour_&amp;_Plant15"/>
      <sheetName val="M_R_List_(2)15"/>
      <sheetName val="RAJU_ASSO15"/>
      <sheetName val="7_Other_Costs15"/>
      <sheetName val="water_prop_15"/>
      <sheetName val="RATE-ANAY_15"/>
      <sheetName val="A_3_715"/>
      <sheetName val="Sales_Cycle_Stages13"/>
      <sheetName val="Schedule_No_113"/>
      <sheetName val="Data_sheet13"/>
      <sheetName val="Sulphur_(2)12"/>
      <sheetName val="PV_FDN12"/>
      <sheetName val="Sch__Areas13"/>
      <sheetName val="NLD_-_Assum13"/>
      <sheetName val="Abstract_Sheet19"/>
      <sheetName val="F_113"/>
      <sheetName val="ROW_Compensation12"/>
      <sheetName val="Cash_Flow13"/>
      <sheetName val="Summary_Rates_From_Contract13"/>
      <sheetName val="LOCAL_RATES12"/>
      <sheetName val="bs_BP_04_SA12"/>
      <sheetName val="CABLE_DATA12"/>
      <sheetName val="Weightage_Factor12"/>
      <sheetName val="Front_end12"/>
      <sheetName val="Load_Details-220kV12"/>
      <sheetName val="Motor_Data12"/>
      <sheetName val="hori__vessel(E-895)12"/>
      <sheetName val="JOBS__UNDER_TURNKEY_BASIS12"/>
      <sheetName val="Gr_182_-_OHE12"/>
      <sheetName val="Costos_R_H__12"/>
      <sheetName val="except_wiring12"/>
      <sheetName val="Desgn(zone_I)6"/>
      <sheetName val="Break_down_adjustments6"/>
      <sheetName val="Activity_No_(A)_(_12)__6"/>
      <sheetName val="FT-001_R022"/>
      <sheetName val="FT-05-02_R022"/>
      <sheetName val="e220-66kV_22"/>
      <sheetName val="issue_summary_22"/>
      <sheetName val="iso-forms_22"/>
      <sheetName val="resis__coeffC12022"/>
      <sheetName val="SCHEMATIC_SKETCH22"/>
      <sheetName val="steam_outlet21"/>
      <sheetName val="MANDAY_RATE21"/>
      <sheetName val="Ins__of_Panels21"/>
      <sheetName val="Ins__of_MCB_DB21"/>
      <sheetName val="Pt_Wiring,_Ckt_main,_Sub_Main21"/>
      <sheetName val="Cable,_Cable_Termination21"/>
      <sheetName val="Earth_Exc,_Earthing,_Earth_Co21"/>
      <sheetName val="Ins_of_Light_Fixtures21"/>
      <sheetName val="Cable_Tray,_Steel,_LA,_Misc21"/>
      <sheetName val="REVENUES_&amp;_BS17"/>
      <sheetName val="Leg_1-117"/>
      <sheetName val="QOSWS_17"/>
      <sheetName val="Ref_Tables17"/>
      <sheetName val="Labour_&amp;_Plant17"/>
      <sheetName val="M_R_List_(2)17"/>
      <sheetName val="RAJU_ASSO17"/>
      <sheetName val="7_Other_Costs17"/>
      <sheetName val="water_prop_17"/>
      <sheetName val="RATE-ANAY_17"/>
      <sheetName val="A_3_717"/>
      <sheetName val="Sales_Cycle_Stages15"/>
      <sheetName val="Schedule_No_115"/>
      <sheetName val="Data_sheet15"/>
      <sheetName val="Sulphur_(2)14"/>
      <sheetName val="PV_FDN14"/>
      <sheetName val="Sch__Areas15"/>
      <sheetName val="NLD_-_Assum15"/>
      <sheetName val="Abstract_Sheet21"/>
      <sheetName val="F_115"/>
      <sheetName val="ROW_Compensation14"/>
      <sheetName val="Cash_Flow15"/>
      <sheetName val="Summary_Rates_From_Contract15"/>
      <sheetName val="LOCAL_RATES14"/>
      <sheetName val="bs_BP_04_SA14"/>
      <sheetName val="CABLE_DATA14"/>
      <sheetName val="Weightage_Factor14"/>
      <sheetName val="Front_end14"/>
      <sheetName val="Load_Details-220kV14"/>
      <sheetName val="Motor_Data14"/>
      <sheetName val="hori__vessel(E-895)14"/>
      <sheetName val="JOBS__UNDER_TURNKEY_BASIS14"/>
      <sheetName val="Gr_182_-_OHE14"/>
      <sheetName val="Costos_R_H__14"/>
      <sheetName val="except_wiring14"/>
      <sheetName val="Desgn(zone_I)8"/>
      <sheetName val="Break_down_adjustments8"/>
      <sheetName val="Activity_No_(A)_(_12)__8"/>
      <sheetName val="FT-001_R023"/>
      <sheetName val="FT-05-02_R023"/>
      <sheetName val="e220-66kV_23"/>
      <sheetName val="issue_summary_23"/>
      <sheetName val="iso-forms_23"/>
      <sheetName val="resis__coeffC12023"/>
      <sheetName val="SCHEMATIC_SKETCH23"/>
      <sheetName val="steam_outlet22"/>
      <sheetName val="MANDAY_RATE22"/>
      <sheetName val="Ins__of_Panels22"/>
      <sheetName val="Ins__of_MCB_DB22"/>
      <sheetName val="Pt_Wiring,_Ckt_main,_Sub_Main22"/>
      <sheetName val="Cable,_Cable_Termination22"/>
      <sheetName val="Earth_Exc,_Earthing,_Earth_Co22"/>
      <sheetName val="Ins_of_Light_Fixtures22"/>
      <sheetName val="Cable_Tray,_Steel,_LA,_Misc22"/>
      <sheetName val="REVENUES_&amp;_BS18"/>
      <sheetName val="Leg_1-118"/>
      <sheetName val="QOSWS_18"/>
      <sheetName val="Ref_Tables18"/>
      <sheetName val="Labour_&amp;_Plant18"/>
      <sheetName val="M_R_List_(2)18"/>
      <sheetName val="RAJU_ASSO18"/>
      <sheetName val="7_Other_Costs18"/>
      <sheetName val="water_prop_18"/>
      <sheetName val="RATE-ANAY_18"/>
      <sheetName val="A_3_718"/>
      <sheetName val="Sales_Cycle_Stages16"/>
      <sheetName val="Schedule_No_116"/>
      <sheetName val="Data_sheet16"/>
      <sheetName val="Sulphur_(2)15"/>
      <sheetName val="PV_FDN15"/>
      <sheetName val="Sch__Areas16"/>
      <sheetName val="NLD_-_Assum16"/>
      <sheetName val="Abstract_Sheet22"/>
      <sheetName val="F_116"/>
      <sheetName val="ROW_Compensation15"/>
      <sheetName val="Cash_Flow16"/>
      <sheetName val="Summary_Rates_From_Contract16"/>
      <sheetName val="LOCAL_RATES15"/>
      <sheetName val="bs_BP_04_SA15"/>
      <sheetName val="CABLE_DATA15"/>
      <sheetName val="Weightage_Factor15"/>
      <sheetName val="Front_end15"/>
      <sheetName val="Load_Details-220kV15"/>
      <sheetName val="Motor_Data15"/>
      <sheetName val="hori__vessel(E-895)15"/>
      <sheetName val="JOBS__UNDER_TURNKEY_BASIS15"/>
      <sheetName val="Gr_182_-_OHE15"/>
      <sheetName val="Costos_R_H__15"/>
      <sheetName val="except_wiring15"/>
      <sheetName val="Desgn(zone_I)9"/>
      <sheetName val="Break_down_adjustments9"/>
      <sheetName val="Activity_No_(A)_(_12)__9"/>
      <sheetName val="ETC Plant Cost"/>
      <sheetName val="BOQ civil"/>
      <sheetName val="3+620"/>
      <sheetName val="5+300(RHS) "/>
      <sheetName val="5+300(LHS)"/>
      <sheetName val="5-1(R)"/>
      <sheetName val="5-1(L)"/>
      <sheetName val="5-2(LHS) "/>
      <sheetName val="5-2(RHS)"/>
      <sheetName val="5-3(RHS) (2)"/>
      <sheetName val="6-1(R) "/>
      <sheetName val="14-2(LHS)"/>
      <sheetName val="25-3"/>
      <sheetName val="9-1(RHS) "/>
      <sheetName val="5-1(R) (2)"/>
      <sheetName val="9-1(LHS)"/>
      <sheetName val="9-3"/>
      <sheetName val="10-1"/>
      <sheetName val="10-2"/>
      <sheetName val="11-1"/>
      <sheetName val="12-1"/>
      <sheetName val="12-2"/>
      <sheetName val="13-1"/>
      <sheetName val="13-2"/>
      <sheetName val="14-3(LHS)"/>
      <sheetName val="14-3(RHS) "/>
      <sheetName val="15-1"/>
      <sheetName val="15-2"/>
      <sheetName val="15-3"/>
      <sheetName val="16-1(LHS) "/>
      <sheetName val="16-1(RHS)"/>
      <sheetName val="16-2"/>
      <sheetName val="17-1"/>
      <sheetName val="17-2"/>
      <sheetName val="19-2(LHS)"/>
      <sheetName val="21-1"/>
      <sheetName val="22-2(RHS)"/>
      <sheetName val="22-2(LHS"/>
      <sheetName val="25-2"/>
      <sheetName val="8-2"/>
      <sheetName val="0+790"/>
      <sheetName val="25-1"/>
      <sheetName val="34-2"/>
      <sheetName val="27-1 old"/>
      <sheetName val="31-2"/>
      <sheetName val="32-2"/>
      <sheetName val="33-1"/>
      <sheetName val="34-3"/>
      <sheetName val="35-1"/>
      <sheetName val="35-2"/>
      <sheetName val="7-1(LHS)"/>
      <sheetName val="37-1(RHS)"/>
      <sheetName val="37-1(LHS)"/>
      <sheetName val="28-4(LHS)"/>
      <sheetName val="28-4(RHS)  "/>
      <sheetName val="36-3(LHS)"/>
      <sheetName val="36-1"/>
      <sheetName val="8-1LHS"/>
      <sheetName val="8-1RHS "/>
      <sheetName val="14-1"/>
      <sheetName val="14-1 (20)"/>
      <sheetName val="14-2(RHS)"/>
      <sheetName val="18-1"/>
      <sheetName val="19-1"/>
      <sheetName val="24-1,"/>
      <sheetName val="26.-1"/>
      <sheetName val="27-1 new"/>
      <sheetName val="30-1"/>
      <sheetName val="30-3"/>
      <sheetName val="31-1"/>
      <sheetName val="33-2"/>
      <sheetName val="34-1"/>
      <sheetName val="38-1"/>
      <sheetName val="42-1"/>
      <sheetName val="43-1"/>
      <sheetName val="31-1 "/>
      <sheetName val="Definitions"/>
      <sheetName val="유동표"/>
      <sheetName val="제출내역 (2)"/>
      <sheetName val="COST"/>
      <sheetName val="3차설계"/>
      <sheetName val="corbel"/>
      <sheetName val="Longitudinal"/>
      <sheetName val="Cover sheet"/>
      <sheetName val=" Type III"/>
      <sheetName val=" Type I"/>
      <sheetName val="ord-lost_98&amp;99"/>
      <sheetName val="FT-001_R024"/>
      <sheetName val="FT-05-02_R024"/>
      <sheetName val="e220-66kV_24"/>
      <sheetName val="issue_summary_24"/>
      <sheetName val="iso-forms_24"/>
      <sheetName val="resis__coeffC12024"/>
      <sheetName val="SCHEMATIC_SKETCH24"/>
      <sheetName val="steam_outlet23"/>
      <sheetName val="MANDAY_RATE23"/>
      <sheetName val="Ins__of_Panels23"/>
      <sheetName val="Ins__of_MCB_DB23"/>
      <sheetName val="Pt_Wiring,_Ckt_main,_Sub_Main23"/>
      <sheetName val="Cable,_Cable_Termination23"/>
      <sheetName val="Earth_Exc,_Earthing,_Earth_Co23"/>
      <sheetName val="Ins_of_Light_Fixtures23"/>
      <sheetName val="Cable_Tray,_Steel,_LA,_Misc23"/>
      <sheetName val="Sulphur_(2)16"/>
      <sheetName val="REVENUES_&amp;_BS19"/>
      <sheetName val="Leg_1-119"/>
      <sheetName val="QOSWS_19"/>
      <sheetName val="Ref_Tables19"/>
      <sheetName val="Labour_&amp;_Plant19"/>
      <sheetName val="M_R_List_(2)19"/>
      <sheetName val="RAJU_ASSO19"/>
      <sheetName val="7_Other_Costs19"/>
      <sheetName val="water_prop_19"/>
      <sheetName val="Sales_Cycle_Stages17"/>
      <sheetName val="Schedule_No_117"/>
      <sheetName val="RATE-ANAY_19"/>
      <sheetName val="Data_sheet17"/>
      <sheetName val="A_3_719"/>
      <sheetName val="PV_FDN16"/>
      <sheetName val="Sch__Areas17"/>
      <sheetName val="NLD_-_Assum17"/>
      <sheetName val="Abstract_Sheet23"/>
      <sheetName val="F_117"/>
      <sheetName val="Cash_Flow17"/>
      <sheetName val="Summary_Rates_From_Contract17"/>
      <sheetName val="ROW_Compensation16"/>
      <sheetName val="LOCAL_RATES16"/>
      <sheetName val="bs_BP_04_SA16"/>
      <sheetName val="CABLE_DATA16"/>
      <sheetName val="Weightage_Factor16"/>
      <sheetName val="Front_end16"/>
      <sheetName val="Load_Details-220kV16"/>
      <sheetName val="Motor_Data16"/>
      <sheetName val="hori__vessel(E-895)16"/>
      <sheetName val="JOBS__UNDER_TURNKEY_BASIS16"/>
      <sheetName val="Gr_182_-_OHE16"/>
      <sheetName val="Costos_R_H__16"/>
      <sheetName val="except_wiring16"/>
      <sheetName val="Desgn(zone_I)10"/>
      <sheetName val="Break_down_adjustments10"/>
      <sheetName val="Activity_No_(A)_(_12)__10"/>
      <sheetName val="FT-001_R025"/>
      <sheetName val="FT-05-02_R025"/>
      <sheetName val="e220-66kV_25"/>
      <sheetName val="issue_summary_25"/>
      <sheetName val="iso-forms_25"/>
      <sheetName val="resis__coeffC12025"/>
      <sheetName val="SCHEMATIC_SKETCH25"/>
      <sheetName val="steam_outlet24"/>
      <sheetName val="MANDAY_RATE24"/>
      <sheetName val="Ins__of_Panels24"/>
      <sheetName val="Ins__of_MCB_DB24"/>
      <sheetName val="Pt_Wiring,_Ckt_main,_Sub_Main24"/>
      <sheetName val="Cable,_Cable_Termination24"/>
      <sheetName val="Earth_Exc,_Earthing,_Earth_Co24"/>
      <sheetName val="Ins_of_Light_Fixtures24"/>
      <sheetName val="Cable_Tray,_Steel,_LA,_Misc24"/>
      <sheetName val="REVENUES_&amp;_BS20"/>
      <sheetName val="Leg_1-120"/>
      <sheetName val="QOSWS_20"/>
      <sheetName val="Ref_Tables20"/>
      <sheetName val="Labour_&amp;_Plant20"/>
      <sheetName val="M_R_List_(2)20"/>
      <sheetName val="RAJU_ASSO20"/>
      <sheetName val="7_Other_Costs20"/>
      <sheetName val="water_prop_20"/>
      <sheetName val="RATE-ANAY_20"/>
      <sheetName val="A_3_720"/>
      <sheetName val="Sales_Cycle_Stages18"/>
      <sheetName val="Schedule_No_118"/>
      <sheetName val="Data_sheet18"/>
      <sheetName val="Sulphur_(2)17"/>
      <sheetName val="PV_FDN17"/>
      <sheetName val="Sch__Areas18"/>
      <sheetName val="NLD_-_Assum18"/>
      <sheetName val="Abstract_Sheet24"/>
      <sheetName val="F_118"/>
      <sheetName val="ROW_Compensation17"/>
      <sheetName val="Cash_Flow18"/>
      <sheetName val="Summary_Rates_From_Contract18"/>
      <sheetName val="LOCAL_RATES17"/>
      <sheetName val="bs_BP_04_SA17"/>
      <sheetName val="CABLE_DATA17"/>
      <sheetName val="Weightage_Factor17"/>
      <sheetName val="Front_end17"/>
      <sheetName val="Load_Details-220kV17"/>
      <sheetName val="Motor_Data17"/>
      <sheetName val="hori__vessel(E-895)17"/>
      <sheetName val="JOBS__UNDER_TURNKEY_BASIS17"/>
      <sheetName val="Gr_182_-_OHE17"/>
      <sheetName val="Costos_R_H__17"/>
      <sheetName val="except_wiring17"/>
      <sheetName val="Desgn(zone_I)11"/>
      <sheetName val="Break_down_adjustments11"/>
      <sheetName val="Activity_No_(A)_(_12)__11"/>
      <sheetName val="FT-001_R026"/>
      <sheetName val="FT-05-02_R026"/>
      <sheetName val="e220-66kV_26"/>
      <sheetName val="issue_summary_26"/>
      <sheetName val="iso-forms_26"/>
      <sheetName val="resis__coeffC12026"/>
      <sheetName val="SCHEMATIC_SKETCH26"/>
      <sheetName val="steam_outlet25"/>
      <sheetName val="MANDAY_RATE25"/>
      <sheetName val="Ins__of_Panels25"/>
      <sheetName val="Ins__of_MCB_DB25"/>
      <sheetName val="Pt_Wiring,_Ckt_main,_Sub_Main25"/>
      <sheetName val="Cable,_Cable_Termination25"/>
      <sheetName val="Earth_Exc,_Earthing,_Earth_Co25"/>
      <sheetName val="Ins_of_Light_Fixtures25"/>
      <sheetName val="Cable_Tray,_Steel,_LA,_Misc25"/>
      <sheetName val="Sulphur_(2)18"/>
      <sheetName val="REVENUES_&amp;_BS21"/>
      <sheetName val="Leg_1-121"/>
      <sheetName val="QOSWS_21"/>
      <sheetName val="Ref_Tables21"/>
      <sheetName val="Labour_&amp;_Plant21"/>
      <sheetName val="M_R_List_(2)21"/>
      <sheetName val="RAJU_ASSO21"/>
      <sheetName val="7_Other_Costs21"/>
      <sheetName val="water_prop_21"/>
      <sheetName val="Sales_Cycle_Stages19"/>
      <sheetName val="Schedule_No_119"/>
      <sheetName val="RATE-ANAY_21"/>
      <sheetName val="Data_sheet19"/>
      <sheetName val="A_3_721"/>
      <sheetName val="PV_FDN18"/>
      <sheetName val="Sch__Areas19"/>
      <sheetName val="NLD_-_Assum19"/>
      <sheetName val="Abstract_Sheet25"/>
      <sheetName val="F_119"/>
      <sheetName val="Cash_Flow19"/>
      <sheetName val="Summary_Rates_From_Contract19"/>
      <sheetName val="ROW_Compensation18"/>
      <sheetName val="LOCAL_RATES18"/>
      <sheetName val="bs_BP_04_SA18"/>
      <sheetName val="CABLE_DATA18"/>
      <sheetName val="Weightage_Factor18"/>
      <sheetName val="Front_end18"/>
      <sheetName val="Load_Details-220kV18"/>
      <sheetName val="Motor_Data18"/>
      <sheetName val="hori__vessel(E-895)18"/>
      <sheetName val="JOBS__UNDER_TURNKEY_BASIS18"/>
      <sheetName val="Gr_182_-_OHE18"/>
      <sheetName val="Costos_R_H__18"/>
      <sheetName val="except_wiring18"/>
      <sheetName val="Desgn(zone_I)12"/>
      <sheetName val="Break_down_adjustments12"/>
      <sheetName val="Activity_No_(A)_(_12)__12"/>
      <sheetName val="FT-001_R031"/>
      <sheetName val="FT-05-02_R031"/>
      <sheetName val="e220-66kV_31"/>
      <sheetName val="issue_summary_31"/>
      <sheetName val="iso-forms_31"/>
      <sheetName val="resis__coeffC12031"/>
      <sheetName val="SCHEMATIC_SKETCH31"/>
      <sheetName val="steam_outlet30"/>
      <sheetName val="MANDAY_RATE30"/>
      <sheetName val="Ins__of_Panels30"/>
      <sheetName val="Ins__of_MCB_DB30"/>
      <sheetName val="Pt_Wiring,_Ckt_main,_Sub_Main30"/>
      <sheetName val="Cable,_Cable_Termination30"/>
      <sheetName val="Earth_Exc,_Earthing,_Earth_Co30"/>
      <sheetName val="Ins_of_Light_Fixtures30"/>
      <sheetName val="Cable_Tray,_Steel,_LA,_Misc30"/>
      <sheetName val="Sulphur_(2)23"/>
      <sheetName val="REVENUES_&amp;_BS26"/>
      <sheetName val="Leg_1-126"/>
      <sheetName val="QOSWS_26"/>
      <sheetName val="Ref_Tables26"/>
      <sheetName val="Labour_&amp;_Plant26"/>
      <sheetName val="M_R_List_(2)26"/>
      <sheetName val="RAJU_ASSO26"/>
      <sheetName val="7_Other_Costs26"/>
      <sheetName val="water_prop_26"/>
      <sheetName val="Sales_Cycle_Stages24"/>
      <sheetName val="Schedule_No_124"/>
      <sheetName val="RATE-ANAY_26"/>
      <sheetName val="Data_sheet24"/>
      <sheetName val="A_3_726"/>
      <sheetName val="PV_FDN23"/>
      <sheetName val="Sch__Areas24"/>
      <sheetName val="NLD_-_Assum24"/>
      <sheetName val="Abstract_Sheet30"/>
      <sheetName val="F_124"/>
      <sheetName val="Cash_Flow24"/>
      <sheetName val="Summary_Rates_From_Contract24"/>
      <sheetName val="ROW_Compensation23"/>
      <sheetName val="LOCAL_RATES23"/>
      <sheetName val="bs_BP_04_SA23"/>
      <sheetName val="CABLE_DATA23"/>
      <sheetName val="Weightage_Factor23"/>
      <sheetName val="Front_end23"/>
      <sheetName val="Load_Details-220kV23"/>
      <sheetName val="Motor_Data23"/>
      <sheetName val="hori__vessel(E-895)23"/>
      <sheetName val="JOBS__UNDER_TURNKEY_BASIS23"/>
      <sheetName val="Gr_182_-_OHE23"/>
      <sheetName val="Costos_R_H__23"/>
      <sheetName val="except_wiring23"/>
      <sheetName val="Desgn(zone_I)17"/>
      <sheetName val="Break_down_adjustments17"/>
      <sheetName val="Activity_No_(A)_(_12)__17"/>
      <sheetName val="FT-001_R030"/>
      <sheetName val="FT-05-02_R030"/>
      <sheetName val="e220-66kV_30"/>
      <sheetName val="issue_summary_30"/>
      <sheetName val="iso-forms_30"/>
      <sheetName val="resis__coeffC12030"/>
      <sheetName val="SCHEMATIC_SKETCH30"/>
      <sheetName val="steam_outlet29"/>
      <sheetName val="MANDAY_RATE29"/>
      <sheetName val="Ins__of_Panels29"/>
      <sheetName val="Ins__of_MCB_DB29"/>
      <sheetName val="Pt_Wiring,_Ckt_main,_Sub_Main29"/>
      <sheetName val="Cable,_Cable_Termination29"/>
      <sheetName val="Earth_Exc,_Earthing,_Earth_Co29"/>
      <sheetName val="Ins_of_Light_Fixtures29"/>
      <sheetName val="Cable_Tray,_Steel,_LA,_Misc29"/>
      <sheetName val="Sulphur_(2)22"/>
      <sheetName val="REVENUES_&amp;_BS25"/>
      <sheetName val="Leg_1-125"/>
      <sheetName val="QOSWS_25"/>
      <sheetName val="Ref_Tables25"/>
      <sheetName val="Labour_&amp;_Plant25"/>
      <sheetName val="M_R_List_(2)25"/>
      <sheetName val="RAJU_ASSO25"/>
      <sheetName val="7_Other_Costs25"/>
      <sheetName val="water_prop_25"/>
      <sheetName val="Sales_Cycle_Stages23"/>
      <sheetName val="Schedule_No_123"/>
      <sheetName val="RATE-ANAY_25"/>
      <sheetName val="Data_sheet23"/>
      <sheetName val="A_3_725"/>
      <sheetName val="PV_FDN22"/>
      <sheetName val="Sch__Areas23"/>
      <sheetName val="NLD_-_Assum23"/>
      <sheetName val="Abstract_Sheet29"/>
      <sheetName val="F_123"/>
      <sheetName val="Cash_Flow23"/>
      <sheetName val="Summary_Rates_From_Contract23"/>
      <sheetName val="ROW_Compensation22"/>
      <sheetName val="LOCAL_RATES22"/>
      <sheetName val="bs_BP_04_SA22"/>
      <sheetName val="CABLE_DATA22"/>
      <sheetName val="Weightage_Factor22"/>
      <sheetName val="Front_end22"/>
      <sheetName val="Load_Details-220kV22"/>
      <sheetName val="Motor_Data22"/>
      <sheetName val="hori__vessel(E-895)22"/>
      <sheetName val="JOBS__UNDER_TURNKEY_BASIS22"/>
      <sheetName val="Gr_182_-_OHE22"/>
      <sheetName val="Costos_R_H__22"/>
      <sheetName val="except_wiring22"/>
      <sheetName val="Desgn(zone_I)16"/>
      <sheetName val="Break_down_adjustments16"/>
      <sheetName val="Activity_No_(A)_(_12)__16"/>
      <sheetName val="FT-001_R027"/>
      <sheetName val="FT-05-02_R027"/>
      <sheetName val="e220-66kV_27"/>
      <sheetName val="issue_summary_27"/>
      <sheetName val="iso-forms_27"/>
      <sheetName val="resis__coeffC12027"/>
      <sheetName val="SCHEMATIC_SKETCH27"/>
      <sheetName val="steam_outlet26"/>
      <sheetName val="MANDAY_RATE26"/>
      <sheetName val="Ins__of_Panels26"/>
      <sheetName val="Ins__of_MCB_DB26"/>
      <sheetName val="Pt_Wiring,_Ckt_main,_Sub_Main26"/>
      <sheetName val="Cable,_Cable_Termination26"/>
      <sheetName val="Earth_Exc,_Earthing,_Earth_Co26"/>
      <sheetName val="Ins_of_Light_Fixtures26"/>
      <sheetName val="Cable_Tray,_Steel,_LA,_Misc26"/>
      <sheetName val="Sulphur_(2)19"/>
      <sheetName val="REVENUES_&amp;_BS22"/>
      <sheetName val="Leg_1-122"/>
      <sheetName val="QOSWS_22"/>
      <sheetName val="Ref_Tables22"/>
      <sheetName val="Labour_&amp;_Plant22"/>
      <sheetName val="M_R_List_(2)22"/>
      <sheetName val="RAJU_ASSO22"/>
      <sheetName val="7_Other_Costs22"/>
      <sheetName val="water_prop_22"/>
      <sheetName val="Sales_Cycle_Stages20"/>
      <sheetName val="Schedule_No_120"/>
      <sheetName val="RATE-ANAY_22"/>
      <sheetName val="Data_sheet20"/>
      <sheetName val="A_3_722"/>
      <sheetName val="PV_FDN19"/>
      <sheetName val="Sch__Areas20"/>
      <sheetName val="NLD_-_Assum20"/>
      <sheetName val="Abstract_Sheet26"/>
      <sheetName val="F_120"/>
      <sheetName val="Cash_Flow20"/>
      <sheetName val="Summary_Rates_From_Contract20"/>
      <sheetName val="ROW_Compensation19"/>
      <sheetName val="LOCAL_RATES19"/>
      <sheetName val="bs_BP_04_SA19"/>
      <sheetName val="CABLE_DATA19"/>
      <sheetName val="Weightage_Factor19"/>
      <sheetName val="Front_end19"/>
      <sheetName val="Load_Details-220kV19"/>
      <sheetName val="Motor_Data19"/>
      <sheetName val="hori__vessel(E-895)19"/>
      <sheetName val="JOBS__UNDER_TURNKEY_BASIS19"/>
      <sheetName val="Gr_182_-_OHE19"/>
      <sheetName val="Costos_R_H__19"/>
      <sheetName val="except_wiring19"/>
      <sheetName val="Desgn(zone_I)13"/>
      <sheetName val="Break_down_adjustments13"/>
      <sheetName val="Activity_No_(A)_(_12)__13"/>
      <sheetName val="FT-001_R028"/>
      <sheetName val="FT-05-02_R028"/>
      <sheetName val="e220-66kV_28"/>
      <sheetName val="issue_summary_28"/>
      <sheetName val="iso-forms_28"/>
      <sheetName val="resis__coeffC12028"/>
      <sheetName val="SCHEMATIC_SKETCH28"/>
      <sheetName val="steam_outlet27"/>
      <sheetName val="MANDAY_RATE27"/>
      <sheetName val="Ins__of_Panels27"/>
      <sheetName val="Ins__of_MCB_DB27"/>
      <sheetName val="Pt_Wiring,_Ckt_main,_Sub_Main27"/>
      <sheetName val="Cable,_Cable_Termination27"/>
      <sheetName val="Earth_Exc,_Earthing,_Earth_Co27"/>
      <sheetName val="Ins_of_Light_Fixtures27"/>
      <sheetName val="Cable_Tray,_Steel,_LA,_Misc27"/>
      <sheetName val="Sulphur_(2)20"/>
      <sheetName val="REVENUES_&amp;_BS23"/>
      <sheetName val="Leg_1-123"/>
      <sheetName val="QOSWS_23"/>
      <sheetName val="Ref_Tables23"/>
      <sheetName val="Labour_&amp;_Plant23"/>
      <sheetName val="M_R_List_(2)23"/>
      <sheetName val="RAJU_ASSO23"/>
      <sheetName val="7_Other_Costs23"/>
      <sheetName val="water_prop_23"/>
      <sheetName val="Sales_Cycle_Stages21"/>
      <sheetName val="Schedule_No_121"/>
      <sheetName val="RATE-ANAY_23"/>
      <sheetName val="Data_sheet21"/>
      <sheetName val="A_3_723"/>
      <sheetName val="PV_FDN20"/>
      <sheetName val="Sch__Areas21"/>
      <sheetName val="NLD_-_Assum21"/>
      <sheetName val="Abstract_Sheet27"/>
      <sheetName val="F_121"/>
      <sheetName val="Cash_Flow21"/>
      <sheetName val="Summary_Rates_From_Contract21"/>
      <sheetName val="ROW_Compensation20"/>
      <sheetName val="LOCAL_RATES20"/>
      <sheetName val="bs_BP_04_SA20"/>
      <sheetName val="CABLE_DATA20"/>
      <sheetName val="Weightage_Factor20"/>
      <sheetName val="Front_end20"/>
      <sheetName val="Load_Details-220kV20"/>
      <sheetName val="Motor_Data20"/>
      <sheetName val="hori__vessel(E-895)20"/>
      <sheetName val="JOBS__UNDER_TURNKEY_BASIS20"/>
      <sheetName val="Gr_182_-_OHE20"/>
      <sheetName val="Costos_R_H__20"/>
      <sheetName val="except_wiring20"/>
      <sheetName val="Desgn(zone_I)14"/>
      <sheetName val="Break_down_adjustments14"/>
      <sheetName val="Activity_No_(A)_(_12)__14"/>
      <sheetName val="FT-001_R029"/>
      <sheetName val="FT-05-02_R029"/>
      <sheetName val="e220-66kV_29"/>
      <sheetName val="issue_summary_29"/>
      <sheetName val="iso-forms_29"/>
      <sheetName val="resis__coeffC12029"/>
      <sheetName val="SCHEMATIC_SKETCH29"/>
      <sheetName val="steam_outlet28"/>
      <sheetName val="MANDAY_RATE28"/>
      <sheetName val="Ins__of_Panels28"/>
      <sheetName val="Ins__of_MCB_DB28"/>
      <sheetName val="Pt_Wiring,_Ckt_main,_Sub_Main28"/>
      <sheetName val="Cable,_Cable_Termination28"/>
      <sheetName val="Earth_Exc,_Earthing,_Earth_Co28"/>
      <sheetName val="Ins_of_Light_Fixtures28"/>
      <sheetName val="Cable_Tray,_Steel,_LA,_Misc28"/>
      <sheetName val="Sulphur_(2)21"/>
      <sheetName val="REVENUES_&amp;_BS24"/>
      <sheetName val="Leg_1-124"/>
      <sheetName val="QOSWS_24"/>
      <sheetName val="Ref_Tables24"/>
      <sheetName val="Labour_&amp;_Plant24"/>
      <sheetName val="M_R_List_(2)24"/>
      <sheetName val="RAJU_ASSO24"/>
      <sheetName val="7_Other_Costs24"/>
      <sheetName val="water_prop_24"/>
      <sheetName val="Sales_Cycle_Stages22"/>
      <sheetName val="Schedule_No_122"/>
      <sheetName val="RATE-ANAY_24"/>
      <sheetName val="Data_sheet22"/>
      <sheetName val="A_3_724"/>
      <sheetName val="PV_FDN21"/>
      <sheetName val="Sch__Areas22"/>
      <sheetName val="NLD_-_Assum22"/>
      <sheetName val="Abstract_Sheet28"/>
      <sheetName val="F_122"/>
      <sheetName val="Cash_Flow22"/>
      <sheetName val="Summary_Rates_From_Contract22"/>
      <sheetName val="ROW_Compensation21"/>
      <sheetName val="LOCAL_RATES21"/>
      <sheetName val="bs_BP_04_SA21"/>
      <sheetName val="CABLE_DATA21"/>
      <sheetName val="Weightage_Factor21"/>
      <sheetName val="Front_end21"/>
      <sheetName val="Load_Details-220kV21"/>
      <sheetName val="Motor_Data21"/>
      <sheetName val="hori__vessel(E-895)21"/>
      <sheetName val="JOBS__UNDER_TURNKEY_BASIS21"/>
      <sheetName val="Gr_182_-_OHE21"/>
      <sheetName val="Costos_R_H__21"/>
      <sheetName val="except_wiring21"/>
      <sheetName val="Desgn(zone_I)15"/>
      <sheetName val="Break_down_adjustments15"/>
      <sheetName val="Activity_No_(A)_(_12)__15"/>
      <sheetName val="FT-001_R032"/>
      <sheetName val="FT-05-02_R032"/>
      <sheetName val="e220-66kV_32"/>
      <sheetName val="issue_summary_32"/>
      <sheetName val="iso-forms_32"/>
      <sheetName val="resis__coeffC12032"/>
      <sheetName val="SCHEMATIC_SKETCH32"/>
      <sheetName val="steam_outlet31"/>
      <sheetName val="MANDAY_RATE31"/>
      <sheetName val="Ins__of_Panels31"/>
      <sheetName val="Ins__of_MCB_DB31"/>
      <sheetName val="Pt_Wiring,_Ckt_main,_Sub_Main31"/>
      <sheetName val="Cable,_Cable_Termination31"/>
      <sheetName val="Earth_Exc,_Earthing,_Earth_Co31"/>
      <sheetName val="Ins_of_Light_Fixtures31"/>
      <sheetName val="Cable_Tray,_Steel,_LA,_Misc31"/>
      <sheetName val="Sulphur_(2)24"/>
      <sheetName val="REVENUES_&amp;_BS27"/>
      <sheetName val="Leg_1-127"/>
      <sheetName val="QOSWS_27"/>
      <sheetName val="Ref_Tables27"/>
      <sheetName val="Labour_&amp;_Plant27"/>
      <sheetName val="M_R_List_(2)27"/>
      <sheetName val="RAJU_ASSO27"/>
      <sheetName val="7_Other_Costs27"/>
      <sheetName val="water_prop_27"/>
      <sheetName val="Sales_Cycle_Stages25"/>
      <sheetName val="Schedule_No_125"/>
      <sheetName val="RATE-ANAY_27"/>
      <sheetName val="Data_sheet25"/>
      <sheetName val="A_3_727"/>
      <sheetName val="PV_FDN24"/>
      <sheetName val="Sch__Areas25"/>
      <sheetName val="NLD_-_Assum25"/>
      <sheetName val="Abstract_Sheet31"/>
      <sheetName val="F_125"/>
      <sheetName val="Cash_Flow25"/>
      <sheetName val="Summary_Rates_From_Contract25"/>
      <sheetName val="ROW_Compensation24"/>
      <sheetName val="LOCAL_RATES24"/>
      <sheetName val="bs_BP_04_SA24"/>
      <sheetName val="CABLE_DATA24"/>
      <sheetName val="Weightage_Factor24"/>
      <sheetName val="Front_end24"/>
      <sheetName val="Load_Details-220kV24"/>
      <sheetName val="Motor_Data24"/>
      <sheetName val="hori__vessel(E-895)24"/>
      <sheetName val="JOBS__UNDER_TURNKEY_BASIS24"/>
      <sheetName val="Gr_182_-_OHE24"/>
      <sheetName val="Costos_R_H__24"/>
      <sheetName val="except_wiring24"/>
      <sheetName val="Desgn(zone_I)18"/>
      <sheetName val="Break_down_adjustments18"/>
      <sheetName val="Activity_No_(A)_(_12)__18"/>
      <sheetName val="FT-001_R035"/>
      <sheetName val="FT-05-02_R035"/>
      <sheetName val="e220-66kV_35"/>
      <sheetName val="issue_summary_35"/>
      <sheetName val="iso-forms_35"/>
      <sheetName val="resis__coeffC12035"/>
      <sheetName val="SCHEMATIC_SKETCH35"/>
      <sheetName val="steam_outlet34"/>
      <sheetName val="MANDAY_RATE34"/>
      <sheetName val="Ins__of_Panels34"/>
      <sheetName val="Ins__of_MCB_DB34"/>
      <sheetName val="Pt_Wiring,_Ckt_main,_Sub_Main34"/>
      <sheetName val="Cable,_Cable_Termination34"/>
      <sheetName val="Earth_Exc,_Earthing,_Earth_Co34"/>
      <sheetName val="Ins_of_Light_Fixtures34"/>
      <sheetName val="Cable_Tray,_Steel,_LA,_Misc34"/>
      <sheetName val="Sulphur_(2)27"/>
      <sheetName val="REVENUES_&amp;_BS30"/>
      <sheetName val="Leg_1-130"/>
      <sheetName val="QOSWS_30"/>
      <sheetName val="Ref_Tables30"/>
      <sheetName val="Labour_&amp;_Plant30"/>
      <sheetName val="M_R_List_(2)30"/>
      <sheetName val="RAJU_ASSO30"/>
      <sheetName val="7_Other_Costs30"/>
      <sheetName val="water_prop_30"/>
      <sheetName val="Sales_Cycle_Stages28"/>
      <sheetName val="Schedule_No_128"/>
      <sheetName val="RATE-ANAY_30"/>
      <sheetName val="Data_sheet28"/>
      <sheetName val="A_3_730"/>
      <sheetName val="PV_FDN27"/>
      <sheetName val="Sch__Areas28"/>
      <sheetName val="NLD_-_Assum28"/>
      <sheetName val="Abstract_Sheet34"/>
      <sheetName val="F_128"/>
      <sheetName val="Cash_Flow28"/>
      <sheetName val="Summary_Rates_From_Contract28"/>
      <sheetName val="ROW_Compensation27"/>
      <sheetName val="LOCAL_RATES27"/>
      <sheetName val="bs_BP_04_SA27"/>
      <sheetName val="CABLE_DATA27"/>
      <sheetName val="Weightage_Factor27"/>
      <sheetName val="Front_end27"/>
      <sheetName val="Load_Details-220kV27"/>
      <sheetName val="Motor_Data27"/>
      <sheetName val="hori__vessel(E-895)27"/>
      <sheetName val="JOBS__UNDER_TURNKEY_BASIS27"/>
      <sheetName val="Gr_182_-_OHE27"/>
      <sheetName val="Costos_R_H__27"/>
      <sheetName val="except_wiring27"/>
      <sheetName val="Desgn(zone_I)21"/>
      <sheetName val="Break_down_adjustments21"/>
      <sheetName val="Activity_No_(A)_(_12)__21"/>
      <sheetName val="FT-001_R033"/>
      <sheetName val="FT-05-02_R033"/>
      <sheetName val="e220-66kV_33"/>
      <sheetName val="issue_summary_33"/>
      <sheetName val="iso-forms_33"/>
      <sheetName val="resis__coeffC12033"/>
      <sheetName val="SCHEMATIC_SKETCH33"/>
      <sheetName val="steam_outlet32"/>
      <sheetName val="MANDAY_RATE32"/>
      <sheetName val="Ins__of_Panels32"/>
      <sheetName val="Ins__of_MCB_DB32"/>
      <sheetName val="Pt_Wiring,_Ckt_main,_Sub_Main32"/>
      <sheetName val="Cable,_Cable_Termination32"/>
      <sheetName val="Earth_Exc,_Earthing,_Earth_Co32"/>
      <sheetName val="Ins_of_Light_Fixtures32"/>
      <sheetName val="Cable_Tray,_Steel,_LA,_Misc32"/>
      <sheetName val="Sulphur_(2)25"/>
      <sheetName val="REVENUES_&amp;_BS28"/>
      <sheetName val="Leg_1-128"/>
      <sheetName val="QOSWS_28"/>
      <sheetName val="Ref_Tables28"/>
      <sheetName val="Labour_&amp;_Plant28"/>
      <sheetName val="M_R_List_(2)28"/>
      <sheetName val="RAJU_ASSO28"/>
      <sheetName val="7_Other_Costs28"/>
      <sheetName val="water_prop_28"/>
      <sheetName val="Sales_Cycle_Stages26"/>
      <sheetName val="Schedule_No_126"/>
      <sheetName val="RATE-ANAY_28"/>
      <sheetName val="Data_sheet26"/>
      <sheetName val="A_3_728"/>
      <sheetName val="PV_FDN25"/>
      <sheetName val="Sch__Areas26"/>
      <sheetName val="NLD_-_Assum26"/>
      <sheetName val="Abstract_Sheet32"/>
      <sheetName val="F_126"/>
      <sheetName val="Cash_Flow26"/>
      <sheetName val="Summary_Rates_From_Contract26"/>
      <sheetName val="ROW_Compensation25"/>
      <sheetName val="LOCAL_RATES25"/>
      <sheetName val="bs_BP_04_SA25"/>
      <sheetName val="CABLE_DATA25"/>
      <sheetName val="Weightage_Factor25"/>
      <sheetName val="Front_end25"/>
      <sheetName val="Load_Details-220kV25"/>
      <sheetName val="Motor_Data25"/>
      <sheetName val="hori__vessel(E-895)25"/>
      <sheetName val="JOBS__UNDER_TURNKEY_BASIS25"/>
      <sheetName val="Gr_182_-_OHE25"/>
      <sheetName val="Costos_R_H__25"/>
      <sheetName val="except_wiring25"/>
      <sheetName val="Desgn(zone_I)19"/>
      <sheetName val="Break_down_adjustments19"/>
      <sheetName val="Activity_No_(A)_(_12)__19"/>
      <sheetName val="FT-001_R034"/>
      <sheetName val="FT-05-02_R034"/>
      <sheetName val="e220-66kV_34"/>
      <sheetName val="issue_summary_34"/>
      <sheetName val="iso-forms_34"/>
      <sheetName val="resis__coeffC12034"/>
      <sheetName val="SCHEMATIC_SKETCH34"/>
      <sheetName val="steam_outlet33"/>
      <sheetName val="MANDAY_RATE33"/>
      <sheetName val="Ins__of_Panels33"/>
      <sheetName val="Ins__of_MCB_DB33"/>
      <sheetName val="Pt_Wiring,_Ckt_main,_Sub_Main33"/>
      <sheetName val="Cable,_Cable_Termination33"/>
      <sheetName val="Earth_Exc,_Earthing,_Earth_Co33"/>
      <sheetName val="Ins_of_Light_Fixtures33"/>
      <sheetName val="Cable_Tray,_Steel,_LA,_Misc33"/>
      <sheetName val="Sulphur_(2)26"/>
      <sheetName val="REVENUES_&amp;_BS29"/>
      <sheetName val="Leg_1-129"/>
      <sheetName val="QOSWS_29"/>
      <sheetName val="Ref_Tables29"/>
      <sheetName val="Labour_&amp;_Plant29"/>
      <sheetName val="M_R_List_(2)29"/>
      <sheetName val="RAJU_ASSO29"/>
      <sheetName val="7_Other_Costs29"/>
      <sheetName val="water_prop_29"/>
      <sheetName val="Sales_Cycle_Stages27"/>
      <sheetName val="Schedule_No_127"/>
      <sheetName val="RATE-ANAY_29"/>
      <sheetName val="Data_sheet27"/>
      <sheetName val="A_3_729"/>
      <sheetName val="PV_FDN26"/>
      <sheetName val="Sch__Areas27"/>
      <sheetName val="NLD_-_Assum27"/>
      <sheetName val="Abstract_Sheet33"/>
      <sheetName val="F_127"/>
      <sheetName val="Cash_Flow27"/>
      <sheetName val="Summary_Rates_From_Contract27"/>
      <sheetName val="ROW_Compensation26"/>
      <sheetName val="LOCAL_RATES26"/>
      <sheetName val="bs_BP_04_SA26"/>
      <sheetName val="CABLE_DATA26"/>
      <sheetName val="Weightage_Factor26"/>
      <sheetName val="Front_end26"/>
      <sheetName val="Load_Details-220kV26"/>
      <sheetName val="Motor_Data26"/>
      <sheetName val="hori__vessel(E-895)26"/>
      <sheetName val="JOBS__UNDER_TURNKEY_BASIS26"/>
      <sheetName val="Gr_182_-_OHE26"/>
      <sheetName val="Costos_R_H__26"/>
      <sheetName val="except_wiring26"/>
      <sheetName val="Desgn(zone_I)20"/>
      <sheetName val="Break_down_adjustments20"/>
      <sheetName val="Activity_No_(A)_(_12)__20"/>
      <sheetName val="ETC_Plant_Cost"/>
      <sheetName val="ETC_Plant_Cost1"/>
      <sheetName val="FT-001_R036"/>
      <sheetName val="FT-05-02_R036"/>
      <sheetName val="e220-66kV_36"/>
      <sheetName val="issue_summary_36"/>
      <sheetName val="iso-forms_36"/>
      <sheetName val="resis__coeffC12036"/>
      <sheetName val="SCHEMATIC_SKETCH36"/>
      <sheetName val="steam_outlet35"/>
      <sheetName val="MANDAY_RATE35"/>
      <sheetName val="Ins__of_Panels35"/>
      <sheetName val="Ins__of_MCB_DB35"/>
      <sheetName val="Pt_Wiring,_Ckt_main,_Sub_Main35"/>
      <sheetName val="Cable,_Cable_Termination35"/>
      <sheetName val="Earth_Exc,_Earthing,_Earth_Co35"/>
      <sheetName val="Ins_of_Light_Fixtures35"/>
      <sheetName val="Cable_Tray,_Steel,_LA,_Misc35"/>
      <sheetName val="Sulphur_(2)28"/>
      <sheetName val="REVENUES_&amp;_BS31"/>
      <sheetName val="Leg_1-131"/>
      <sheetName val="QOSWS_31"/>
      <sheetName val="Ref_Tables31"/>
      <sheetName val="Labour_&amp;_Plant31"/>
      <sheetName val="M_R_List_(2)31"/>
      <sheetName val="RAJU_ASSO31"/>
      <sheetName val="7_Other_Costs31"/>
      <sheetName val="water_prop_31"/>
      <sheetName val="Sales_Cycle_Stages29"/>
      <sheetName val="Schedule_No_129"/>
      <sheetName val="RATE-ANAY_31"/>
      <sheetName val="Data_sheet29"/>
      <sheetName val="A_3_731"/>
      <sheetName val="PV_FDN28"/>
      <sheetName val="Sch__Areas29"/>
      <sheetName val="NLD_-_Assum29"/>
      <sheetName val="Abstract_Sheet35"/>
      <sheetName val="F_129"/>
      <sheetName val="Cash_Flow29"/>
      <sheetName val="Summary_Rates_From_Contract29"/>
      <sheetName val="ROW_Compensation28"/>
      <sheetName val="LOCAL_RATES28"/>
      <sheetName val="bs_BP_04_SA28"/>
      <sheetName val="CABLE_DATA28"/>
      <sheetName val="Weightage_Factor28"/>
      <sheetName val="Front_end28"/>
      <sheetName val="Load_Details-220kV28"/>
      <sheetName val="Motor_Data28"/>
      <sheetName val="hori__vessel(E-895)28"/>
      <sheetName val="JOBS__UNDER_TURNKEY_BASIS28"/>
      <sheetName val="Gr_182_-_OHE28"/>
      <sheetName val="Costos_R_H__28"/>
      <sheetName val="except_wiring28"/>
      <sheetName val="Desgn(zone_I)22"/>
      <sheetName val="Break_down_adjustments22"/>
      <sheetName val="Activity_No_(A)_(_12)__22"/>
      <sheetName val="ETC_Plant_Cost2"/>
      <sheetName val="BOQ_civil"/>
      <sheetName val="5+300(RHS)_"/>
      <sheetName val="5-2(LHS)_"/>
      <sheetName val="5-3(RHS)_(2)"/>
      <sheetName val="6-1(R)_"/>
      <sheetName val="9-1(RHS)_"/>
      <sheetName val="5-1(R)_(2)"/>
      <sheetName val="14-3(RHS)_"/>
      <sheetName val="16-1(LHS)_"/>
      <sheetName val="27-1_old"/>
      <sheetName val="28-4(RHS)__"/>
      <sheetName val="8-1RHS_"/>
      <sheetName val="14-1_(20)"/>
      <sheetName val="26_-1"/>
      <sheetName val="27-1_new"/>
      <sheetName val="31-1_"/>
      <sheetName val="제출내역_(2)"/>
      <sheetName val="Cover_sheet"/>
      <sheetName val="_Type_III"/>
      <sheetName val="_Type_I"/>
      <sheetName val="FT-001_R037"/>
      <sheetName val="FT-05-02_R037"/>
      <sheetName val="e220-66kV_37"/>
      <sheetName val="issue_summary_37"/>
      <sheetName val="iso-forms_37"/>
      <sheetName val="resis__coeffC12037"/>
      <sheetName val="SCHEMATIC_SKETCH37"/>
      <sheetName val="steam_outlet36"/>
      <sheetName val="MANDAY_RATE36"/>
      <sheetName val="Ins__of_Panels36"/>
      <sheetName val="Ins__of_MCB_DB36"/>
      <sheetName val="Pt_Wiring,_Ckt_main,_Sub_Main36"/>
      <sheetName val="Cable,_Cable_Termination36"/>
      <sheetName val="Earth_Exc,_Earthing,_Earth_Co36"/>
      <sheetName val="Ins_of_Light_Fixtures36"/>
      <sheetName val="Cable_Tray,_Steel,_LA,_Misc36"/>
      <sheetName val="Sulphur_(2)29"/>
      <sheetName val="REVENUES_&amp;_BS32"/>
      <sheetName val="Leg_1-132"/>
      <sheetName val="QOSWS_32"/>
      <sheetName val="Ref_Tables32"/>
      <sheetName val="Labour_&amp;_Plant32"/>
      <sheetName val="M_R_List_(2)32"/>
      <sheetName val="RAJU_ASSO32"/>
      <sheetName val="7_Other_Costs32"/>
      <sheetName val="water_prop_32"/>
      <sheetName val="Sales_Cycle_Stages30"/>
      <sheetName val="Schedule_No_130"/>
      <sheetName val="RATE-ANAY_32"/>
      <sheetName val="Data_sheet30"/>
      <sheetName val="A_3_732"/>
      <sheetName val="PV_FDN29"/>
      <sheetName val="Sch__Areas30"/>
      <sheetName val="NLD_-_Assum30"/>
      <sheetName val="Abstract_Sheet36"/>
      <sheetName val="F_130"/>
      <sheetName val="Cash_Flow30"/>
      <sheetName val="Summary_Rates_From_Contract30"/>
      <sheetName val="ROW_Compensation29"/>
      <sheetName val="LOCAL_RATES29"/>
      <sheetName val="bs_BP_04_SA29"/>
      <sheetName val="CABLE_DATA29"/>
      <sheetName val="Weightage_Factor29"/>
      <sheetName val="Front_end29"/>
      <sheetName val="Load_Details-220kV29"/>
      <sheetName val="Motor_Data29"/>
      <sheetName val="hori__vessel(E-895)29"/>
      <sheetName val="JOBS__UNDER_TURNKEY_BASIS29"/>
      <sheetName val="Gr_182_-_OHE29"/>
      <sheetName val="Costos_R_H__29"/>
      <sheetName val="except_wiring29"/>
      <sheetName val="Desgn(zone_I)23"/>
      <sheetName val="Break_down_adjustments23"/>
      <sheetName val="Activity_No_(A)_(_12)__23"/>
      <sheetName val="ETC_Plant_Cost3"/>
      <sheetName val="BOQ_civil1"/>
      <sheetName val="5+300(RHS)_1"/>
      <sheetName val="5-2(LHS)_1"/>
      <sheetName val="5-3(RHS)_(2)1"/>
      <sheetName val="6-1(R)_1"/>
      <sheetName val="9-1(RHS)_1"/>
      <sheetName val="5-1(R)_(2)1"/>
      <sheetName val="14-3(RHS)_1"/>
      <sheetName val="16-1(LHS)_1"/>
      <sheetName val="27-1_old1"/>
      <sheetName val="28-4(RHS)__1"/>
      <sheetName val="8-1RHS_1"/>
      <sheetName val="14-1_(20)1"/>
      <sheetName val="26_-11"/>
      <sheetName val="27-1_new1"/>
      <sheetName val="31-1_1"/>
      <sheetName val="제출내역_(2)1"/>
      <sheetName val="Cover_sheet1"/>
      <sheetName val="_Type_III1"/>
      <sheetName val="_Type_I1"/>
      <sheetName val="FT-001_R038"/>
      <sheetName val="FT-05-02_R038"/>
      <sheetName val="e220-66kV_38"/>
      <sheetName val="issue_summary_38"/>
      <sheetName val="iso-forms_38"/>
      <sheetName val="resis__coeffC12038"/>
      <sheetName val="SCHEMATIC_SKETCH38"/>
      <sheetName val="steam_outlet37"/>
      <sheetName val="MANDAY_RATE37"/>
      <sheetName val="Ins__of_Panels37"/>
      <sheetName val="Ins__of_MCB_DB37"/>
      <sheetName val="Pt_Wiring,_Ckt_main,_Sub_Main37"/>
      <sheetName val="Cable,_Cable_Termination37"/>
      <sheetName val="Earth_Exc,_Earthing,_Earth_Co37"/>
      <sheetName val="Ins_of_Light_Fixtures37"/>
      <sheetName val="Cable_Tray,_Steel,_LA,_Misc37"/>
      <sheetName val="Sulphur_(2)30"/>
      <sheetName val="REVENUES_&amp;_BS33"/>
      <sheetName val="Leg_1-133"/>
      <sheetName val="QOSWS_33"/>
      <sheetName val="Ref_Tables33"/>
      <sheetName val="Labour_&amp;_Plant33"/>
      <sheetName val="M_R_List_(2)33"/>
      <sheetName val="RAJU_ASSO33"/>
      <sheetName val="7_Other_Costs33"/>
      <sheetName val="water_prop_33"/>
      <sheetName val="Sales_Cycle_Stages31"/>
      <sheetName val="Schedule_No_131"/>
      <sheetName val="RATE-ANAY_33"/>
      <sheetName val="Data_sheet31"/>
      <sheetName val="A_3_733"/>
      <sheetName val="PV_FDN30"/>
      <sheetName val="Sch__Areas31"/>
      <sheetName val="NLD_-_Assum31"/>
      <sheetName val="Abstract_Sheet37"/>
      <sheetName val="F_131"/>
      <sheetName val="Cash_Flow31"/>
      <sheetName val="Summary_Rates_From_Contract31"/>
      <sheetName val="ROW_Compensation30"/>
      <sheetName val="LOCAL_RATES30"/>
      <sheetName val="bs_BP_04_SA30"/>
      <sheetName val="CABLE_DATA30"/>
      <sheetName val="Weightage_Factor30"/>
      <sheetName val="Front_end30"/>
      <sheetName val="Load_Details-220kV30"/>
      <sheetName val="Motor_Data30"/>
      <sheetName val="hori__vessel(E-895)30"/>
      <sheetName val="JOBS__UNDER_TURNKEY_BASIS30"/>
      <sheetName val="Gr_182_-_OHE30"/>
      <sheetName val="Costos_R_H__30"/>
      <sheetName val="except_wiring30"/>
      <sheetName val="Desgn(zone_I)24"/>
      <sheetName val="Break_down_adjustments24"/>
      <sheetName val="Activity_No_(A)_(_12)__24"/>
      <sheetName val="ETC_Plant_Cost4"/>
      <sheetName val="BOQ_civil2"/>
      <sheetName val="5+300(RHS)_2"/>
      <sheetName val="5-2(LHS)_2"/>
      <sheetName val="5-3(RHS)_(2)2"/>
      <sheetName val="6-1(R)_2"/>
      <sheetName val="9-1(RHS)_2"/>
      <sheetName val="5-1(R)_(2)2"/>
      <sheetName val="14-3(RHS)_2"/>
      <sheetName val="16-1(LHS)_2"/>
      <sheetName val="27-1_old2"/>
      <sheetName val="28-4(RHS)__2"/>
      <sheetName val="8-1RHS_2"/>
      <sheetName val="14-1_(20)2"/>
      <sheetName val="26_-12"/>
      <sheetName val="27-1_new2"/>
      <sheetName val="31-1_2"/>
      <sheetName val="제출내역_(2)2"/>
      <sheetName val="Cover_sheet2"/>
      <sheetName val="_Type_III2"/>
      <sheetName val="_Type_I2"/>
      <sheetName val="FT-001_R039"/>
      <sheetName val="FT-05-02_R039"/>
      <sheetName val="e220-66kV_39"/>
      <sheetName val="issue_summary_39"/>
      <sheetName val="iso-forms_39"/>
      <sheetName val="resis__coeffC12039"/>
      <sheetName val="SCHEMATIC_SKETCH39"/>
      <sheetName val="steam_outlet38"/>
      <sheetName val="MANDAY_RATE38"/>
      <sheetName val="Ins__of_Panels38"/>
      <sheetName val="Ins__of_MCB_DB38"/>
      <sheetName val="Pt_Wiring,_Ckt_main,_Sub_Main38"/>
      <sheetName val="Cable,_Cable_Termination38"/>
      <sheetName val="Earth_Exc,_Earthing,_Earth_Co38"/>
      <sheetName val="Ins_of_Light_Fixtures38"/>
      <sheetName val="Cable_Tray,_Steel,_LA,_Misc38"/>
      <sheetName val="Sulphur_(2)31"/>
      <sheetName val="REVENUES_&amp;_BS34"/>
      <sheetName val="Leg_1-134"/>
      <sheetName val="QOSWS_34"/>
      <sheetName val="Ref_Tables34"/>
      <sheetName val="Labour_&amp;_Plant34"/>
      <sheetName val="M_R_List_(2)34"/>
      <sheetName val="RAJU_ASSO34"/>
      <sheetName val="7_Other_Costs34"/>
      <sheetName val="water_prop_34"/>
      <sheetName val="Sales_Cycle_Stages32"/>
      <sheetName val="Schedule_No_132"/>
      <sheetName val="RATE-ANAY_34"/>
      <sheetName val="Data_sheet32"/>
      <sheetName val="A_3_734"/>
      <sheetName val="PV_FDN31"/>
      <sheetName val="Sch__Areas32"/>
      <sheetName val="NLD_-_Assum32"/>
      <sheetName val="Abstract_Sheet38"/>
      <sheetName val="F_132"/>
      <sheetName val="Cash_Flow32"/>
      <sheetName val="Summary_Rates_From_Contract32"/>
      <sheetName val="ROW_Compensation31"/>
      <sheetName val="LOCAL_RATES31"/>
      <sheetName val="bs_BP_04_SA31"/>
      <sheetName val="CABLE_DATA31"/>
      <sheetName val="Weightage_Factor31"/>
      <sheetName val="Front_end31"/>
      <sheetName val="Load_Details-220kV31"/>
      <sheetName val="Motor_Data31"/>
      <sheetName val="hori__vessel(E-895)31"/>
      <sheetName val="JOBS__UNDER_TURNKEY_BASIS31"/>
      <sheetName val="Gr_182_-_OHE31"/>
      <sheetName val="Costos_R_H__31"/>
      <sheetName val="except_wiring31"/>
      <sheetName val="Desgn(zone_I)25"/>
      <sheetName val="Break_down_adjustments25"/>
      <sheetName val="Activity_No_(A)_(_12)__25"/>
      <sheetName val="ETC_Plant_Cost5"/>
      <sheetName val="BOQ_civil3"/>
      <sheetName val="5+300(RHS)_3"/>
      <sheetName val="5-2(LHS)_3"/>
      <sheetName val="5-3(RHS)_(2)3"/>
      <sheetName val="6-1(R)_3"/>
      <sheetName val="9-1(RHS)_3"/>
      <sheetName val="5-1(R)_(2)3"/>
      <sheetName val="14-3(RHS)_3"/>
      <sheetName val="16-1(LHS)_3"/>
      <sheetName val="27-1_old3"/>
      <sheetName val="28-4(RHS)__3"/>
      <sheetName val="8-1RHS_3"/>
      <sheetName val="14-1_(20)3"/>
      <sheetName val="26_-13"/>
      <sheetName val="27-1_new3"/>
      <sheetName val="31-1_3"/>
      <sheetName val="제출내역_(2)3"/>
      <sheetName val="Cover_sheet3"/>
      <sheetName val="_Type_III3"/>
      <sheetName val="_Type_I3"/>
      <sheetName val="FT-001_R040"/>
      <sheetName val="FT-05-02_R040"/>
      <sheetName val="e220-66kV_40"/>
      <sheetName val="issue_summary_40"/>
      <sheetName val="iso-forms_40"/>
      <sheetName val="resis__coeffC12040"/>
      <sheetName val="SCHEMATIC_SKETCH40"/>
      <sheetName val="steam_outlet39"/>
      <sheetName val="MANDAY_RATE39"/>
      <sheetName val="Ins__of_Panels39"/>
      <sheetName val="Ins__of_MCB_DB39"/>
      <sheetName val="Pt_Wiring,_Ckt_main,_Sub_Main39"/>
      <sheetName val="Cable,_Cable_Termination39"/>
      <sheetName val="Earth_Exc,_Earthing,_Earth_Co39"/>
      <sheetName val="Ins_of_Light_Fixtures39"/>
      <sheetName val="Cable_Tray,_Steel,_LA,_Misc39"/>
      <sheetName val="Sulphur_(2)32"/>
      <sheetName val="REVENUES_&amp;_BS35"/>
      <sheetName val="Leg_1-135"/>
      <sheetName val="QOSWS_35"/>
      <sheetName val="Ref_Tables35"/>
      <sheetName val="Labour_&amp;_Plant35"/>
      <sheetName val="M_R_List_(2)35"/>
      <sheetName val="RAJU_ASSO35"/>
      <sheetName val="7_Other_Costs35"/>
      <sheetName val="water_prop_35"/>
      <sheetName val="Sales_Cycle_Stages33"/>
      <sheetName val="Schedule_No_133"/>
      <sheetName val="RATE-ANAY_35"/>
      <sheetName val="Data_sheet33"/>
      <sheetName val="A_3_735"/>
      <sheetName val="PV_FDN32"/>
      <sheetName val="Sch__Areas33"/>
      <sheetName val="NLD_-_Assum33"/>
      <sheetName val="Abstract_Sheet39"/>
      <sheetName val="F_133"/>
      <sheetName val="Cash_Flow33"/>
      <sheetName val="Summary_Rates_From_Contract33"/>
      <sheetName val="ROW_Compensation32"/>
      <sheetName val="LOCAL_RATES32"/>
      <sheetName val="bs_BP_04_SA32"/>
      <sheetName val="CABLE_DATA32"/>
      <sheetName val="Weightage_Factor32"/>
      <sheetName val="Front_end32"/>
      <sheetName val="Load_Details-220kV32"/>
      <sheetName val="Motor_Data32"/>
      <sheetName val="hori__vessel(E-895)32"/>
      <sheetName val="JOBS__UNDER_TURNKEY_BASIS32"/>
      <sheetName val="Gr_182_-_OHE32"/>
      <sheetName val="Costos_R_H__32"/>
      <sheetName val="except_wiring32"/>
      <sheetName val="Desgn(zone_I)26"/>
      <sheetName val="Break_down_adjustments26"/>
      <sheetName val="Activity_No_(A)_(_12)__26"/>
      <sheetName val="ETC_Plant_Cost6"/>
      <sheetName val="BOQ_civil4"/>
      <sheetName val="5+300(RHS)_4"/>
      <sheetName val="5-2(LHS)_4"/>
      <sheetName val="5-3(RHS)_(2)4"/>
      <sheetName val="6-1(R)_4"/>
      <sheetName val="9-1(RHS)_4"/>
      <sheetName val="5-1(R)_(2)4"/>
      <sheetName val="14-3(RHS)_4"/>
      <sheetName val="16-1(LHS)_4"/>
      <sheetName val="27-1_old4"/>
      <sheetName val="28-4(RHS)__4"/>
      <sheetName val="8-1RHS_4"/>
      <sheetName val="14-1_(20)4"/>
      <sheetName val="26_-14"/>
      <sheetName val="27-1_new4"/>
      <sheetName val="31-1_4"/>
      <sheetName val="제출내역_(2)4"/>
      <sheetName val="Cover_sheet4"/>
      <sheetName val="_Type_III4"/>
      <sheetName val="_Type_I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ow r="22">
          <cell r="K22">
            <v>25.939374999999998</v>
          </cell>
        </row>
      </sheetData>
      <sheetData sheetId="1149">
        <row r="22">
          <cell r="K22">
            <v>25.939374999999998</v>
          </cell>
        </row>
      </sheetData>
      <sheetData sheetId="1150">
        <row r="22">
          <cell r="K22">
            <v>25.939374999999998</v>
          </cell>
        </row>
      </sheetData>
      <sheetData sheetId="1151">
        <row r="22">
          <cell r="K22">
            <v>25.939374999999998</v>
          </cell>
        </row>
      </sheetData>
      <sheetData sheetId="1152">
        <row r="22">
          <cell r="K22">
            <v>25.939374999999998</v>
          </cell>
        </row>
      </sheetData>
      <sheetData sheetId="1153">
        <row r="22">
          <cell r="K22">
            <v>25.939374999999998</v>
          </cell>
        </row>
      </sheetData>
      <sheetData sheetId="1154">
        <row r="22">
          <cell r="K22">
            <v>25.939374999999998</v>
          </cell>
        </row>
      </sheetData>
      <sheetData sheetId="1155">
        <row r="22">
          <cell r="K22">
            <v>25.939374999999998</v>
          </cell>
        </row>
      </sheetData>
      <sheetData sheetId="1156">
        <row r="22">
          <cell r="K22">
            <v>25.939374999999998</v>
          </cell>
        </row>
      </sheetData>
      <sheetData sheetId="1157"/>
      <sheetData sheetId="1158">
        <row r="22">
          <cell r="K22">
            <v>25.939374999999998</v>
          </cell>
        </row>
      </sheetData>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ow r="22">
          <cell r="K22">
            <v>25.939374999999998</v>
          </cell>
        </row>
      </sheetData>
      <sheetData sheetId="1209">
        <row r="22">
          <cell r="K22">
            <v>25.939374999999998</v>
          </cell>
        </row>
      </sheetData>
      <sheetData sheetId="1210">
        <row r="22">
          <cell r="K22">
            <v>25.939374999999998</v>
          </cell>
        </row>
      </sheetData>
      <sheetData sheetId="1211">
        <row r="22">
          <cell r="K22">
            <v>25.939374999999998</v>
          </cell>
        </row>
      </sheetData>
      <sheetData sheetId="1212">
        <row r="22">
          <cell r="K22">
            <v>25.939374999999998</v>
          </cell>
        </row>
      </sheetData>
      <sheetData sheetId="1213">
        <row r="22">
          <cell r="K22">
            <v>25.939374999999998</v>
          </cell>
        </row>
      </sheetData>
      <sheetData sheetId="1214">
        <row r="22">
          <cell r="K22">
            <v>25.939374999999998</v>
          </cell>
        </row>
      </sheetData>
      <sheetData sheetId="1215">
        <row r="22">
          <cell r="K22">
            <v>25.939374999999998</v>
          </cell>
        </row>
      </sheetData>
      <sheetData sheetId="1216">
        <row r="22">
          <cell r="K22">
            <v>25.939374999999998</v>
          </cell>
        </row>
      </sheetData>
      <sheetData sheetId="1217">
        <row r="22">
          <cell r="K22">
            <v>25.939374999999998</v>
          </cell>
        </row>
      </sheetData>
      <sheetData sheetId="1218">
        <row r="22">
          <cell r="K22">
            <v>25.939374999999998</v>
          </cell>
        </row>
      </sheetData>
      <sheetData sheetId="1219">
        <row r="22">
          <cell r="K22">
            <v>25.939374999999998</v>
          </cell>
        </row>
      </sheetData>
      <sheetData sheetId="1220"/>
      <sheetData sheetId="1221">
        <row r="22">
          <cell r="K22">
            <v>25.939374999999998</v>
          </cell>
        </row>
      </sheetData>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 val="abs_(2)5"/>
      <sheetName val="abs_(3)5"/>
      <sheetName val="abs_(4)5"/>
      <sheetName val="Top_Sheet5"/>
      <sheetName val="slab_5"/>
      <sheetName val="dism_-_(Ref)5"/>
      <sheetName val="eqpt_ern5"/>
      <sheetName val="re-ern_of_readymade5"/>
      <sheetName val="site_fab&amp;ernplt5"/>
      <sheetName val="site_fab&amp;ernstr5"/>
      <sheetName val="site_fab&amp;ern5"/>
      <sheetName val="re-ern_of_dism_str5"/>
      <sheetName val="re-ern_of_dism_plt5"/>
      <sheetName val="re-ern_of_dism5"/>
      <sheetName val="unit_wt5"/>
      <sheetName val="Progress_Graphs1"/>
      <sheetName val="Progress_Sheet_-_OPTL1"/>
      <sheetName val="tower_wt_1"/>
      <sheetName val="Motor_Data2"/>
      <sheetName val="Load_Details-220kV2"/>
      <sheetName val="Staff_Acco_1"/>
      <sheetName val="DETAILED__BOQ1"/>
      <sheetName val="3BPA00132-5-3_W_plan_HVPNL1"/>
      <sheetName val="PRICE_BID1"/>
      <sheetName val="FOUNDATION_XMTL1"/>
      <sheetName val="400kV_DC_Xeldem-Mapusa_TL_L2(21"/>
      <sheetName val="Detailed_Back-up_Div1"/>
      <sheetName val="Detailed_Back-up1"/>
      <sheetName val="STRINGING_HL_DATA1"/>
      <sheetName val="XMTL_HL_data1"/>
      <sheetName val="Deviation_Schedule1"/>
      <sheetName val="Revised_L11"/>
      <sheetName val="400kV_DC_Xeldem-Mapusa_TL_L21"/>
      <sheetName val="L2_Analyzer1"/>
      <sheetName val="Gangs_overall_prod1"/>
      <sheetName val="Check_Survey_Plan1"/>
      <sheetName val="ROW_Hotspoting_1"/>
      <sheetName val="Planning_assumptions1"/>
      <sheetName val="FDN_Rev1"/>
      <sheetName val="ERE_Rev1"/>
      <sheetName val="AP_1_TO_AP_DE_1"/>
      <sheetName val="Stub_Supply1"/>
      <sheetName val="Stub_Supply_(TOT)1"/>
      <sheetName val="Tower_Supply1"/>
      <sheetName val="Tower_Supply_(TOT)1"/>
      <sheetName val="ERECTION_XMTL1"/>
      <sheetName val="XXTL_L21"/>
      <sheetName val="XNTL_L21"/>
      <sheetName val="Datos_generales1"/>
      <sheetName val="Cover_sheet"/>
      <sheetName val="Leg_1-1"/>
      <sheetName val="97_사업추정(WEKI)"/>
      <sheetName val="Prov_Sums"/>
      <sheetName val="Top_sheet_EDF"/>
      <sheetName val="Fee_Rate_Summary"/>
      <sheetName val="Load_Details(B2)"/>
      <sheetName val="ols_1_6t"/>
      <sheetName val="Data_sheet"/>
      <sheetName val="except_wiring"/>
      <sheetName val="schedule_nos"/>
      <sheetName val="abs_(2)6"/>
      <sheetName val="abs_(3)6"/>
      <sheetName val="abs_(4)6"/>
      <sheetName val="Top_Sheet6"/>
      <sheetName val="slab_6"/>
      <sheetName val="dism_-_(Ref)6"/>
      <sheetName val="eqpt_ern6"/>
      <sheetName val="re-ern_of_readymade6"/>
      <sheetName val="site_fab&amp;ernplt6"/>
      <sheetName val="site_fab&amp;ernstr6"/>
      <sheetName val="site_fab&amp;ern6"/>
      <sheetName val="re-ern_of_dism_str6"/>
      <sheetName val="re-ern_of_dism_plt6"/>
      <sheetName val="re-ern_of_dism6"/>
      <sheetName val="unit_wt6"/>
      <sheetName val="Progress_Graphs2"/>
      <sheetName val="Progress_Sheet_-_OPTL2"/>
      <sheetName val="tower_wt_2"/>
      <sheetName val="Motor_Data3"/>
      <sheetName val="Load_Details-220kV3"/>
      <sheetName val="Staff_Acco_2"/>
      <sheetName val="DETAILED__BOQ2"/>
      <sheetName val="3BPA00132-5-3_W_plan_HVPNL2"/>
      <sheetName val="PRICE_BID2"/>
      <sheetName val="FOUNDATION_XMTL2"/>
      <sheetName val="400kV_DC_Xeldem-Mapusa_TL_L2(22"/>
      <sheetName val="Detailed_Back-up_Div2"/>
      <sheetName val="Detailed_Back-up2"/>
      <sheetName val="STRINGING_HL_DATA2"/>
      <sheetName val="XMTL_HL_data2"/>
      <sheetName val="Deviation_Schedule2"/>
      <sheetName val="Revised_L12"/>
      <sheetName val="400kV_DC_Xeldem-Mapusa_TL_L22"/>
      <sheetName val="L2_Analyzer2"/>
      <sheetName val="Gangs_overall_prod2"/>
      <sheetName val="Check_Survey_Plan2"/>
      <sheetName val="ROW_Hotspoting_2"/>
      <sheetName val="Planning_assumptions2"/>
      <sheetName val="FDN_Rev2"/>
      <sheetName val="ERE_Rev2"/>
      <sheetName val="AP_1_TO_AP_DE_2"/>
      <sheetName val="Stub_Supply2"/>
      <sheetName val="Stub_Supply_(TOT)2"/>
      <sheetName val="Tower_Supply2"/>
      <sheetName val="Tower_Supply_(TOT)2"/>
      <sheetName val="ERECTION_XMTL2"/>
      <sheetName val="XXTL_L22"/>
      <sheetName val="XNTL_L22"/>
      <sheetName val="Datos_generales2"/>
      <sheetName val="Cover_sheet1"/>
      <sheetName val="Leg_1-11"/>
      <sheetName val="97_사업추정(WEKI)1"/>
      <sheetName val="Prov_Sums1"/>
      <sheetName val="Top_sheet_EDF1"/>
      <sheetName val="Fee_Rate_Summary1"/>
      <sheetName val="Load_Details(B2)1"/>
      <sheetName val="ols_1_6t1"/>
      <sheetName val="Data_sheet1"/>
      <sheetName val="except_wiring1"/>
      <sheetName val="schedule_nos1"/>
      <sheetName val="abs_(2)7"/>
      <sheetName val="abs_(3)7"/>
      <sheetName val="abs_(4)7"/>
      <sheetName val="Top_Sheet7"/>
      <sheetName val="slab_7"/>
      <sheetName val="dism_-_(Ref)7"/>
      <sheetName val="eqpt_ern7"/>
      <sheetName val="re-ern_of_readymade7"/>
      <sheetName val="site_fab&amp;ernplt7"/>
      <sheetName val="site_fab&amp;ernstr7"/>
      <sheetName val="site_fab&amp;ern7"/>
      <sheetName val="re-ern_of_dism_str7"/>
      <sheetName val="re-ern_of_dism_plt7"/>
      <sheetName val="re-ern_of_dism7"/>
      <sheetName val="unit_wt7"/>
      <sheetName val="Progress_Graphs3"/>
      <sheetName val="Progress_Sheet_-_OPTL3"/>
      <sheetName val="tower_wt_3"/>
      <sheetName val="Motor_Data4"/>
      <sheetName val="Load_Details-220kV4"/>
      <sheetName val="Staff_Acco_3"/>
      <sheetName val="DETAILED__BOQ3"/>
      <sheetName val="3BPA00132-5-3_W_plan_HVPNL3"/>
      <sheetName val="PRICE_BID3"/>
      <sheetName val="FOUNDATION_XMTL3"/>
      <sheetName val="400kV_DC_Xeldem-Mapusa_TL_L2(23"/>
      <sheetName val="Detailed_Back-up_Div3"/>
      <sheetName val="Detailed_Back-up3"/>
      <sheetName val="STRINGING_HL_DATA3"/>
      <sheetName val="XMTL_HL_data3"/>
      <sheetName val="Deviation_Schedule3"/>
      <sheetName val="Revised_L13"/>
      <sheetName val="400kV_DC_Xeldem-Mapusa_TL_L23"/>
      <sheetName val="L2_Analyzer3"/>
      <sheetName val="Gangs_overall_prod3"/>
      <sheetName val="Check_Survey_Plan3"/>
      <sheetName val="ROW_Hotspoting_3"/>
      <sheetName val="Planning_assumptions3"/>
      <sheetName val="FDN_Rev3"/>
      <sheetName val="ERE_Rev3"/>
      <sheetName val="AP_1_TO_AP_DE_3"/>
      <sheetName val="Stub_Supply3"/>
      <sheetName val="Stub_Supply_(TOT)3"/>
      <sheetName val="Tower_Supply3"/>
      <sheetName val="Tower_Supply_(TOT)3"/>
      <sheetName val="ERECTION_XMTL3"/>
      <sheetName val="XXTL_L23"/>
      <sheetName val="XNTL_L23"/>
      <sheetName val="Datos_generales3"/>
      <sheetName val="Cover_sheet2"/>
      <sheetName val="Leg_1-12"/>
      <sheetName val="97_사업추정(WEKI)2"/>
      <sheetName val="Prov_Sums2"/>
      <sheetName val="Top_sheet_EDF2"/>
      <sheetName val="Fee_Rate_Summary2"/>
      <sheetName val="Load_Details(B2)2"/>
      <sheetName val="ols_1_6t2"/>
      <sheetName val="Data_sheet2"/>
      <sheetName val="except_wiring2"/>
      <sheetName val="schedule_nos2"/>
      <sheetName val="bs BP 04 SA"/>
      <sheetName val="abs_(2)8"/>
      <sheetName val="abs_(3)8"/>
      <sheetName val="abs_(4)8"/>
      <sheetName val="Top_Sheet8"/>
      <sheetName val="slab_8"/>
      <sheetName val="dism_-_(Ref)8"/>
      <sheetName val="eqpt_ern8"/>
      <sheetName val="re-ern_of_readymade8"/>
      <sheetName val="site_fab&amp;ernplt8"/>
      <sheetName val="site_fab&amp;ernstr8"/>
      <sheetName val="site_fab&amp;ern8"/>
      <sheetName val="re-ern_of_dism_str8"/>
      <sheetName val="re-ern_of_dism_plt8"/>
      <sheetName val="re-ern_of_dism8"/>
      <sheetName val="unit_wt8"/>
      <sheetName val="Progress_Graphs4"/>
      <sheetName val="Progress_Sheet_-_OPTL4"/>
      <sheetName val="tower_wt_4"/>
      <sheetName val="Motor_Data5"/>
      <sheetName val="Load_Details-220kV5"/>
      <sheetName val="Staff_Acco_4"/>
      <sheetName val="DETAILED__BOQ4"/>
      <sheetName val="3BPA00132-5-3_W_plan_HVPNL4"/>
      <sheetName val="PRICE_BID4"/>
      <sheetName val="FOUNDATION_XMTL4"/>
      <sheetName val="400kV_DC_Xeldem-Mapusa_TL_L2(24"/>
      <sheetName val="Detailed_Back-up_Div4"/>
      <sheetName val="Detailed_Back-up4"/>
      <sheetName val="STRINGING_HL_DATA4"/>
      <sheetName val="XMTL_HL_data4"/>
      <sheetName val="Deviation_Schedule4"/>
      <sheetName val="Revised_L14"/>
      <sheetName val="400kV_DC_Xeldem-Mapusa_TL_L24"/>
      <sheetName val="L2_Analyzer4"/>
      <sheetName val="Gangs_overall_prod4"/>
      <sheetName val="Check_Survey_Plan4"/>
      <sheetName val="ROW_Hotspoting_4"/>
      <sheetName val="Planning_assumptions4"/>
      <sheetName val="FDN_Rev4"/>
      <sheetName val="ERE_Rev4"/>
      <sheetName val="AP_1_TO_AP_DE_4"/>
      <sheetName val="Stub_Supply4"/>
      <sheetName val="Stub_Supply_(TOT)4"/>
      <sheetName val="Tower_Supply4"/>
      <sheetName val="Tower_Supply_(TOT)4"/>
      <sheetName val="ERECTION_XMTL4"/>
      <sheetName val="XXTL_L24"/>
      <sheetName val="XNTL_L24"/>
      <sheetName val="Datos_generales4"/>
      <sheetName val="Cover_sheet3"/>
      <sheetName val="Leg_1-13"/>
      <sheetName val="Load_Details(B2)3"/>
      <sheetName val="ols_1_6t3"/>
      <sheetName val="97_사업추정(WEKI)3"/>
      <sheetName val="Prov_Sums3"/>
      <sheetName val="Top_sheet_EDF3"/>
      <sheetName val="Cad_Map"/>
      <sheetName val="Fee_Rate_Summary3"/>
      <sheetName val="Data_sheet3"/>
      <sheetName val="except_wiring3"/>
      <sheetName val="schedule_nos3"/>
      <sheetName val="bs_BP_04_SA"/>
      <sheetName val="abs_(2)9"/>
      <sheetName val="abs_(3)9"/>
      <sheetName val="abs_(4)9"/>
      <sheetName val="Top_Sheet9"/>
      <sheetName val="slab_9"/>
      <sheetName val="dism_-_(Ref)9"/>
      <sheetName val="eqpt_ern9"/>
      <sheetName val="re-ern_of_readymade9"/>
      <sheetName val="site_fab&amp;ernplt9"/>
      <sheetName val="site_fab&amp;ernstr9"/>
      <sheetName val="site_fab&amp;ern9"/>
      <sheetName val="re-ern_of_dism_str9"/>
      <sheetName val="re-ern_of_dism_plt9"/>
      <sheetName val="re-ern_of_dism9"/>
      <sheetName val="unit_wt9"/>
      <sheetName val="Progress_Graphs5"/>
      <sheetName val="Progress_Sheet_-_OPTL5"/>
      <sheetName val="tower_wt_5"/>
      <sheetName val="Motor_Data6"/>
      <sheetName val="Load_Details-220kV6"/>
      <sheetName val="Staff_Acco_5"/>
      <sheetName val="DETAILED__BOQ5"/>
      <sheetName val="3BPA00132-5-3_W_plan_HVPNL5"/>
      <sheetName val="PRICE_BID5"/>
      <sheetName val="FOUNDATION_XMTL5"/>
      <sheetName val="400kV_DC_Xeldem-Mapusa_TL_L2(25"/>
      <sheetName val="Detailed_Back-up_Div5"/>
      <sheetName val="Detailed_Back-up5"/>
      <sheetName val="STRINGING_HL_DATA5"/>
      <sheetName val="XMTL_HL_data5"/>
      <sheetName val="Deviation_Schedule5"/>
      <sheetName val="Revised_L15"/>
      <sheetName val="400kV_DC_Xeldem-Mapusa_TL_L25"/>
      <sheetName val="L2_Analyzer5"/>
      <sheetName val="Gangs_overall_prod5"/>
      <sheetName val="Check_Survey_Plan5"/>
      <sheetName val="ROW_Hotspoting_5"/>
      <sheetName val="Planning_assumptions5"/>
      <sheetName val="FDN_Rev5"/>
      <sheetName val="ERE_Rev5"/>
      <sheetName val="AP_1_TO_AP_DE_5"/>
      <sheetName val="Stub_Supply5"/>
      <sheetName val="Stub_Supply_(TOT)5"/>
      <sheetName val="Tower_Supply5"/>
      <sheetName val="Tower_Supply_(TOT)5"/>
      <sheetName val="ERECTION_XMTL5"/>
      <sheetName val="XXTL_L25"/>
      <sheetName val="XNTL_L25"/>
      <sheetName val="Datos_generales5"/>
      <sheetName val="Cover_sheet4"/>
      <sheetName val="Leg_1-14"/>
      <sheetName val="Load_Details(B2)4"/>
      <sheetName val="ols_1_6t4"/>
      <sheetName val="97_사업추정(WEKI)4"/>
      <sheetName val="Prov_Sums4"/>
      <sheetName val="Top_sheet_EDF4"/>
      <sheetName val="Cad_Map1"/>
      <sheetName val="Fee_Rate_Summary4"/>
      <sheetName val="Data_sheet4"/>
      <sheetName val="except_wiring4"/>
      <sheetName val="schedule_nos4"/>
      <sheetName val="bs_BP_04_SA1"/>
      <sheetName val="abs_(2)10"/>
      <sheetName val="abs_(3)10"/>
      <sheetName val="abs_(4)10"/>
      <sheetName val="Top_Sheet10"/>
      <sheetName val="slab_10"/>
      <sheetName val="dism_-_(Ref)10"/>
      <sheetName val="eqpt_ern10"/>
      <sheetName val="re-ern_of_readymade10"/>
      <sheetName val="site_fab&amp;ernplt10"/>
      <sheetName val="site_fab&amp;ernstr10"/>
      <sheetName val="site_fab&amp;ern10"/>
      <sheetName val="re-ern_of_dism_str10"/>
      <sheetName val="re-ern_of_dism_plt10"/>
      <sheetName val="re-ern_of_dism10"/>
      <sheetName val="unit_wt10"/>
      <sheetName val="Progress_Graphs6"/>
      <sheetName val="Progress_Sheet_-_OPTL6"/>
      <sheetName val="tower_wt_6"/>
      <sheetName val="Motor_Data7"/>
      <sheetName val="Load_Details-220kV7"/>
      <sheetName val="Staff_Acco_6"/>
      <sheetName val="DETAILED__BOQ6"/>
      <sheetName val="3BPA00132-5-3_W_plan_HVPNL6"/>
      <sheetName val="PRICE_BID6"/>
      <sheetName val="FOUNDATION_XMTL6"/>
      <sheetName val="400kV_DC_Xeldem-Mapusa_TL_L2(26"/>
      <sheetName val="Detailed_Back-up_Div6"/>
      <sheetName val="Detailed_Back-up6"/>
      <sheetName val="STRINGING_HL_DATA6"/>
      <sheetName val="XMTL_HL_data6"/>
      <sheetName val="Deviation_Schedule6"/>
      <sheetName val="Revised_L16"/>
      <sheetName val="400kV_DC_Xeldem-Mapusa_TL_L26"/>
      <sheetName val="L2_Analyzer6"/>
      <sheetName val="Gangs_overall_prod6"/>
      <sheetName val="Check_Survey_Plan6"/>
      <sheetName val="ROW_Hotspoting_6"/>
      <sheetName val="Planning_assumptions6"/>
      <sheetName val="FDN_Rev6"/>
      <sheetName val="ERE_Rev6"/>
      <sheetName val="AP_1_TO_AP_DE_6"/>
      <sheetName val="Stub_Supply6"/>
      <sheetName val="Stub_Supply_(TOT)6"/>
      <sheetName val="Tower_Supply6"/>
      <sheetName val="Tower_Supply_(TOT)6"/>
      <sheetName val="ERECTION_XMTL6"/>
      <sheetName val="XXTL_L26"/>
      <sheetName val="XNTL_L26"/>
      <sheetName val="Datos_generales6"/>
      <sheetName val="Cover_sheet5"/>
      <sheetName val="Leg_1-15"/>
      <sheetName val="Load_Details(B2)5"/>
      <sheetName val="ols_1_6t5"/>
      <sheetName val="97_사업추정(WEKI)5"/>
      <sheetName val="Prov_Sums5"/>
      <sheetName val="Top_sheet_EDF5"/>
      <sheetName val="Cad_Map2"/>
      <sheetName val="Fee_Rate_Summary5"/>
      <sheetName val="Data_sheet5"/>
      <sheetName val="except_wiring5"/>
      <sheetName val="schedule_nos5"/>
      <sheetName val="bs_BP_04_SA2"/>
      <sheetName val="abs_(2)11"/>
      <sheetName val="abs_(3)11"/>
      <sheetName val="abs_(4)11"/>
      <sheetName val="Top_Sheet11"/>
      <sheetName val="slab_11"/>
      <sheetName val="dism_-_(Ref)11"/>
      <sheetName val="eqpt_ern11"/>
      <sheetName val="re-ern_of_readymade11"/>
      <sheetName val="site_fab&amp;ernplt11"/>
      <sheetName val="site_fab&amp;ernstr11"/>
      <sheetName val="site_fab&amp;ern11"/>
      <sheetName val="re-ern_of_dism_str11"/>
      <sheetName val="re-ern_of_dism_plt11"/>
      <sheetName val="re-ern_of_dism11"/>
      <sheetName val="unit_wt11"/>
      <sheetName val="Motor_Data8"/>
      <sheetName val="Progress_Graphs7"/>
      <sheetName val="Progress_Sheet_-_OPTL7"/>
      <sheetName val="tower_wt_7"/>
      <sheetName val="3BPA00132-5-3_W_plan_HVPNL7"/>
      <sheetName val="PRICE_BID7"/>
      <sheetName val="Load_Details-220kV8"/>
      <sheetName val="Staff_Acco_7"/>
      <sheetName val="DETAILED__BOQ7"/>
      <sheetName val="FOUNDATION_XMTL7"/>
      <sheetName val="400kV_DC_Xeldem-Mapusa_TL_L2(27"/>
      <sheetName val="Detailed_Back-up_Div7"/>
      <sheetName val="Detailed_Back-up7"/>
      <sheetName val="STRINGING_HL_DATA7"/>
      <sheetName val="XMTL_HL_data7"/>
      <sheetName val="Deviation_Schedule7"/>
      <sheetName val="Revised_L17"/>
      <sheetName val="400kV_DC_Xeldem-Mapusa_TL_L27"/>
      <sheetName val="L2_Analyzer7"/>
      <sheetName val="Gangs_overall_prod7"/>
      <sheetName val="Check_Survey_Plan7"/>
      <sheetName val="ROW_Hotspoting_7"/>
      <sheetName val="Planning_assumptions7"/>
      <sheetName val="FDN_Rev7"/>
      <sheetName val="ERE_Rev7"/>
      <sheetName val="AP_1_TO_AP_DE_7"/>
      <sheetName val="Stub_Supply7"/>
      <sheetName val="Stub_Supply_(TOT)7"/>
      <sheetName val="Tower_Supply7"/>
      <sheetName val="Tower_Supply_(TOT)7"/>
      <sheetName val="ERECTION_XMTL7"/>
      <sheetName val="XXTL_L27"/>
      <sheetName val="XNTL_L27"/>
      <sheetName val="Datos_generales7"/>
      <sheetName val="Cover_sheet6"/>
      <sheetName val="Leg_1-16"/>
      <sheetName val="97_사업추정(WEKI)6"/>
      <sheetName val="Prov_Sums6"/>
      <sheetName val="Load_Details(B2)6"/>
      <sheetName val="ols_1_6t6"/>
      <sheetName val="Top_sheet_EDF6"/>
      <sheetName val="Cad_Map3"/>
      <sheetName val="Fee_Rate_Summary6"/>
      <sheetName val="Data_sheet6"/>
      <sheetName val="except_wiring6"/>
      <sheetName val="schedule_nos6"/>
      <sheetName val="bs_BP_04_SA3"/>
      <sheetName val="abs_(2)12"/>
      <sheetName val="abs_(3)12"/>
      <sheetName val="abs_(4)12"/>
      <sheetName val="Top_Sheet12"/>
      <sheetName val="slab_12"/>
      <sheetName val="dism_-_(Ref)12"/>
      <sheetName val="eqpt_ern12"/>
      <sheetName val="re-ern_of_readymade12"/>
      <sheetName val="site_fab&amp;ernplt12"/>
      <sheetName val="site_fab&amp;ernstr12"/>
      <sheetName val="site_fab&amp;ern12"/>
      <sheetName val="re-ern_of_dism_str12"/>
      <sheetName val="re-ern_of_dism_plt12"/>
      <sheetName val="re-ern_of_dism12"/>
      <sheetName val="unit_wt12"/>
      <sheetName val="Motor_Data9"/>
      <sheetName val="Progress_Graphs8"/>
      <sheetName val="Progress_Sheet_-_OPTL8"/>
      <sheetName val="tower_wt_8"/>
      <sheetName val="3BPA00132-5-3_W_plan_HVPNL8"/>
      <sheetName val="PRICE_BID8"/>
      <sheetName val="Load_Details-220kV9"/>
      <sheetName val="Staff_Acco_8"/>
      <sheetName val="DETAILED__BOQ8"/>
      <sheetName val="FOUNDATION_XMTL8"/>
      <sheetName val="400kV_DC_Xeldem-Mapusa_TL_L2(28"/>
      <sheetName val="Detailed_Back-up_Div8"/>
      <sheetName val="Detailed_Back-up8"/>
      <sheetName val="STRINGING_HL_DATA8"/>
      <sheetName val="XMTL_HL_data8"/>
      <sheetName val="Deviation_Schedule8"/>
      <sheetName val="Revised_L18"/>
      <sheetName val="400kV_DC_Xeldem-Mapusa_TL_L28"/>
      <sheetName val="L2_Analyzer8"/>
      <sheetName val="Gangs_overall_prod8"/>
      <sheetName val="Check_Survey_Plan8"/>
      <sheetName val="ROW_Hotspoting_8"/>
      <sheetName val="Planning_assumptions8"/>
      <sheetName val="FDN_Rev8"/>
      <sheetName val="ERE_Rev8"/>
      <sheetName val="AP_1_TO_AP_DE_8"/>
      <sheetName val="Stub_Supply8"/>
      <sheetName val="Stub_Supply_(TOT)8"/>
      <sheetName val="Tower_Supply8"/>
      <sheetName val="Tower_Supply_(TOT)8"/>
      <sheetName val="ERECTION_XMTL8"/>
      <sheetName val="XXTL_L28"/>
      <sheetName val="XNTL_L28"/>
      <sheetName val="Datos_generales8"/>
      <sheetName val="Cover_sheet7"/>
      <sheetName val="Leg_1-17"/>
      <sheetName val="97_사업추정(WEKI)7"/>
      <sheetName val="Prov_Sums7"/>
      <sheetName val="Load_Details(B2)7"/>
      <sheetName val="ols_1_6t7"/>
      <sheetName val="Top_sheet_EDF7"/>
      <sheetName val="Cad_Map4"/>
      <sheetName val="Fee_Rate_Summary7"/>
      <sheetName val="Data_sheet7"/>
      <sheetName val="except_wiring7"/>
      <sheetName val="schedule_nos7"/>
      <sheetName val="bs_BP_04_SA4"/>
      <sheetName val="abs_(2)13"/>
      <sheetName val="abs_(3)13"/>
      <sheetName val="abs_(4)13"/>
      <sheetName val="Top_Sheet13"/>
      <sheetName val="slab_13"/>
      <sheetName val="dism_-_(Ref)13"/>
      <sheetName val="eqpt_ern13"/>
      <sheetName val="re-ern_of_readymade13"/>
      <sheetName val="site_fab&amp;ernplt13"/>
      <sheetName val="site_fab&amp;ernstr13"/>
      <sheetName val="site_fab&amp;ern13"/>
      <sheetName val="re-ern_of_dism_str13"/>
      <sheetName val="re-ern_of_dism_plt13"/>
      <sheetName val="re-ern_of_dism13"/>
      <sheetName val="unit_wt13"/>
      <sheetName val="Progress_Graphs9"/>
      <sheetName val="Progress_Sheet_-_OPTL9"/>
      <sheetName val="tower_wt_9"/>
      <sheetName val="Motor_Data10"/>
      <sheetName val="Load_Details-220kV10"/>
      <sheetName val="Staff_Acco_9"/>
      <sheetName val="DETAILED__BOQ9"/>
      <sheetName val="3BPA00132-5-3_W_plan_HVPNL9"/>
      <sheetName val="PRICE_BID9"/>
      <sheetName val="FOUNDATION_XMTL9"/>
      <sheetName val="400kV_DC_Xeldem-Mapusa_TL_L2(29"/>
      <sheetName val="Detailed_Back-up_Div9"/>
      <sheetName val="Detailed_Back-up9"/>
      <sheetName val="STRINGING_HL_DATA9"/>
      <sheetName val="XMTL_HL_data9"/>
      <sheetName val="Deviation_Schedule9"/>
      <sheetName val="Revised_L19"/>
      <sheetName val="400kV_DC_Xeldem-Mapusa_TL_L29"/>
      <sheetName val="L2_Analyzer9"/>
      <sheetName val="Gangs_overall_prod9"/>
      <sheetName val="Check_Survey_Plan9"/>
      <sheetName val="ROW_Hotspoting_9"/>
      <sheetName val="Planning_assumptions9"/>
      <sheetName val="FDN_Rev9"/>
      <sheetName val="ERE_Rev9"/>
      <sheetName val="AP_1_TO_AP_DE_9"/>
      <sheetName val="Stub_Supply9"/>
      <sheetName val="Stub_Supply_(TOT)9"/>
      <sheetName val="Tower_Supply9"/>
      <sheetName val="Tower_Supply_(TOT)9"/>
      <sheetName val="ERECTION_XMTL9"/>
      <sheetName val="XXTL_L29"/>
      <sheetName val="XNTL_L29"/>
      <sheetName val="Datos_generales9"/>
      <sheetName val="Cover_sheet8"/>
      <sheetName val="Leg_1-18"/>
      <sheetName val="Load_Details(B2)8"/>
      <sheetName val="ols_1_6t8"/>
      <sheetName val="97_사업추정(WEKI)8"/>
      <sheetName val="Prov_Sums8"/>
      <sheetName val="Top_sheet_EDF8"/>
      <sheetName val="Cad_Map5"/>
      <sheetName val="Fee_Rate_Summary8"/>
      <sheetName val="Data_sheet8"/>
      <sheetName val="except_wiring8"/>
      <sheetName val="schedule_nos8"/>
      <sheetName val="bs_BP_04_SA5"/>
      <sheetName val="Revised AOP USD"/>
      <sheetName val="Activity No (A) ( 12)  "/>
      <sheetName val="REVENUES &amp; BS"/>
      <sheetName val="eoudesp"/>
      <sheetName val="Sheet2"/>
      <sheetName val="CFL-KIM"/>
      <sheetName val="Twr-MT"/>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refreshError="1"/>
      <sheetData sheetId="806" refreshError="1"/>
      <sheetData sheetId="807" refreshError="1"/>
      <sheetData sheetId="808" refreshError="1"/>
      <sheetData sheetId="809" refreshError="1"/>
      <sheetData sheetId="810" refreshError="1"/>
      <sheetData sheetId="81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 val="REVENUES_&amp;_BS14"/>
      <sheetName val="VKFdn_420_(2)14"/>
      <sheetName val="bs_BP_04_SA14"/>
      <sheetName val="Fill_this_out_first___13"/>
      <sheetName val="RATE-ANAY_13"/>
      <sheetName val="Reserve_Addition13"/>
      <sheetName val="SC_Cost_FEB_0313"/>
      <sheetName val="TF_-2513"/>
      <sheetName val="TF_1PH_1613"/>
      <sheetName val="TF_3PH_1613"/>
      <sheetName val="UNP-NCW_13"/>
      <sheetName val="Addl_4013"/>
      <sheetName val="AutoOpen_Stub_Data13"/>
      <sheetName val="CO_FORMS7"/>
      <sheetName val="Consl_BS7"/>
      <sheetName val="Access_Road7"/>
      <sheetName val="Aurobindo_dossier_input7"/>
      <sheetName val="Aurobindo_MA_input7"/>
      <sheetName val="Intas_Control7"/>
      <sheetName val="Intas_dossier_input7"/>
      <sheetName val="Intas_MA_input7"/>
      <sheetName val="Torrent_dossier_input7"/>
      <sheetName val="Torrent_MA_input7"/>
      <sheetName val="REVENUES_&amp;_BS1"/>
      <sheetName val="VKFdn_420_(2)1"/>
      <sheetName val="bs_BP_04_SA1"/>
      <sheetName val="Fill_this_out_first___"/>
      <sheetName val="RATE-ANAY_"/>
      <sheetName val="Reserve_Addition"/>
      <sheetName val="SC_Cost_FEB_03"/>
      <sheetName val="TF_-25"/>
      <sheetName val="TF_1PH_16"/>
      <sheetName val="TF_3PH_16"/>
      <sheetName val="UNP-NCW_"/>
      <sheetName val="Addl_40"/>
      <sheetName val="AutoOpen_Stub_Data"/>
      <sheetName val="REVENUES_&amp;_BS2"/>
      <sheetName val="VKFdn_420_(2)2"/>
      <sheetName val="bs_BP_04_SA2"/>
      <sheetName val="Fill_this_out_first___1"/>
      <sheetName val="RATE-ANAY_1"/>
      <sheetName val="Reserve_Addition1"/>
      <sheetName val="SC_Cost_FEB_031"/>
      <sheetName val="TF_-251"/>
      <sheetName val="TF_1PH_161"/>
      <sheetName val="TF_3PH_161"/>
      <sheetName val="UNP-NCW_1"/>
      <sheetName val="Addl_401"/>
      <sheetName val="AutoOpen_Stub_Data1"/>
      <sheetName val="REVENUES_&amp;_BS3"/>
      <sheetName val="VKFdn_420_(2)3"/>
      <sheetName val="bs_BP_04_SA3"/>
      <sheetName val="Fill_this_out_first___2"/>
      <sheetName val="RATE-ANAY_2"/>
      <sheetName val="Reserve_Addition2"/>
      <sheetName val="SC_Cost_FEB_032"/>
      <sheetName val="TF_-252"/>
      <sheetName val="TF_1PH_162"/>
      <sheetName val="TF_3PH_162"/>
      <sheetName val="UNP-NCW_2"/>
      <sheetName val="Addl_402"/>
      <sheetName val="AutoOpen_Stub_Data2"/>
      <sheetName val="REVENUES_&amp;_BS4"/>
      <sheetName val="VKFdn_420_(2)4"/>
      <sheetName val="bs_BP_04_SA4"/>
      <sheetName val="Fill_this_out_first___3"/>
      <sheetName val="RATE-ANAY_3"/>
      <sheetName val="Reserve_Addition3"/>
      <sheetName val="SC_Cost_FEB_033"/>
      <sheetName val="TF_-253"/>
      <sheetName val="TF_1PH_163"/>
      <sheetName val="TF_3PH_163"/>
      <sheetName val="UNP-NCW_3"/>
      <sheetName val="Addl_403"/>
      <sheetName val="AutoOpen_Stub_Data3"/>
      <sheetName val="REVENUES_&amp;_BS5"/>
      <sheetName val="VKFdn_420_(2)5"/>
      <sheetName val="bs_BP_04_SA5"/>
      <sheetName val="Fill_this_out_first___4"/>
      <sheetName val="RATE-ANAY_4"/>
      <sheetName val="Reserve_Addition4"/>
      <sheetName val="SC_Cost_FEB_034"/>
      <sheetName val="TF_-254"/>
      <sheetName val="TF_1PH_164"/>
      <sheetName val="TF_3PH_164"/>
      <sheetName val="UNP-NCW_4"/>
      <sheetName val="Addl_404"/>
      <sheetName val="AutoOpen_Stub_Data4"/>
      <sheetName val="REVENUES_&amp;_BS10"/>
      <sheetName val="VKFdn_420_(2)10"/>
      <sheetName val="bs_BP_04_SA10"/>
      <sheetName val="Fill_this_out_first___9"/>
      <sheetName val="RATE-ANAY_9"/>
      <sheetName val="SC_Cost_FEB_039"/>
      <sheetName val="Reserve_Addition9"/>
      <sheetName val="TF_-259"/>
      <sheetName val="TF_1PH_169"/>
      <sheetName val="TF_3PH_169"/>
      <sheetName val="UNP-NCW_9"/>
      <sheetName val="Addl_409"/>
      <sheetName val="AutoOpen_Stub_Data9"/>
      <sheetName val="REVENUES_&amp;_BS6"/>
      <sheetName val="VKFdn_420_(2)6"/>
      <sheetName val="bs_BP_04_SA6"/>
      <sheetName val="Fill_this_out_first___5"/>
      <sheetName val="RATE-ANAY_5"/>
      <sheetName val="Reserve_Addition5"/>
      <sheetName val="SC_Cost_FEB_035"/>
      <sheetName val="TF_-255"/>
      <sheetName val="TF_1PH_165"/>
      <sheetName val="TF_3PH_165"/>
      <sheetName val="UNP-NCW_5"/>
      <sheetName val="Addl_405"/>
      <sheetName val="AutoOpen_Stub_Data5"/>
      <sheetName val="CO_FORMS3"/>
      <sheetName val="Consl_BS3"/>
      <sheetName val="Access_Road3"/>
      <sheetName val="Aurobindo_dossier_input3"/>
      <sheetName val="Aurobindo_MA_input3"/>
      <sheetName val="Intas_Control3"/>
      <sheetName val="Intas_dossier_input3"/>
      <sheetName val="Intas_MA_input3"/>
      <sheetName val="Torrent_dossier_input3"/>
      <sheetName val="Torrent_MA_input3"/>
      <sheetName val="REVENUES_&amp;_BS8"/>
      <sheetName val="VKFdn_420_(2)8"/>
      <sheetName val="bs_BP_04_SA8"/>
      <sheetName val="Fill_this_out_first___7"/>
      <sheetName val="RATE-ANAY_7"/>
      <sheetName val="Reserve_Addition7"/>
      <sheetName val="SC_Cost_FEB_037"/>
      <sheetName val="TF_-257"/>
      <sheetName val="TF_1PH_167"/>
      <sheetName val="TF_3PH_167"/>
      <sheetName val="UNP-NCW_7"/>
      <sheetName val="Addl_407"/>
      <sheetName val="AutoOpen_Stub_Data7"/>
      <sheetName val="CO_FORMS1"/>
      <sheetName val="Consl_BS1"/>
      <sheetName val="Access_Road1"/>
      <sheetName val="Aurobindo_dossier_input1"/>
      <sheetName val="Aurobindo_MA_input1"/>
      <sheetName val="Intas_Control1"/>
      <sheetName val="Intas_dossier_input1"/>
      <sheetName val="Intas_MA_input1"/>
      <sheetName val="Torrent_dossier_input1"/>
      <sheetName val="Torrent_MA_input1"/>
      <sheetName val="REVENUES_&amp;_BS7"/>
      <sheetName val="VKFdn_420_(2)7"/>
      <sheetName val="bs_BP_04_SA7"/>
      <sheetName val="Fill_this_out_first___6"/>
      <sheetName val="RATE-ANAY_6"/>
      <sheetName val="SC_Cost_FEB_036"/>
      <sheetName val="Reserve_Addition6"/>
      <sheetName val="TF_-256"/>
      <sheetName val="TF_1PH_166"/>
      <sheetName val="TF_3PH_166"/>
      <sheetName val="UNP-NCW_6"/>
      <sheetName val="Addl_406"/>
      <sheetName val="AutoOpen_Stub_Data6"/>
      <sheetName val="CO_FORMS"/>
      <sheetName val="Consl_BS"/>
      <sheetName val="Access_Road"/>
      <sheetName val="Aurobindo_dossier_input"/>
      <sheetName val="Aurobindo_MA_input"/>
      <sheetName val="Intas_Control"/>
      <sheetName val="Intas_dossier_input"/>
      <sheetName val="Intas_MA_input"/>
      <sheetName val="Torrent_dossier_input"/>
      <sheetName val="Torrent_MA_input"/>
      <sheetName val="REVENUES_&amp;_BS9"/>
      <sheetName val="VKFdn_420_(2)9"/>
      <sheetName val="bs_BP_04_SA9"/>
      <sheetName val="Fill_this_out_first___8"/>
      <sheetName val="RATE-ANAY_8"/>
      <sheetName val="SC_Cost_FEB_038"/>
      <sheetName val="Reserve_Addition8"/>
      <sheetName val="TF_-258"/>
      <sheetName val="TF_1PH_168"/>
      <sheetName val="TF_3PH_168"/>
      <sheetName val="UNP-NCW_8"/>
      <sheetName val="Addl_408"/>
      <sheetName val="AutoOpen_Stub_Data8"/>
      <sheetName val="CO_FORMS2"/>
      <sheetName val="Consl_BS2"/>
      <sheetName val="Access_Road2"/>
      <sheetName val="Aurobindo_dossier_input2"/>
      <sheetName val="Aurobindo_MA_input2"/>
      <sheetName val="Intas_Control2"/>
      <sheetName val="Intas_dossier_input2"/>
      <sheetName val="Intas_MA_input2"/>
      <sheetName val="Torrent_dossier_input2"/>
      <sheetName val="Torrent_MA_input2"/>
      <sheetName val="REVENUES_&amp;_BS11"/>
      <sheetName val="VKFdn_420_(2)11"/>
      <sheetName val="bs_BP_04_SA11"/>
      <sheetName val="Fill_this_out_first___10"/>
      <sheetName val="RATE-ANAY_10"/>
      <sheetName val="Reserve_Addition10"/>
      <sheetName val="SC_Cost_FEB_0310"/>
      <sheetName val="TF_-2510"/>
      <sheetName val="TF_1PH_1610"/>
      <sheetName val="TF_3PH_1610"/>
      <sheetName val="UNP-NCW_10"/>
      <sheetName val="Addl_4010"/>
      <sheetName val="AutoOpen_Stub_Data10"/>
      <sheetName val="CO_FORMS4"/>
      <sheetName val="Consl_BS4"/>
      <sheetName val="Access_Road4"/>
      <sheetName val="Aurobindo_dossier_input4"/>
      <sheetName val="Aurobindo_MA_input4"/>
      <sheetName val="Intas_Control4"/>
      <sheetName val="Intas_dossier_input4"/>
      <sheetName val="Intas_MA_input4"/>
      <sheetName val="Torrent_dossier_input4"/>
      <sheetName val="Torrent_MA_input4"/>
      <sheetName val="REVENUES_&amp;_BS12"/>
      <sheetName val="VKFdn_420_(2)12"/>
      <sheetName val="bs_BP_04_SA12"/>
      <sheetName val="Fill_this_out_first___11"/>
      <sheetName val="RATE-ANAY_11"/>
      <sheetName val="SC_Cost_FEB_0311"/>
      <sheetName val="Reserve_Addition11"/>
      <sheetName val="TF_-2511"/>
      <sheetName val="TF_1PH_1611"/>
      <sheetName val="TF_3PH_1611"/>
      <sheetName val="UNP-NCW_11"/>
      <sheetName val="Addl_4011"/>
      <sheetName val="AutoOpen_Stub_Data11"/>
      <sheetName val="CO_FORMS5"/>
      <sheetName val="Consl_BS5"/>
      <sheetName val="Access_Road5"/>
      <sheetName val="Aurobindo_dossier_input5"/>
      <sheetName val="Aurobindo_MA_input5"/>
      <sheetName val="Intas_Control5"/>
      <sheetName val="Intas_dossier_input5"/>
      <sheetName val="Intas_MA_input5"/>
      <sheetName val="Torrent_dossier_input5"/>
      <sheetName val="Torrent_MA_input5"/>
      <sheetName val="REVENUES_&amp;_BS13"/>
      <sheetName val="VKFdn_420_(2)13"/>
      <sheetName val="bs_BP_04_SA13"/>
      <sheetName val="Fill_this_out_first___12"/>
      <sheetName val="RATE-ANAY_12"/>
      <sheetName val="Reserve_Addition12"/>
      <sheetName val="SC_Cost_FEB_0312"/>
      <sheetName val="TF_-2512"/>
      <sheetName val="TF_1PH_1612"/>
      <sheetName val="TF_3PH_1612"/>
      <sheetName val="UNP-NCW_12"/>
      <sheetName val="Addl_4012"/>
      <sheetName val="AutoOpen_Stub_Data12"/>
      <sheetName val="CO_FORMS6"/>
      <sheetName val="Consl_BS6"/>
      <sheetName val="Access_Road6"/>
      <sheetName val="Aurobindo_dossier_input6"/>
      <sheetName val="Aurobindo_MA_input6"/>
      <sheetName val="Intas_Control6"/>
      <sheetName val="Intas_dossier_input6"/>
      <sheetName val="Intas_MA_input6"/>
      <sheetName val="Torrent_dossier_input6"/>
      <sheetName val="Torrent_MA_input6"/>
      <sheetName val="REVENUES_&amp;_BS15"/>
      <sheetName val="VKFdn_420_(2)15"/>
      <sheetName val="bs_BP_04_SA15"/>
      <sheetName val="Fill_this_out_first___14"/>
      <sheetName val="RATE-ANAY_14"/>
      <sheetName val="Reserve_Addition14"/>
      <sheetName val="SC_Cost_FEB_0314"/>
      <sheetName val="TF_-2514"/>
      <sheetName val="TF_1PH_1614"/>
      <sheetName val="TF_3PH_1614"/>
      <sheetName val="UNP-NCW_14"/>
      <sheetName val="Addl_4014"/>
      <sheetName val="AutoOpen_Stub_Data14"/>
      <sheetName val="CO_FORMS8"/>
      <sheetName val="Consl_BS8"/>
      <sheetName val="Access_Road8"/>
      <sheetName val="Aurobindo_dossier_input8"/>
      <sheetName val="Aurobindo_MA_input8"/>
      <sheetName val="Intas_Control8"/>
      <sheetName val="Intas_dossier_input8"/>
      <sheetName val="Intas_MA_input8"/>
      <sheetName val="Torrent_dossier_input8"/>
      <sheetName val="Torrent_MA_input8"/>
      <sheetName val="REVENUES_&amp;_BS16"/>
      <sheetName val="VKFdn_420_(2)16"/>
      <sheetName val="bs_BP_04_SA16"/>
      <sheetName val="Fill_this_out_first___15"/>
      <sheetName val="RATE-ANAY_15"/>
      <sheetName val="Reserve_Addition15"/>
      <sheetName val="SC_Cost_FEB_0315"/>
      <sheetName val="TF_-2515"/>
      <sheetName val="TF_1PH_1615"/>
      <sheetName val="TF_3PH_1615"/>
      <sheetName val="UNP-NCW_15"/>
      <sheetName val="Addl_4015"/>
      <sheetName val="AutoOpen_Stub_Data15"/>
      <sheetName val="CO_FORMS9"/>
      <sheetName val="Consl_BS9"/>
      <sheetName val="Access_Road9"/>
      <sheetName val="Aurobindo_dossier_input9"/>
      <sheetName val="Aurobindo_MA_input9"/>
      <sheetName val="Intas_Control9"/>
      <sheetName val="Intas_dossier_input9"/>
      <sheetName val="Intas_MA_input9"/>
      <sheetName val="Torrent_dossier_input9"/>
      <sheetName val="Torrent_MA_input9"/>
      <sheetName val="9618UH"/>
      <sheetName val="Definitions"/>
      <sheetName val="Energía campo 1"/>
      <sheetName val="Sch-5"/>
      <sheetName val="IOsummary"/>
      <sheetName val="Coalmine"/>
      <sheetName val="REVENUES_&amp;_BS17"/>
      <sheetName val="bs_BP_04_SA17"/>
      <sheetName val="VKFdn_420_(2)17"/>
      <sheetName val="Fill_this_out_first___16"/>
      <sheetName val="Reserve_Addition16"/>
      <sheetName val="RATE-ANAY_16"/>
      <sheetName val="SC_Cost_FEB_0316"/>
      <sheetName val="TF_-2516"/>
      <sheetName val="TF_1PH_1616"/>
      <sheetName val="TF_3PH_1616"/>
      <sheetName val="UNP-NCW_16"/>
      <sheetName val="Addl_4016"/>
      <sheetName val="AutoOpen_Stub_Data16"/>
      <sheetName val="CO_FORMS10"/>
      <sheetName val="Consl_BS10"/>
      <sheetName val="Access_Road10"/>
      <sheetName val="Aurobindo_dossier_input10"/>
      <sheetName val="Aurobindo_MA_input10"/>
      <sheetName val="Intas_Control10"/>
      <sheetName val="Intas_dossier_input10"/>
      <sheetName val="Intas_MA_input10"/>
      <sheetName val="Torrent_dossier_input10"/>
      <sheetName val="Torrent_MA_input10"/>
      <sheetName val="REVENUES_&amp;_BS18"/>
      <sheetName val="VKFdn_420_(2)18"/>
      <sheetName val="bs_BP_04_SA18"/>
      <sheetName val="Fill_this_out_first___17"/>
      <sheetName val="RATE-ANAY_17"/>
      <sheetName val="Reserve_Addition17"/>
      <sheetName val="SC_Cost_FEB_0317"/>
      <sheetName val="TF_-2517"/>
      <sheetName val="TF_1PH_1617"/>
      <sheetName val="TF_3PH_1617"/>
      <sheetName val="UNP-NCW_17"/>
      <sheetName val="Addl_4017"/>
      <sheetName val="AutoOpen_Stub_Data17"/>
      <sheetName val="CO_FORMS11"/>
      <sheetName val="Consl_BS11"/>
      <sheetName val="Access_Road11"/>
      <sheetName val="Aurobindo_dossier_input11"/>
      <sheetName val="Aurobindo_MA_input11"/>
      <sheetName val="Intas_Control11"/>
      <sheetName val="Intas_dossier_input11"/>
      <sheetName val="Intas_MA_input11"/>
      <sheetName val="Torrent_dossier_input11"/>
      <sheetName val="Torrent_MA_input11"/>
      <sheetName val="REVENUES_&amp;_BS19"/>
      <sheetName val="bs_BP_04_SA19"/>
      <sheetName val="VKFdn_420_(2)19"/>
      <sheetName val="Fill_this_out_first___18"/>
      <sheetName val="Reserve_Addition18"/>
      <sheetName val="RATE-ANAY_18"/>
      <sheetName val="SC_Cost_FEB_0318"/>
      <sheetName val="TF_-2518"/>
      <sheetName val="TF_1PH_1618"/>
      <sheetName val="TF_3PH_1618"/>
      <sheetName val="UNP-NCW_18"/>
      <sheetName val="Addl_4018"/>
      <sheetName val="AutoOpen_Stub_Data18"/>
      <sheetName val="CO_FORMS12"/>
      <sheetName val="Consl_BS12"/>
      <sheetName val="Access_Road12"/>
      <sheetName val="Aurobindo_dossier_input12"/>
      <sheetName val="Aurobindo_MA_input12"/>
      <sheetName val="Intas_Control12"/>
      <sheetName val="Intas_dossier_input12"/>
      <sheetName val="Intas_MA_input12"/>
      <sheetName val="Torrent_dossier_input12"/>
      <sheetName val="Torrent_MA_input12"/>
      <sheetName val="REVENUES_&amp;_BS24"/>
      <sheetName val="bs_BP_04_SA24"/>
      <sheetName val="VKFdn_420_(2)24"/>
      <sheetName val="Fill_this_out_first___23"/>
      <sheetName val="RATE-ANAY_23"/>
      <sheetName val="SC_Cost_FEB_0323"/>
      <sheetName val="Reserve_Addition23"/>
      <sheetName val="TF_-2523"/>
      <sheetName val="TF_1PH_1623"/>
      <sheetName val="TF_3PH_1623"/>
      <sheetName val="UNP-NCW_23"/>
      <sheetName val="Addl_4023"/>
      <sheetName val="AutoOpen_Stub_Data23"/>
      <sheetName val="CO_FORMS17"/>
      <sheetName val="Consl_BS17"/>
      <sheetName val="Access_Road17"/>
      <sheetName val="Aurobindo_dossier_input17"/>
      <sheetName val="Aurobindo_MA_input17"/>
      <sheetName val="Intas_Control17"/>
      <sheetName val="Intas_dossier_input17"/>
      <sheetName val="Intas_MA_input17"/>
      <sheetName val="Torrent_dossier_input17"/>
      <sheetName val="Torrent_MA_input17"/>
      <sheetName val="REVENUES_&amp;_BS23"/>
      <sheetName val="bs_BP_04_SA23"/>
      <sheetName val="VKFdn_420_(2)23"/>
      <sheetName val="Fill_this_out_first___22"/>
      <sheetName val="RATE-ANAY_22"/>
      <sheetName val="SC_Cost_FEB_0322"/>
      <sheetName val="Reserve_Addition22"/>
      <sheetName val="TF_-2522"/>
      <sheetName val="TF_1PH_1622"/>
      <sheetName val="TF_3PH_1622"/>
      <sheetName val="UNP-NCW_22"/>
      <sheetName val="Addl_4022"/>
      <sheetName val="AutoOpen_Stub_Data22"/>
      <sheetName val="CO_FORMS16"/>
      <sheetName val="Consl_BS16"/>
      <sheetName val="Access_Road16"/>
      <sheetName val="Aurobindo_dossier_input16"/>
      <sheetName val="Aurobindo_MA_input16"/>
      <sheetName val="Intas_Control16"/>
      <sheetName val="Intas_dossier_input16"/>
      <sheetName val="Intas_MA_input16"/>
      <sheetName val="Torrent_dossier_input16"/>
      <sheetName val="Torrent_MA_input16"/>
      <sheetName val="REVENUES_&amp;_BS20"/>
      <sheetName val="bs_BP_04_SA20"/>
      <sheetName val="VKFdn_420_(2)20"/>
      <sheetName val="Fill_this_out_first___19"/>
      <sheetName val="RATE-ANAY_19"/>
      <sheetName val="SC_Cost_FEB_0319"/>
      <sheetName val="Reserve_Addition19"/>
      <sheetName val="TF_-2519"/>
      <sheetName val="TF_1PH_1619"/>
      <sheetName val="TF_3PH_1619"/>
      <sheetName val="UNP-NCW_19"/>
      <sheetName val="Addl_4019"/>
      <sheetName val="AutoOpen_Stub_Data19"/>
      <sheetName val="CO_FORMS13"/>
      <sheetName val="Consl_BS13"/>
      <sheetName val="Access_Road13"/>
      <sheetName val="Aurobindo_dossier_input13"/>
      <sheetName val="Aurobindo_MA_input13"/>
      <sheetName val="Intas_Control13"/>
      <sheetName val="Intas_dossier_input13"/>
      <sheetName val="Intas_MA_input13"/>
      <sheetName val="Torrent_dossier_input13"/>
      <sheetName val="Torrent_MA_input13"/>
      <sheetName val="REVENUES_&amp;_BS21"/>
      <sheetName val="bs_BP_04_SA21"/>
      <sheetName val="VKFdn_420_(2)21"/>
      <sheetName val="Fill_this_out_first___20"/>
      <sheetName val="RATE-ANAY_20"/>
      <sheetName val="SC_Cost_FEB_0320"/>
      <sheetName val="Reserve_Addition20"/>
      <sheetName val="TF_-2520"/>
      <sheetName val="TF_1PH_1620"/>
      <sheetName val="TF_3PH_1620"/>
      <sheetName val="UNP-NCW_20"/>
      <sheetName val="Addl_4020"/>
      <sheetName val="AutoOpen_Stub_Data20"/>
      <sheetName val="CO_FORMS14"/>
      <sheetName val="Consl_BS14"/>
      <sheetName val="Access_Road14"/>
      <sheetName val="Aurobindo_dossier_input14"/>
      <sheetName val="Aurobindo_MA_input14"/>
      <sheetName val="Intas_Control14"/>
      <sheetName val="Intas_dossier_input14"/>
      <sheetName val="Intas_MA_input14"/>
      <sheetName val="Torrent_dossier_input14"/>
      <sheetName val="Torrent_MA_input14"/>
      <sheetName val="REVENUES_&amp;_BS22"/>
      <sheetName val="bs_BP_04_SA22"/>
      <sheetName val="VKFdn_420_(2)22"/>
      <sheetName val="Fill_this_out_first___21"/>
      <sheetName val="RATE-ANAY_21"/>
      <sheetName val="SC_Cost_FEB_0321"/>
      <sheetName val="Reserve_Addition21"/>
      <sheetName val="TF_-2521"/>
      <sheetName val="TF_1PH_1621"/>
      <sheetName val="TF_3PH_1621"/>
      <sheetName val="UNP-NCW_21"/>
      <sheetName val="Addl_4021"/>
      <sheetName val="AutoOpen_Stub_Data21"/>
      <sheetName val="CO_FORMS15"/>
      <sheetName val="Consl_BS15"/>
      <sheetName val="Access_Road15"/>
      <sheetName val="Aurobindo_dossier_input15"/>
      <sheetName val="Aurobindo_MA_input15"/>
      <sheetName val="Intas_Control15"/>
      <sheetName val="Intas_dossier_input15"/>
      <sheetName val="Intas_MA_input15"/>
      <sheetName val="Torrent_dossier_input15"/>
      <sheetName val="Torrent_MA_input15"/>
      <sheetName val="REVENUES_&amp;_BS25"/>
      <sheetName val="bs_BP_04_SA25"/>
      <sheetName val="VKFdn_420_(2)25"/>
      <sheetName val="Fill_this_out_first___24"/>
      <sheetName val="RATE-ANAY_24"/>
      <sheetName val="SC_Cost_FEB_0324"/>
      <sheetName val="Reserve_Addition24"/>
      <sheetName val="TF_-2524"/>
      <sheetName val="TF_1PH_1624"/>
      <sheetName val="TF_3PH_1624"/>
      <sheetName val="UNP-NCW_24"/>
      <sheetName val="Addl_4024"/>
      <sheetName val="AutoOpen_Stub_Data24"/>
      <sheetName val="CO_FORMS18"/>
      <sheetName val="Consl_BS18"/>
      <sheetName val="Access_Road18"/>
      <sheetName val="Aurobindo_dossier_input18"/>
      <sheetName val="Aurobindo_MA_input18"/>
      <sheetName val="Intas_Control18"/>
      <sheetName val="Intas_dossier_input18"/>
      <sheetName val="Intas_MA_input18"/>
      <sheetName val="Torrent_dossier_input18"/>
      <sheetName val="Torrent_MA_input18"/>
      <sheetName val="REVENUES_&amp;_BS28"/>
      <sheetName val="bs_BP_04_SA28"/>
      <sheetName val="VKFdn_420_(2)28"/>
      <sheetName val="Fill_this_out_first___27"/>
      <sheetName val="RATE-ANAY_27"/>
      <sheetName val="SC_Cost_FEB_0327"/>
      <sheetName val="Reserve_Addition27"/>
      <sheetName val="TF_-2527"/>
      <sheetName val="TF_1PH_1627"/>
      <sheetName val="TF_3PH_1627"/>
      <sheetName val="UNP-NCW_27"/>
      <sheetName val="Addl_4027"/>
      <sheetName val="AutoOpen_Stub_Data27"/>
      <sheetName val="CO_FORMS21"/>
      <sheetName val="Consl_BS21"/>
      <sheetName val="Access_Road21"/>
      <sheetName val="Aurobindo_dossier_input21"/>
      <sheetName val="Aurobindo_MA_input21"/>
      <sheetName val="Intas_Control21"/>
      <sheetName val="Intas_dossier_input21"/>
      <sheetName val="Intas_MA_input21"/>
      <sheetName val="Torrent_dossier_input21"/>
      <sheetName val="Torrent_MA_input21"/>
      <sheetName val="REVENUES_&amp;_BS26"/>
      <sheetName val="bs_BP_04_SA26"/>
      <sheetName val="VKFdn_420_(2)26"/>
      <sheetName val="Fill_this_out_first___25"/>
      <sheetName val="RATE-ANAY_25"/>
      <sheetName val="SC_Cost_FEB_0325"/>
      <sheetName val="Reserve_Addition25"/>
      <sheetName val="TF_-2525"/>
      <sheetName val="TF_1PH_1625"/>
      <sheetName val="TF_3PH_1625"/>
      <sheetName val="UNP-NCW_25"/>
      <sheetName val="Addl_4025"/>
      <sheetName val="AutoOpen_Stub_Data25"/>
      <sheetName val="CO_FORMS19"/>
      <sheetName val="Consl_BS19"/>
      <sheetName val="Access_Road19"/>
      <sheetName val="Aurobindo_dossier_input19"/>
      <sheetName val="Aurobindo_MA_input19"/>
      <sheetName val="Intas_Control19"/>
      <sheetName val="Intas_dossier_input19"/>
      <sheetName val="Intas_MA_input19"/>
      <sheetName val="Torrent_dossier_input19"/>
      <sheetName val="Torrent_MA_input19"/>
      <sheetName val="REVENUES_&amp;_BS27"/>
      <sheetName val="bs_BP_04_SA27"/>
      <sheetName val="VKFdn_420_(2)27"/>
      <sheetName val="Fill_this_out_first___26"/>
      <sheetName val="RATE-ANAY_26"/>
      <sheetName val="SC_Cost_FEB_0326"/>
      <sheetName val="Reserve_Addition26"/>
      <sheetName val="TF_-2526"/>
      <sheetName val="TF_1PH_1626"/>
      <sheetName val="TF_3PH_1626"/>
      <sheetName val="UNP-NCW_26"/>
      <sheetName val="Addl_4026"/>
      <sheetName val="AutoOpen_Stub_Data26"/>
      <sheetName val="CO_FORMS20"/>
      <sheetName val="Consl_BS20"/>
      <sheetName val="Access_Road20"/>
      <sheetName val="Aurobindo_dossier_input20"/>
      <sheetName val="Aurobindo_MA_input20"/>
      <sheetName val="Intas_Control20"/>
      <sheetName val="Intas_dossier_input20"/>
      <sheetName val="Intas_MA_input20"/>
      <sheetName val="Torrent_dossier_input20"/>
      <sheetName val="Torrent_MA_input20"/>
      <sheetName val="REVENUES_&amp;_BS29"/>
      <sheetName val="bs_BP_04_SA29"/>
      <sheetName val="VKFdn_420_(2)29"/>
      <sheetName val="Fill_this_out_first___28"/>
      <sheetName val="RATE-ANAY_28"/>
      <sheetName val="SC_Cost_FEB_0328"/>
      <sheetName val="Reserve_Addition28"/>
      <sheetName val="TF_-2528"/>
      <sheetName val="TF_1PH_1628"/>
      <sheetName val="TF_3PH_1628"/>
      <sheetName val="UNP-NCW_28"/>
      <sheetName val="Addl_4028"/>
      <sheetName val="AutoOpen_Stub_Data28"/>
      <sheetName val="CO_FORMS22"/>
      <sheetName val="Consl_BS22"/>
      <sheetName val="Access_Road22"/>
      <sheetName val="Aurobindo_dossier_input22"/>
      <sheetName val="Aurobindo_MA_input22"/>
      <sheetName val="Intas_Control22"/>
      <sheetName val="Intas_dossier_input22"/>
      <sheetName val="Intas_MA_input22"/>
      <sheetName val="Torrent_dossier_input22"/>
      <sheetName val="Torrent_MA_input22"/>
      <sheetName val="Energía_campo_1"/>
      <sheetName val="REVENUES_&amp;_BS30"/>
      <sheetName val="bs_BP_04_SA30"/>
      <sheetName val="VKFdn_420_(2)30"/>
      <sheetName val="Fill_this_out_first___29"/>
      <sheetName val="RATE-ANAY_29"/>
      <sheetName val="SC_Cost_FEB_0329"/>
      <sheetName val="Reserve_Addition29"/>
      <sheetName val="TF_-2529"/>
      <sheetName val="TF_1PH_1629"/>
      <sheetName val="TF_3PH_1629"/>
      <sheetName val="UNP-NCW_29"/>
      <sheetName val="Addl_4029"/>
      <sheetName val="AutoOpen_Stub_Data29"/>
      <sheetName val="CO_FORMS23"/>
      <sheetName val="Consl_BS23"/>
      <sheetName val="Access_Road23"/>
      <sheetName val="Aurobindo_dossier_input23"/>
      <sheetName val="Aurobindo_MA_input23"/>
      <sheetName val="Intas_Control23"/>
      <sheetName val="Intas_dossier_input23"/>
      <sheetName val="Intas_MA_input23"/>
      <sheetName val="Torrent_dossier_input23"/>
      <sheetName val="Torrent_MA_input23"/>
      <sheetName val="Energía_campo_11"/>
      <sheetName val="REVENUES_&amp;_BS31"/>
      <sheetName val="bs_BP_04_SA31"/>
      <sheetName val="VKFdn_420_(2)31"/>
      <sheetName val="Fill_this_out_first___30"/>
      <sheetName val="RATE-ANAY_30"/>
      <sheetName val="SC_Cost_FEB_0330"/>
      <sheetName val="Reserve_Addition30"/>
      <sheetName val="TF_-2530"/>
      <sheetName val="TF_1PH_1630"/>
      <sheetName val="TF_3PH_1630"/>
      <sheetName val="UNP-NCW_30"/>
      <sheetName val="Addl_4030"/>
      <sheetName val="AutoOpen_Stub_Data30"/>
      <sheetName val="CO_FORMS24"/>
      <sheetName val="Consl_BS24"/>
      <sheetName val="Access_Road24"/>
      <sheetName val="Aurobindo_dossier_input24"/>
      <sheetName val="Aurobindo_MA_input24"/>
      <sheetName val="Intas_Control24"/>
      <sheetName val="Intas_dossier_input24"/>
      <sheetName val="Intas_MA_input24"/>
      <sheetName val="Torrent_dossier_input24"/>
      <sheetName val="Torrent_MA_input24"/>
      <sheetName val="Energía_campo_12"/>
      <sheetName val="REVENUES_&amp;_BS32"/>
      <sheetName val="bs_BP_04_SA32"/>
      <sheetName val="VKFdn_420_(2)32"/>
      <sheetName val="Fill_this_out_first___31"/>
      <sheetName val="RATE-ANAY_31"/>
      <sheetName val="SC_Cost_FEB_0331"/>
      <sheetName val="Reserve_Addition31"/>
      <sheetName val="TF_-2531"/>
      <sheetName val="TF_1PH_1631"/>
      <sheetName val="TF_3PH_1631"/>
      <sheetName val="UNP-NCW_31"/>
      <sheetName val="Addl_4031"/>
      <sheetName val="AutoOpen_Stub_Data31"/>
      <sheetName val="CO_FORMS25"/>
      <sheetName val="Consl_BS25"/>
      <sheetName val="Access_Road25"/>
      <sheetName val="Aurobindo_dossier_input25"/>
      <sheetName val="Aurobindo_MA_input25"/>
      <sheetName val="Intas_Control25"/>
      <sheetName val="Intas_dossier_input25"/>
      <sheetName val="Intas_MA_input25"/>
      <sheetName val="Torrent_dossier_input25"/>
      <sheetName val="Torrent_MA_input25"/>
      <sheetName val="Energía_campo_13"/>
      <sheetName val="REVENUES_&amp;_BS33"/>
      <sheetName val="bs_BP_04_SA33"/>
      <sheetName val="VKFdn_420_(2)33"/>
      <sheetName val="Fill_this_out_first___32"/>
      <sheetName val="RATE-ANAY_32"/>
      <sheetName val="SC_Cost_FEB_0332"/>
      <sheetName val="Reserve_Addition32"/>
      <sheetName val="TF_-2532"/>
      <sheetName val="TF_1PH_1632"/>
      <sheetName val="TF_3PH_1632"/>
      <sheetName val="UNP-NCW_32"/>
      <sheetName val="Addl_4032"/>
      <sheetName val="AutoOpen_Stub_Data32"/>
      <sheetName val="CO_FORMS26"/>
      <sheetName val="Consl_BS26"/>
      <sheetName val="Access_Road26"/>
      <sheetName val="Aurobindo_dossier_input26"/>
      <sheetName val="Aurobindo_MA_input26"/>
      <sheetName val="Intas_Control26"/>
      <sheetName val="Intas_dossier_input26"/>
      <sheetName val="Intas_MA_input26"/>
      <sheetName val="Torrent_dossier_input26"/>
      <sheetName val="Torrent_MA_input26"/>
      <sheetName val="Energía_campo_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 val="Sales &amp;Sale Cost"/>
      <sheetName val="balance_Work12"/>
      <sheetName val="SAP架設-2005_12_3113"/>
      <sheetName val="LOCAL_RATES12"/>
      <sheetName val="S-Curve_(2)12"/>
      <sheetName val="Material_12"/>
      <sheetName val="21-Rate_Analysis-111"/>
      <sheetName val="final_abstract12"/>
      <sheetName val="C_&amp;_G_RHS12"/>
      <sheetName val="Final_Basic_rate11"/>
      <sheetName val="Materials_Cost11"/>
      <sheetName val="Materials_Cost(PCC)12"/>
      <sheetName val="Rate_Analysis10"/>
      <sheetName val="Chiet_tinh_dz3511"/>
      <sheetName val="pile_Fabrication11"/>
      <sheetName val="Risk_Te__Co_10"/>
      <sheetName val="Informa_10"/>
      <sheetName val="Bank_Guarantee10"/>
      <sheetName val="STEEL-SLAB_(0)10"/>
      <sheetName val="SHUTTER-1flr_beam_(1)10"/>
      <sheetName val="SHUTTER-1flr_slab(1)10"/>
      <sheetName val="STEEL-SLAB_(1flr)10"/>
      <sheetName val="slab-reinft(1flr)-REF_10"/>
      <sheetName val="BEAM-REINFT_(1flr)10"/>
      <sheetName val="beam-reinft-(1flr)ADDT_10"/>
      <sheetName val="concrete-Ist-IInd_floor10"/>
      <sheetName val="shuttering-1st-IInd_floor10"/>
      <sheetName val="STEEL-SLAB_(2flr)10"/>
      <sheetName val="slab-reinft(2flr)-REF__(2)10"/>
      <sheetName val="BEAM-REINFT_(2flr)_(2)10"/>
      <sheetName val="beam-reinft-(2flr)ADDT__(2)10"/>
      <sheetName val="STEEL-SLAB_(3flr)_10"/>
      <sheetName val="Slab-reinft(3flr)ADD_10"/>
      <sheetName val="slab-reinft(3flr)-ADD__(1)10"/>
      <sheetName val="STEEL-SLAB_(4th-flr)_10"/>
      <sheetName val="slab-reinft(4thflr)-ADD__(2)10"/>
      <sheetName val="slab_reinft_-(4th_flr)10"/>
      <sheetName val="Indices_(3rd)10"/>
      <sheetName val="SHUTTER-1flr_beam(old)10"/>
      <sheetName val="03_CTS,MEPZ-CANTEEN_(2)10"/>
      <sheetName val="beam-reinft-machine_rm10"/>
      <sheetName val="input_micro10"/>
      <sheetName val="DETAILED__BOQ10"/>
      <sheetName val="HSD_LUB_9"/>
      <sheetName val="Mix_Design9"/>
      <sheetName val="doq-1_DOQ_Culvert9"/>
      <sheetName val="AoR_Finishing9"/>
      <sheetName val="Revised_BoQ_Str9"/>
      <sheetName val="oHS+F_Ex_Alu_+actual_staff9"/>
      <sheetName val="oHS+F_Ex_Alu__(trial)9"/>
      <sheetName val="Ex_aluminium9"/>
      <sheetName val="oH(mc_purchase)9"/>
      <sheetName val="Plang_1pour9"/>
      <sheetName val="Plang_3pour9"/>
      <sheetName val="Machine_Schedule_9"/>
      <sheetName val="Staff_Schedule9"/>
      <sheetName val="ABS_10"/>
      <sheetName val="BOQ_Summary10"/>
      <sheetName val="2_1310"/>
      <sheetName val="9_0110"/>
      <sheetName val="9_0710"/>
      <sheetName val="9_8310"/>
      <sheetName val="9_1210"/>
      <sheetName val="9_4710"/>
      <sheetName val="9_50(i)10"/>
      <sheetName val="9_50(ii)10"/>
      <sheetName val="9_51_Slab10"/>
      <sheetName val="9_51_Girder10"/>
      <sheetName val="9_5210"/>
      <sheetName val="9_6210"/>
      <sheetName val="9_6310"/>
      <sheetName val="9_6910"/>
      <sheetName val="8_4810"/>
      <sheetName val="8_4910"/>
      <sheetName val="P1_&amp;_P2_Reinforcement_detail10"/>
      <sheetName val="A1_&amp;_A2_Reinforcement_detail10"/>
      <sheetName val="P-Ins_&amp;_Bonds9"/>
      <sheetName val="Plant_&amp;__Machinery7"/>
      <sheetName val="UNP-NCW_9"/>
      <sheetName val="9_Major_Bridge9"/>
      <sheetName val="8__ROB9"/>
      <sheetName val="10_Minor_Structure9"/>
      <sheetName val="7__FLYOVER9"/>
      <sheetName val="2__Earthwork9"/>
      <sheetName val="schedule_nos9"/>
      <sheetName val="BUD_07-089"/>
      <sheetName val="E_&amp;_R9"/>
      <sheetName val="BOQ_Distribution9"/>
      <sheetName val="Qty_SR9"/>
      <sheetName val="Materials_9"/>
      <sheetName val="02_10_069"/>
      <sheetName val="01_11_20049"/>
      <sheetName val="USB_19"/>
      <sheetName val="220Kv_(2)9"/>
      <sheetName val="Input_Data9"/>
      <sheetName val="Input_Data_R9"/>
      <sheetName val="Input_Data_F9"/>
      <sheetName val="A_O_R_9"/>
      <sheetName val="Ave_wtd_rates9"/>
      <sheetName val="Data_Validation9"/>
      <sheetName val="MN_T_B_9"/>
      <sheetName val="Progressin_Next_mon-AP-179"/>
      <sheetName val="SPT_vs_PHI9"/>
      <sheetName val="Wind_Speed_II9"/>
      <sheetName val="Duopitch_Roof9"/>
      <sheetName val="Free-Standing_Wall9"/>
      <sheetName val="Vertical_Walls9"/>
      <sheetName val="Flat_Roof9"/>
      <sheetName val="Factor_Sb9"/>
      <sheetName val="Size_Effect_Factor9"/>
      <sheetName val="Direction_factor9"/>
      <sheetName val="Wind_Speed_I9"/>
      <sheetName val="Fee_Rate_Summary9"/>
      <sheetName val="Data_19"/>
      <sheetName val="SS_MH9"/>
      <sheetName val="_AnalysisPCC9"/>
      <sheetName val="INPUT_SHEET9"/>
      <sheetName val="abs_road9"/>
      <sheetName val="road_est9"/>
      <sheetName val="Road_data9"/>
      <sheetName val="Diesel_Analysis6"/>
      <sheetName val="Elect_7"/>
      <sheetName val="SC_revtrgt6"/>
      <sheetName val="Bus_Ways9"/>
      <sheetName val="Major_Br__Statement9"/>
      <sheetName val="Site_clearance9"/>
      <sheetName val="4_Annex_1_Basic_rate9"/>
      <sheetName val="NLD_-_Assum6"/>
      <sheetName val="Cost_of_O_&amp;_O6"/>
      <sheetName val="Non_debit-RMC9"/>
      <sheetName val="Labour_&amp;_Plant9"/>
      <sheetName val="RATE_COMPILATION9"/>
      <sheetName val="Sub_con_List6"/>
      <sheetName val="KM_wise_Quantity6"/>
      <sheetName val="footing_for_SP9"/>
      <sheetName val="gen_ledger_data9"/>
      <sheetName val="33628-Rev__A9"/>
      <sheetName val="General_input9"/>
      <sheetName val="Design_sheet9"/>
      <sheetName val="DATA-DEP_(13-17)9"/>
      <sheetName val="DATA-GCC(25-34_7)9"/>
      <sheetName val="St_-Con(0-17)9"/>
      <sheetName val="St_-Con_(17-34)9"/>
      <sheetName val="Analysis-Drains_&amp;_Misc9"/>
      <sheetName val="Lead_Statement_(PCC)9"/>
      <sheetName val="Analysis-NH-Traf_&amp;_Trans9"/>
      <sheetName val="12__Ins_&amp;_Bonds9"/>
      <sheetName val="RA_Civil9"/>
      <sheetName val="ESOP_ECAL_TABLES9"/>
      <sheetName val="precast_RC_element9"/>
      <sheetName val="Core_Data9"/>
      <sheetName val="GLEVEL_RHS9"/>
      <sheetName val="General_Analysis9"/>
      <sheetName val="except_wiring9"/>
      <sheetName val="SCH_106"/>
      <sheetName val="Structure_du_projet7"/>
      <sheetName val="Appendix_A9"/>
      <sheetName val="JCR_TOP9"/>
      <sheetName val="POCOS_제출및납품일정7"/>
      <sheetName val="Pile_cap7"/>
      <sheetName val="PIPING_LINE_LIST7"/>
      <sheetName val="Rollup_Summary6"/>
      <sheetName val="Sheet3_(2)6"/>
      <sheetName val="Doha_Farm6"/>
      <sheetName val="doq_16"/>
      <sheetName val="doq_96"/>
      <sheetName val="Load_Calculation6"/>
      <sheetName val="SC_Cost_FEB_036"/>
      <sheetName val="factor_6"/>
      <sheetName val="Pro_Pavement4"/>
      <sheetName val="Chpt_1-4_&amp;_13"/>
      <sheetName val="RET_"/>
      <sheetName val="HO_DPR"/>
      <sheetName val="water_prop_"/>
      <sheetName val="PRECAST_lightconc-II"/>
      <sheetName val="train_cash1"/>
      <sheetName val="accom_cash1"/>
      <sheetName val="M-Book_for_Conc1"/>
      <sheetName val="M-Book_for_FW1"/>
      <sheetName val="HB_CEC_schd_6_2"/>
      <sheetName val="steam_outlet"/>
      <sheetName val="Cost_Summary"/>
      <sheetName val="Rising_Main"/>
      <sheetName val="IV_3__Road_side_drains"/>
      <sheetName val="EAW_Final_Accounts_-_991"/>
      <sheetName val="Raw_Data"/>
      <sheetName val="As_per_PCA1"/>
      <sheetName val="Data_sheet1"/>
      <sheetName val="2nd_"/>
      <sheetName val="foot-slab_reinft"/>
      <sheetName val="Variation_Statement"/>
      <sheetName val="head_loss_calc"/>
      <sheetName val="Legal_Risk_Analysis"/>
      <sheetName val="Staff_Acco_"/>
      <sheetName val="labour_coeff"/>
      <sheetName val="Rate_Base"/>
      <sheetName val="CT_Thang_Mo"/>
      <sheetName val="CT__PL"/>
      <sheetName val="doq-1_bus_bay"/>
      <sheetName val="doq_2"/>
      <sheetName val="doq-1_Aoq_Culvert"/>
      <sheetName val="Mach_Reco"/>
      <sheetName val="R.A."/>
      <sheetName val="factors"/>
      <sheetName val="Invoice"/>
      <sheetName val="Price Index Multiple (2)"/>
      <sheetName val="Price Index Multiple -1 REV"/>
      <sheetName val="Price Index Multiple"/>
      <sheetName val="Fiancial"/>
      <sheetName val="Abstract-Physical Progress."/>
      <sheetName val=" Earth Work"/>
      <sheetName val="GSB"/>
      <sheetName val="WMM"/>
      <sheetName val="Shoulders"/>
      <sheetName val="DBM"/>
      <sheetName val="DLC"/>
      <sheetName val="PQC"/>
      <sheetName val="BC"/>
      <sheetName val=" Culverts (wd)"/>
      <sheetName val="I-C -1. Culverts"/>
      <sheetName val="Drain"/>
      <sheetName val="Headings"/>
      <sheetName val="7 Other Costs"/>
      <sheetName val="Occ, Other Rev, Exp, Dispo"/>
      <sheetName val="Assumptions-Input"/>
      <sheetName val="Material List "/>
      <sheetName val="Price_Index_Multiple_(2)2"/>
      <sheetName val="Price_Index_Multiple_-1_REV2"/>
      <sheetName val="Price_Index_Multiple2"/>
      <sheetName val="Abstract-Physical_Progress_2"/>
      <sheetName val="_Earth_Work2"/>
      <sheetName val="_Culverts_(wd)2"/>
      <sheetName val="I-C_-1__Culverts2"/>
      <sheetName val="Price_Index_Multiple_(2)1"/>
      <sheetName val="Price_Index_Multiple_-1_REV1"/>
      <sheetName val="Price_Index_Multiple1"/>
      <sheetName val="Abstract-Physical_Progress_1"/>
      <sheetName val="_Earth_Work1"/>
      <sheetName val="_Culverts_(wd)1"/>
      <sheetName val="I-C_-1__Culverts1"/>
      <sheetName val="Price_Index_Multiple_(2)"/>
      <sheetName val="Price_Index_Multiple_-1_REV"/>
      <sheetName val="Price_Index_Multiple"/>
      <sheetName val="Abstract-Physical_Progress_"/>
      <sheetName val="_Earth_Work"/>
      <sheetName val="_Culverts_(wd)"/>
      <sheetName val="I-C_-1__Culverts"/>
      <sheetName val="LOCAL_RATES13"/>
      <sheetName val="balance_Work13"/>
      <sheetName val="SAP架設-2005_12_3114"/>
      <sheetName val="C_&amp;_G_RHS13"/>
      <sheetName val="Final_Basic_rate12"/>
      <sheetName val="S-Curve_(2)13"/>
      <sheetName val="Materials_Cost(PCC)13"/>
      <sheetName val="final_abstract13"/>
      <sheetName val="Material_13"/>
      <sheetName val="21-Rate_Analysis-112"/>
      <sheetName val="Materials_Cost12"/>
      <sheetName val="Rate_Analysis11"/>
      <sheetName val="Chiet_tinh_dz3512"/>
      <sheetName val="pile_Fabrication12"/>
      <sheetName val="Risk_Te__Co_11"/>
      <sheetName val="Informa_11"/>
      <sheetName val="Bank_Guarantee11"/>
      <sheetName val="STEEL-SLAB_(0)11"/>
      <sheetName val="SHUTTER-1flr_beam_(1)11"/>
      <sheetName val="SHUTTER-1flr_slab(1)11"/>
      <sheetName val="STEEL-SLAB_(1flr)11"/>
      <sheetName val="slab-reinft(1flr)-REF_11"/>
      <sheetName val="BEAM-REINFT_(1flr)11"/>
      <sheetName val="beam-reinft-(1flr)ADDT_11"/>
      <sheetName val="concrete-Ist-IInd_floor11"/>
      <sheetName val="shuttering-1st-IInd_floor11"/>
      <sheetName val="STEEL-SLAB_(2flr)11"/>
      <sheetName val="slab-reinft(2flr)-REF__(2)11"/>
      <sheetName val="BEAM-REINFT_(2flr)_(2)11"/>
      <sheetName val="beam-reinft-(2flr)ADDT__(2)11"/>
      <sheetName val="STEEL-SLAB_(3flr)_11"/>
      <sheetName val="Slab-reinft(3flr)ADD_11"/>
      <sheetName val="slab-reinft(3flr)-ADD__(1)11"/>
      <sheetName val="STEEL-SLAB_(4th-flr)_11"/>
      <sheetName val="slab-reinft(4thflr)-ADD__(2)11"/>
      <sheetName val="slab_reinft_-(4th_flr)11"/>
      <sheetName val="Indices_(3rd)11"/>
      <sheetName val="SHUTTER-1flr_beam(old)11"/>
      <sheetName val="03_CTS,MEPZ-CANTEEN_(2)11"/>
      <sheetName val="beam-reinft-machine_rm11"/>
      <sheetName val="input_micro11"/>
      <sheetName val="DETAILED__BOQ11"/>
      <sheetName val="HSD_LUB_10"/>
      <sheetName val="Mix_Design10"/>
      <sheetName val="doq-1_DOQ_Culvert10"/>
      <sheetName val="AoR_Finishing10"/>
      <sheetName val="Revised_BoQ_Str10"/>
      <sheetName val="oHS+F_Ex_Alu_+actual_staff10"/>
      <sheetName val="oHS+F_Ex_Alu__(trial)10"/>
      <sheetName val="Ex_aluminium10"/>
      <sheetName val="oH(mc_purchase)10"/>
      <sheetName val="Plang_1pour10"/>
      <sheetName val="Plang_3pour10"/>
      <sheetName val="Machine_Schedule_10"/>
      <sheetName val="Staff_Schedule10"/>
      <sheetName val="ABS_11"/>
      <sheetName val="BOQ_Summary11"/>
      <sheetName val="2_1311"/>
      <sheetName val="9_0111"/>
      <sheetName val="9_0711"/>
      <sheetName val="9_8311"/>
      <sheetName val="9_1211"/>
      <sheetName val="9_4711"/>
      <sheetName val="9_50(i)11"/>
      <sheetName val="9_50(ii)11"/>
      <sheetName val="9_51_Slab11"/>
      <sheetName val="9_51_Girder11"/>
      <sheetName val="9_5211"/>
      <sheetName val="9_6211"/>
      <sheetName val="9_6311"/>
      <sheetName val="9_6911"/>
      <sheetName val="8_4811"/>
      <sheetName val="8_4911"/>
      <sheetName val="P1_&amp;_P2_Reinforcement_detail11"/>
      <sheetName val="A1_&amp;_A2_Reinforcement_detail11"/>
      <sheetName val="P-Ins_&amp;_Bonds10"/>
      <sheetName val="Plant_&amp;__Machinery8"/>
      <sheetName val="UNP-NCW_10"/>
      <sheetName val="9_Major_Bridge10"/>
      <sheetName val="8__ROB10"/>
      <sheetName val="10_Minor_Structure10"/>
      <sheetName val="7__FLYOVER10"/>
      <sheetName val="2__Earthwork10"/>
      <sheetName val="schedule_nos10"/>
      <sheetName val="BUD_07-0810"/>
      <sheetName val="E_&amp;_R10"/>
      <sheetName val="BOQ_Distribution10"/>
      <sheetName val="Qty_SR10"/>
      <sheetName val="Materials_10"/>
      <sheetName val="02_10_0610"/>
      <sheetName val="01_11_200410"/>
      <sheetName val="USB_110"/>
      <sheetName val="220Kv_(2)10"/>
      <sheetName val="Input_Data10"/>
      <sheetName val="Input_Data_R10"/>
      <sheetName val="Input_Data_F10"/>
      <sheetName val="A_O_R_10"/>
      <sheetName val="Ave_wtd_rates10"/>
      <sheetName val="Data_Validation10"/>
      <sheetName val="MN_T_B_10"/>
      <sheetName val="Progressin_Next_mon-AP-1710"/>
      <sheetName val="SPT_vs_PHI10"/>
      <sheetName val="Wind_Speed_II10"/>
      <sheetName val="Duopitch_Roof10"/>
      <sheetName val="Free-Standing_Wall10"/>
      <sheetName val="Vertical_Walls10"/>
      <sheetName val="Flat_Roof10"/>
      <sheetName val="Factor_Sb10"/>
      <sheetName val="Size_Effect_Factor10"/>
      <sheetName val="Direction_factor10"/>
      <sheetName val="Wind_Speed_I10"/>
      <sheetName val="Fee_Rate_Summary10"/>
      <sheetName val="Data_110"/>
      <sheetName val="SS_MH10"/>
      <sheetName val="_AnalysisPCC10"/>
      <sheetName val="INPUT_SHEET10"/>
      <sheetName val="abs_road10"/>
      <sheetName val="road_est10"/>
      <sheetName val="Road_data10"/>
      <sheetName val="Diesel_Analysis7"/>
      <sheetName val="Elect_8"/>
      <sheetName val="SC_revtrgt7"/>
      <sheetName val="Bus_Ways10"/>
      <sheetName val="Major_Br__Statement10"/>
      <sheetName val="Site_clearance10"/>
      <sheetName val="4_Annex_1_Basic_rate10"/>
      <sheetName val="NLD_-_Assum7"/>
      <sheetName val="Cost_of_O_&amp;_O7"/>
      <sheetName val="Non_debit-RMC10"/>
      <sheetName val="Labour_&amp;_Plant10"/>
      <sheetName val="RATE_COMPILATION10"/>
      <sheetName val="Sub_con_List7"/>
      <sheetName val="KM_wise_Quantity7"/>
      <sheetName val="footing_for_SP10"/>
      <sheetName val="gen_ledger_data10"/>
      <sheetName val="33628-Rev__A10"/>
      <sheetName val="General_input10"/>
      <sheetName val="Design_sheet10"/>
      <sheetName val="DATA-DEP_(13-17)10"/>
      <sheetName val="DATA-GCC(25-34_7)10"/>
      <sheetName val="St_-Con(0-17)10"/>
      <sheetName val="St_-Con_(17-34)10"/>
      <sheetName val="Analysis-Drains_&amp;_Misc10"/>
      <sheetName val="Lead_Statement_(PCC)10"/>
      <sheetName val="Analysis-NH-Traf_&amp;_Trans10"/>
      <sheetName val="12__Ins_&amp;_Bonds10"/>
      <sheetName val="RA_Civil10"/>
      <sheetName val="ESOP_ECAL_TABLES10"/>
      <sheetName val="precast_RC_element10"/>
      <sheetName val="Core_Data10"/>
      <sheetName val="GLEVEL_RHS10"/>
      <sheetName val="General_Analysis10"/>
      <sheetName val="except_wiring10"/>
      <sheetName val="SCH_107"/>
      <sheetName val="Structure_du_projet8"/>
      <sheetName val="Appendix_A10"/>
      <sheetName val="JCR_TOP10"/>
      <sheetName val="POCOS_제출및납품일정8"/>
      <sheetName val="Pile_cap8"/>
      <sheetName val="PIPING_LINE_LIST8"/>
      <sheetName val="Rollup_Summary7"/>
      <sheetName val="Sheet3_(2)7"/>
      <sheetName val="Doha_Farm7"/>
      <sheetName val="LL_ABUT5"/>
      <sheetName val="_5"/>
      <sheetName val="doq_17"/>
      <sheetName val="doq_97"/>
      <sheetName val="ADMIN_SHEET5"/>
      <sheetName val="10-Crop_Age5"/>
      <sheetName val="CG_-St5"/>
      <sheetName val="Load_Calculation7"/>
      <sheetName val="SC_Cost_FEB_037"/>
      <sheetName val="factor_7"/>
      <sheetName val="Cal(6_3_2)_GSB-T5"/>
      <sheetName val="Cal(6_3_1)_GSB-1(Jn_)_DDA5"/>
      <sheetName val="Cal(6_2_2)_(b)EMB-T5"/>
      <sheetName val="Cal(6_3_3)_WMM-T5"/>
      <sheetName val="Cal(6_2_4)_SG-T5"/>
      <sheetName val="MASTER_RATE_ANALYSIS5"/>
      <sheetName val="SKMD__325"/>
      <sheetName val="DIR_USED_ITEMS5"/>
      <sheetName val="12_8_I_(M-40)5"/>
      <sheetName val="ANN_-V4"/>
      <sheetName val="ORDER_BOOKING4"/>
      <sheetName val="STAFFSCHED_4"/>
      <sheetName val="Abt_Foundation_4"/>
      <sheetName val="pier_Foundation4"/>
      <sheetName val="2_24"/>
      <sheetName val="BATCHING_PLANT_PRO4"/>
      <sheetName val="B2_MB_Deck4"/>
      <sheetName val="Sheet1_(2)4"/>
      <sheetName val="Field_Values4"/>
      <sheetName val="Desgn(zone_I)4"/>
      <sheetName val="Abs_PMRL4"/>
      <sheetName val="Abstract_of_cost4"/>
      <sheetName val="IO_List4"/>
      <sheetName val="TBAL9697_-group_wise__sdpl4"/>
      <sheetName val="CONSTRUCTION_COMPONENT4"/>
      <sheetName val="ETC_Plant_Cost5"/>
      <sheetName val="beam-reinft-IIInd_floor5"/>
      <sheetName val="Labor_abs-NMR4"/>
      <sheetName val="BASIC_RATES4"/>
      <sheetName val="Project_Budget_Worksheet3"/>
      <sheetName val="1St_certified_RA_bill4"/>
      <sheetName val="Tower_Schedule6"/>
      <sheetName val="BOQ_(2)4"/>
      <sheetName val="Qty_Report4"/>
      <sheetName val="no_3"/>
      <sheetName val="Dayworks_Bill4"/>
      <sheetName val="Bills_of_Quantities4"/>
      <sheetName val="BOQ_DIS3"/>
      <sheetName val="All_Equipments3"/>
      <sheetName val="MATERIAL_COST2"/>
      <sheetName val="Day_work2"/>
      <sheetName val="Design_basis-C2"/>
      <sheetName val="Pro_Pavement5"/>
      <sheetName val="Lead_statement2"/>
      <sheetName val="Back_Cal_for_OMC4"/>
      <sheetName val="Chapter_1-42"/>
      <sheetName val="Chapter-12_Drainage2"/>
      <sheetName val="Chapter-13_Junction2"/>
      <sheetName val="Chapter-14_trafic_Manag_const2"/>
      <sheetName val="Chapter-15_bus&amp;_trck_laybye2"/>
      <sheetName val="Chapter-16_Toll_Plaza2"/>
      <sheetName val="Chapter-17_Main_during_cons2"/>
      <sheetName val="Chap-18__2"/>
      <sheetName val="Cont_Wt_2"/>
      <sheetName val="doq4_2"/>
      <sheetName val="BILL_ABSTRACT2"/>
      <sheetName val="Mobilization_Advance_2"/>
      <sheetName val="Measurement_&amp;_Supply_Sheet_(2)2"/>
      <sheetName val="Hydro_testing2"/>
      <sheetName val="Supply_Sheet2"/>
      <sheetName val="Hydro_testing_2"/>
      <sheetName val="OHT_432"/>
      <sheetName val="_OHT382"/>
      <sheetName val="Scheme_No1552"/>
      <sheetName val="OHT_40_Tigariya_Badshah2"/>
      <sheetName val="OHT-48_Kushwah_2"/>
      <sheetName val="New_Ranibag2"/>
      <sheetName val="OHT_392"/>
      <sheetName val="Jai_hind_nagar_-_OHT372"/>
      <sheetName val="OHT_20(Mitra_Bandhu_Nagar)2"/>
      <sheetName val="OHT_15(Samar_Park)2"/>
      <sheetName val="Bhuri_tekri2"/>
      <sheetName val="Scheme_No-1402"/>
      <sheetName val="OHT-16_Lasudia_Mori_2"/>
      <sheetName val="Scheme_No-782"/>
      <sheetName val="Scheme_No_114_Part_22"/>
      <sheetName val="OHT09-_Bicholi2"/>
      <sheetName val="Bijalpur_OHT2"/>
      <sheetName val="Scheme_No_1342"/>
      <sheetName val="OHT_49(Gandhinagar)2"/>
      <sheetName val="Silicon_City2"/>
      <sheetName val="OHT_32_(Gwala_Colony)2"/>
      <sheetName val="MS_Pipe2"/>
      <sheetName val="REGIONWISE_POPULATION3"/>
      <sheetName val="tower_wt_3"/>
      <sheetName val="CY4_casted2"/>
      <sheetName val="PACK_(B)2"/>
      <sheetName val="Chpt_1-4_&amp;_131"/>
      <sheetName val="RET_1"/>
      <sheetName val="HO_DPR1"/>
      <sheetName val="water_prop_1"/>
      <sheetName val="PRECAST_lightconc-II1"/>
      <sheetName val="train_cash2"/>
      <sheetName val="accom_cash2"/>
      <sheetName val="M-Book_for_Conc2"/>
      <sheetName val="M-Book_for_FW2"/>
      <sheetName val="HB_CEC_schd_6_21"/>
      <sheetName val="steam_outlet1"/>
      <sheetName val="Cost_Summary1"/>
      <sheetName val="Rising_Main1"/>
      <sheetName val="Machinary_Road_Work1"/>
      <sheetName val="Batching&amp;Pil_POL1"/>
      <sheetName val="Steel_Piling_POL1"/>
      <sheetName val="IV_3__Road_side_drains1"/>
      <sheetName val="EAW_Final_Accounts_-_992"/>
      <sheetName val="Raw_Data1"/>
      <sheetName val="As_per_PCA2"/>
      <sheetName val="Data_sheet2"/>
      <sheetName val="2nd_1"/>
      <sheetName val="foot-slab_reinft1"/>
      <sheetName val="Variation_Statement1"/>
      <sheetName val="head_loss_calc1"/>
      <sheetName val="Legal_Risk_Analysis1"/>
      <sheetName val="Staff_Acco_1"/>
      <sheetName val="labour_coeff1"/>
      <sheetName val="Rate_Base1"/>
      <sheetName val="CT_Thang_Mo1"/>
      <sheetName val="CT__PL1"/>
      <sheetName val="Backup_PRW_-_VIIA1"/>
      <sheetName val="doq-1_bus_bay1"/>
      <sheetName val="doq_21"/>
      <sheetName val="doq-1_Aoq_Culvert1"/>
      <sheetName val="Mach_Reco1"/>
      <sheetName val="Labour_productivity1"/>
      <sheetName val="TCS_IIC1"/>
      <sheetName val="TCS_II_D1"/>
      <sheetName val="PIE_chart_data1"/>
      <sheetName val="CABLENOS_1"/>
      <sheetName val="valve data"/>
      <sheetName val="GENERAL"/>
      <sheetName val="Break up of RMcost"/>
      <sheetName val="Basic Data"/>
      <sheetName val="Flash Mixer"/>
      <sheetName val="96_GM_Form"/>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Option"/>
      <sheetName val="Load Details(B2)"/>
      <sheetName val="97 사업추정(WEKI)"/>
      <sheetName val="Forecast Variance Planning hrs"/>
      <sheetName val="ACB 2001"/>
      <sheetName val="MCCB 2001"/>
      <sheetName val="Load_Details(B2)"/>
      <sheetName val="97_사업추정(WEKI)"/>
      <sheetName val="Forecast_Variance_Planning_hrs"/>
      <sheetName val="ACB_2001"/>
      <sheetName val="MCCB_2001"/>
      <sheetName val="Basic_Data"/>
      <sheetName val="Flash_Mixer"/>
      <sheetName val="DESBAST"/>
      <sheetName val="SECQ1"/>
      <sheetName val="Scheme Area Details_Block__ C2"/>
      <sheetName val="New33KVSS_E3"/>
      <sheetName val="Prop aug of Ex 33KVSS_E3a"/>
      <sheetName val="SCH"/>
      <sheetName val="Amortissement de prêt"/>
      <sheetName val="Operating charges_Odour control"/>
      <sheetName val="SAP架設-2005_12_3116"/>
      <sheetName val="balance_Work15"/>
      <sheetName val="LOCAL_RATES15"/>
      <sheetName val="S-Curve_(2)15"/>
      <sheetName val="Final_Basic_rate14"/>
      <sheetName val="Materials_Cost14"/>
      <sheetName val="C_&amp;_G_RHS15"/>
      <sheetName val="Material_15"/>
      <sheetName val="21-Rate_Analysis-114"/>
      <sheetName val="final_abstract15"/>
      <sheetName val="Materials_Cost(PCC)15"/>
      <sheetName val="Chiet_tinh_dz3514"/>
      <sheetName val="pile_Fabrication14"/>
      <sheetName val="Risk_Te__Co_13"/>
      <sheetName val="Informa_13"/>
      <sheetName val="Bank_Guarantee13"/>
      <sheetName val="STEEL-SLAB_(0)13"/>
      <sheetName val="SHUTTER-1flr_beam_(1)13"/>
      <sheetName val="SHUTTER-1flr_slab(1)13"/>
      <sheetName val="STEEL-SLAB_(1flr)13"/>
      <sheetName val="slab-reinft(1flr)-REF_13"/>
      <sheetName val="BEAM-REINFT_(1flr)13"/>
      <sheetName val="beam-reinft-(1flr)ADDT_13"/>
      <sheetName val="concrete-Ist-IInd_floor13"/>
      <sheetName val="shuttering-1st-IInd_floor13"/>
      <sheetName val="STEEL-SLAB_(2flr)13"/>
      <sheetName val="slab-reinft(2flr)-REF__(2)13"/>
      <sheetName val="BEAM-REINFT_(2flr)_(2)13"/>
      <sheetName val="beam-reinft-(2flr)ADDT__(2)13"/>
      <sheetName val="STEEL-SLAB_(3flr)_13"/>
      <sheetName val="Slab-reinft(3flr)ADD_13"/>
      <sheetName val="slab-reinft(3flr)-ADD__(1)13"/>
      <sheetName val="STEEL-SLAB_(4th-flr)_13"/>
      <sheetName val="slab-reinft(4thflr)-ADD__(2)13"/>
      <sheetName val="slab_reinft_-(4th_flr)13"/>
      <sheetName val="Indices_(3rd)13"/>
      <sheetName val="SHUTTER-1flr_beam(old)13"/>
      <sheetName val="03_CTS,MEPZ-CANTEEN_(2)13"/>
      <sheetName val="beam-reinft-machine_rm13"/>
      <sheetName val="input_micro13"/>
      <sheetName val="P-Ins_&amp;_Bonds12"/>
      <sheetName val="BUD_07-0812"/>
      <sheetName val="HSD_LUB_12"/>
      <sheetName val="USB_112"/>
      <sheetName val="Input_Data12"/>
      <sheetName val="Input_Data_R12"/>
      <sheetName val="Input_Data_F12"/>
      <sheetName val="UNP-NCW_12"/>
      <sheetName val="9_Major_Bridge12"/>
      <sheetName val="8__ROB12"/>
      <sheetName val="10_Minor_Structure12"/>
      <sheetName val="7__FLYOVER12"/>
      <sheetName val="2__Earthwork12"/>
      <sheetName val="AoR_Finishing12"/>
      <sheetName val="Revised_BoQ_Str12"/>
      <sheetName val="oHS+F_Ex_Alu_+actual_staff12"/>
      <sheetName val="oHS+F_Ex_Alu__(trial)12"/>
      <sheetName val="Ex_aluminium12"/>
      <sheetName val="oH(mc_purchase)12"/>
      <sheetName val="Plang_1pour12"/>
      <sheetName val="Plang_3pour12"/>
      <sheetName val="Machine_Schedule_12"/>
      <sheetName val="Staff_Schedule12"/>
      <sheetName val="Mix_Design12"/>
      <sheetName val="doq-1_DOQ_Culvert12"/>
      <sheetName val="Rate_Analysis13"/>
      <sheetName val="schedule_nos12"/>
      <sheetName val="Materials_12"/>
      <sheetName val="DETAILED__BOQ13"/>
      <sheetName val="ABS_13"/>
      <sheetName val="BOQ_Summary13"/>
      <sheetName val="2_1313"/>
      <sheetName val="9_0113"/>
      <sheetName val="9_0713"/>
      <sheetName val="9_8313"/>
      <sheetName val="9_1213"/>
      <sheetName val="9_4713"/>
      <sheetName val="9_50(i)13"/>
      <sheetName val="9_50(ii)13"/>
      <sheetName val="9_51_Slab13"/>
      <sheetName val="9_51_Girder13"/>
      <sheetName val="9_5213"/>
      <sheetName val="9_6213"/>
      <sheetName val="9_6313"/>
      <sheetName val="9_6913"/>
      <sheetName val="8_4813"/>
      <sheetName val="8_4913"/>
      <sheetName val="P1_&amp;_P2_Reinforcement_detail13"/>
      <sheetName val="A1_&amp;_A2_Reinforcement_detail13"/>
      <sheetName val="01_11_200412"/>
      <sheetName val="02_10_0612"/>
      <sheetName val="220Kv_(2)12"/>
      <sheetName val="A_O_R_12"/>
      <sheetName val="Data_Validation12"/>
      <sheetName val="Qty_SR12"/>
      <sheetName val="_AnalysisPCC12"/>
      <sheetName val="Fee_Rate_Summary12"/>
      <sheetName val="SPT_vs_PHI12"/>
      <sheetName val="Wind_Speed_II12"/>
      <sheetName val="Duopitch_Roof12"/>
      <sheetName val="Free-Standing_Wall12"/>
      <sheetName val="Vertical_Walls12"/>
      <sheetName val="Flat_Roof12"/>
      <sheetName val="Factor_Sb12"/>
      <sheetName val="Size_Effect_Factor12"/>
      <sheetName val="Direction_factor12"/>
      <sheetName val="Wind_Speed_I12"/>
      <sheetName val="MN_T_B_12"/>
      <sheetName val="Ave_wtd_rates12"/>
      <sheetName val="Progressin_Next_mon-AP-1712"/>
      <sheetName val="abs_road12"/>
      <sheetName val="road_est12"/>
      <sheetName val="Road_data12"/>
      <sheetName val="E_&amp;_R12"/>
      <sheetName val="Analysis-Drains_&amp;_Misc12"/>
      <sheetName val="Lead_Statement_(PCC)12"/>
      <sheetName val="Analysis-NH-Traf_&amp;_Trans12"/>
      <sheetName val="Cost_of_O_&amp;_O9"/>
      <sheetName val="Non_debit-RMC12"/>
      <sheetName val="Labour_&amp;_Plant12"/>
      <sheetName val="RATE_COMPILATION12"/>
      <sheetName val="Bus_Ways12"/>
      <sheetName val="Major_Br__Statement12"/>
      <sheetName val="Site_clearance12"/>
      <sheetName val="4_Annex_1_Basic_rate12"/>
      <sheetName val="Data_112"/>
      <sheetName val="SS_MH12"/>
      <sheetName val="BOQ_Distribution12"/>
      <sheetName val="gen_ledger_data12"/>
      <sheetName val="33628-Rev__A12"/>
      <sheetName val="General_input12"/>
      <sheetName val="Design_sheet12"/>
      <sheetName val="12__Ins_&amp;_Bonds12"/>
      <sheetName val="INPUT_SHEET12"/>
      <sheetName val="footing_for_SP12"/>
      <sheetName val="RA_Civil12"/>
      <sheetName val="factor_9"/>
      <sheetName val="ESOP_ECAL_TABLES12"/>
      <sheetName val="Doha_Farm9"/>
      <sheetName val="precast_RC_element12"/>
      <sheetName val="Core_Data12"/>
      <sheetName val="GLEVEL_RHS12"/>
      <sheetName val="General_Analysis12"/>
      <sheetName val="except_wiring12"/>
      <sheetName val="doq_19"/>
      <sheetName val="doq_99"/>
      <sheetName val="Load_Calculation9"/>
      <sheetName val="Plant_&amp;__Machinery10"/>
      <sheetName val="Diesel_Analysis9"/>
      <sheetName val="Elect_10"/>
      <sheetName val="SC_revtrgt9"/>
      <sheetName val="NLD_-_Assum9"/>
      <sheetName val="Appendix_A12"/>
      <sheetName val="JCR_TOP12"/>
      <sheetName val="DATA-DEP_(13-17)12"/>
      <sheetName val="DATA-GCC(25-34_7)12"/>
      <sheetName val="St_-Con(0-17)12"/>
      <sheetName val="St_-Con_(17-34)12"/>
      <sheetName val="POCOS_제출및납품일정10"/>
      <sheetName val="Pile_cap10"/>
      <sheetName val="PIPING_LINE_LIST10"/>
      <sheetName val="Rollup_Summary9"/>
      <sheetName val="Sheet3_(2)9"/>
      <sheetName val="Structure_du_projet10"/>
      <sheetName val="SC_Cost_FEB_039"/>
      <sheetName val="Sub_con_List9"/>
      <sheetName val="KM_wise_Quantity9"/>
      <sheetName val="SCH_109"/>
      <sheetName val="Tower_Schedule9"/>
      <sheetName val="Cal(6_3_2)_GSB-T9"/>
      <sheetName val="Cal(6_3_1)_GSB-1(Jn_)_DDA9"/>
      <sheetName val="Cal(6_2_2)_(b)EMB-T9"/>
      <sheetName val="Cal(6_3_3)_WMM-T9"/>
      <sheetName val="Cal(6_2_4)_SG-T9"/>
      <sheetName val="_9"/>
      <sheetName val="10-Crop_Age9"/>
      <sheetName val="CG_-St9"/>
      <sheetName val="LL_ABUT9"/>
      <sheetName val="ADMIN_SHEET9"/>
      <sheetName val="SKMD__327"/>
      <sheetName val="DIR_USED_ITEMS7"/>
      <sheetName val="12_8_I_(M-40)7"/>
      <sheetName val="ANN_-V6"/>
      <sheetName val="ORDER_BOOKING6"/>
      <sheetName val="Sheet1_(2)6"/>
      <sheetName val="MASTER_RATE_ANALYSIS9"/>
      <sheetName val="ETC_Plant_Cost9"/>
      <sheetName val="beam-reinft-IIInd_floor9"/>
      <sheetName val="2_26"/>
      <sheetName val="BATCHING_PLANT_PRO6"/>
      <sheetName val="B2_MB_Deck6"/>
      <sheetName val="Abt_Foundation_6"/>
      <sheetName val="pier_Foundation6"/>
      <sheetName val="STAFFSCHED_6"/>
      <sheetName val="1St_certified_RA_bill6"/>
      <sheetName val="Labor_abs-NMR6"/>
      <sheetName val="Pro_Pavement7"/>
      <sheetName val="REGIONWISE_POPULATION7"/>
      <sheetName val="tower_wt_7"/>
      <sheetName val="Day_work6"/>
      <sheetName val="Design_basis-C6"/>
      <sheetName val="BOQ_(2)6"/>
      <sheetName val="Field_Values6"/>
      <sheetName val="Desgn(zone_I)6"/>
      <sheetName val="Abs_PMRL6"/>
      <sheetName val="Abstract_of_cost6"/>
      <sheetName val="IO_List6"/>
      <sheetName val="TBAL9697_-group_wise__sdpl6"/>
      <sheetName val="CONSTRUCTION_COMPONENT6"/>
      <sheetName val="MATERIAL_COST6"/>
      <sheetName val="Project_Budget_Worksheet6"/>
      <sheetName val="BILL_ABSTRACT6"/>
      <sheetName val="Mobilization_Advance_6"/>
      <sheetName val="Measurement_&amp;_Supply_Sheet_(2)6"/>
      <sheetName val="Hydro_testing6"/>
      <sheetName val="Supply_Sheet6"/>
      <sheetName val="Hydro_testing_6"/>
      <sheetName val="OHT_436"/>
      <sheetName val="_OHT386"/>
      <sheetName val="Scheme_No1556"/>
      <sheetName val="OHT_40_Tigariya_Badshah6"/>
      <sheetName val="OHT-48_Kushwah_6"/>
      <sheetName val="New_Ranibag6"/>
      <sheetName val="OHT_396"/>
      <sheetName val="Jai_hind_nagar_-_OHT376"/>
      <sheetName val="OHT_20(Mitra_Bandhu_Nagar)6"/>
      <sheetName val="OHT_15(Samar_Park)6"/>
      <sheetName val="Bhuri_tekri6"/>
      <sheetName val="Scheme_No-1406"/>
      <sheetName val="OHT-16_Lasudia_Mori_6"/>
      <sheetName val="Scheme_No-786"/>
      <sheetName val="Scheme_No_114_Part_26"/>
      <sheetName val="OHT09-_Bicholi6"/>
      <sheetName val="Bijalpur_OHT6"/>
      <sheetName val="Scheme_No_1346"/>
      <sheetName val="OHT_49(Gandhinagar)6"/>
      <sheetName val="Silicon_City6"/>
      <sheetName val="OHT_32_(Gwala_Colony)6"/>
      <sheetName val="MS_Pipe6"/>
      <sheetName val="CY4_casted6"/>
      <sheetName val="PACK_(B)6"/>
      <sheetName val="BASIC_RATES6"/>
      <sheetName val="HB_CEC_schd_6_24"/>
      <sheetName val="train_cash4"/>
      <sheetName val="accom_cash4"/>
      <sheetName val="M-Book_for_Conc4"/>
      <sheetName val="M-Book_for_FW4"/>
      <sheetName val="steam_outlet4"/>
      <sheetName val="Cost_Summary4"/>
      <sheetName val="Rising_Main4"/>
      <sheetName val="EAW_Final_Accounts_-_994"/>
      <sheetName val="Monthly_Turnover_(Final)5"/>
      <sheetName val="Monthly_Programme5"/>
      <sheetName val="Dayworks_Bill6"/>
      <sheetName val="Bills_of_Quantities6"/>
      <sheetName val="Back_Cal_for_OMC6"/>
      <sheetName val="Machinary_Road_Work4"/>
      <sheetName val="Batching&amp;Pil_POL4"/>
      <sheetName val="Steel_Piling_POL4"/>
      <sheetName val="Qty_Report6"/>
      <sheetName val="Raw_Data3"/>
      <sheetName val="Chapter_1-44"/>
      <sheetName val="Chapter-12_Drainage4"/>
      <sheetName val="Chapter-13_Junction4"/>
      <sheetName val="Chapter-14_trafic_Manag_const4"/>
      <sheetName val="Chapter-15_bus&amp;_trck_laybye4"/>
      <sheetName val="Chapter-16_Toll_Plaza4"/>
      <sheetName val="Chapter-17_Main_during_cons4"/>
      <sheetName val="Chap-18__4"/>
      <sheetName val="water_prop_3"/>
      <sheetName val="As_per_PCA4"/>
      <sheetName val="Data_sheet4"/>
      <sheetName val="Lead_statement4"/>
      <sheetName val="Basic_Data3"/>
      <sheetName val="Flash_Mixer3"/>
      <sheetName val="Rate_Base3"/>
      <sheetName val="CT_Thang_Mo3"/>
      <sheetName val="CT__PL3"/>
      <sheetName val="no_4"/>
      <sheetName val="Vendor_Name4"/>
      <sheetName val="Abstruct_total5"/>
      <sheetName val="HP(9_200)5"/>
      <sheetName val="Equipment_Master5"/>
      <sheetName val="Not_found_as_per_ground_realit4"/>
      <sheetName val="BOQ_DIS4"/>
      <sheetName val="All_Equipments4"/>
      <sheetName val="Steel_Structure4"/>
      <sheetName val="Cont_Wt_4"/>
      <sheetName val="doq4_4"/>
      <sheetName val="PAVEMENT_MN3"/>
      <sheetName val="SP_Break_Up3"/>
      <sheetName val="Gen_Info4"/>
      <sheetName val="Chpt_1-4_&amp;_133"/>
      <sheetName val="Slab_Drain_Abs_3"/>
      <sheetName val="Sweeper_Machine3"/>
      <sheetName val="PQC_Design3"/>
      <sheetName val="pqc_check3"/>
      <sheetName val="RET_2"/>
      <sheetName val="HO_DPR2"/>
      <sheetName val="PRECAST_lightconc-II2"/>
      <sheetName val="2nd_2"/>
      <sheetName val="foot-slab_reinft2"/>
      <sheetName val="Variation_Statement2"/>
      <sheetName val="head_loss_calc2"/>
      <sheetName val="Staff_Acco_2"/>
      <sheetName val="1_row_C_D_1"/>
      <sheetName val="Load_Details(B2)1"/>
      <sheetName val="97_사업추정(WEKI)1"/>
      <sheetName val="Forecast_Variance_Planning_hrs1"/>
      <sheetName val="ACB_20011"/>
      <sheetName val="MCCB_20011"/>
      <sheetName val="PV_FDN2"/>
      <sheetName val="PV_FDN"/>
      <sheetName val="Basic_Data1"/>
      <sheetName val="Flash_Mixer1"/>
      <sheetName val="Slab_Drain_Abs_1"/>
      <sheetName val="HPL"/>
      <sheetName val="Cal(6_3_2)_GSB-T6"/>
      <sheetName val="Cal(6_3_1)_GSB-1(Jn_)_DDA6"/>
      <sheetName val="Cal(6_2_2)_(b)EMB-T6"/>
      <sheetName val="Cal(6_3_3)_WMM-T6"/>
      <sheetName val="Cal(6_2_4)_SG-T6"/>
      <sheetName val="_6"/>
      <sheetName val="10-Crop_Age6"/>
      <sheetName val="CG_-St6"/>
      <sheetName val="LL_ABUT6"/>
      <sheetName val="ADMIN_SHEET6"/>
      <sheetName val="MASTER_RATE_ANALYSIS6"/>
      <sheetName val="ETC_Plant_Cost6"/>
      <sheetName val="beam-reinft-IIInd_floor6"/>
      <sheetName val="REGIONWISE_POPULATION4"/>
      <sheetName val="tower_wt_4"/>
      <sheetName val="Day_work3"/>
      <sheetName val="Design_basis-C3"/>
      <sheetName val="MATERIAL_COST3"/>
      <sheetName val="BILL_ABSTRACT3"/>
      <sheetName val="Mobilization_Advance_3"/>
      <sheetName val="Measurement_&amp;_Supply_Sheet_(2)3"/>
      <sheetName val="Hydro_testing3"/>
      <sheetName val="Supply_Sheet3"/>
      <sheetName val="Hydro_testing_3"/>
      <sheetName val="OHT_433"/>
      <sheetName val="_OHT383"/>
      <sheetName val="Scheme_No1553"/>
      <sheetName val="OHT_40_Tigariya_Badshah3"/>
      <sheetName val="OHT-48_Kushwah_3"/>
      <sheetName val="New_Ranibag3"/>
      <sheetName val="OHT_393"/>
      <sheetName val="Jai_hind_nagar_-_OHT373"/>
      <sheetName val="OHT_20(Mitra_Bandhu_Nagar)3"/>
      <sheetName val="OHT_15(Samar_Park)3"/>
      <sheetName val="Bhuri_tekri3"/>
      <sheetName val="Scheme_No-1403"/>
      <sheetName val="OHT-16_Lasudia_Mori_3"/>
      <sheetName val="Scheme_No-783"/>
      <sheetName val="Scheme_No_114_Part_23"/>
      <sheetName val="OHT09-_Bicholi3"/>
      <sheetName val="Bijalpur_OHT3"/>
      <sheetName val="Scheme_No_1343"/>
      <sheetName val="OHT_49(Gandhinagar)3"/>
      <sheetName val="Silicon_City3"/>
      <sheetName val="OHT_32_(Gwala_Colony)3"/>
      <sheetName val="MS_Pipe3"/>
      <sheetName val="CY4_casted3"/>
      <sheetName val="PACK_(B)3"/>
      <sheetName val="Tower_Schedule7"/>
      <sheetName val="Cal(6_3_2)_GSB-T7"/>
      <sheetName val="Cal(6_3_1)_GSB-1(Jn_)_DDA7"/>
      <sheetName val="Cal(6_2_2)_(b)EMB-T7"/>
      <sheetName val="Cal(6_3_3)_WMM-T7"/>
      <sheetName val="Cal(6_2_4)_SG-T7"/>
      <sheetName val="_7"/>
      <sheetName val="10-Crop_Age7"/>
      <sheetName val="CG_-St7"/>
      <sheetName val="LL_ABUT7"/>
      <sheetName val="ADMIN_SHEET7"/>
      <sheetName val="MASTER_RATE_ANALYSIS7"/>
      <sheetName val="ETC_Plant_Cost7"/>
      <sheetName val="beam-reinft-IIInd_floor7"/>
      <sheetName val="REGIONWISE_POPULATION5"/>
      <sheetName val="tower_wt_5"/>
      <sheetName val="Day_work4"/>
      <sheetName val="Design_basis-C4"/>
      <sheetName val="MATERIAL_COST4"/>
      <sheetName val="Project_Budget_Worksheet4"/>
      <sheetName val="BILL_ABSTRACT4"/>
      <sheetName val="Mobilization_Advance_4"/>
      <sheetName val="Measurement_&amp;_Supply_Sheet_(2)4"/>
      <sheetName val="Hydro_testing4"/>
      <sheetName val="Supply_Sheet4"/>
      <sheetName val="Hydro_testing_4"/>
      <sheetName val="OHT_434"/>
      <sheetName val="_OHT384"/>
      <sheetName val="Scheme_No1554"/>
      <sheetName val="OHT_40_Tigariya_Badshah4"/>
      <sheetName val="OHT-48_Kushwah_4"/>
      <sheetName val="New_Ranibag4"/>
      <sheetName val="OHT_394"/>
      <sheetName val="Jai_hind_nagar_-_OHT374"/>
      <sheetName val="OHT_20(Mitra_Bandhu_Nagar)4"/>
      <sheetName val="OHT_15(Samar_Park)4"/>
      <sheetName val="Bhuri_tekri4"/>
      <sheetName val="Scheme_No-1404"/>
      <sheetName val="OHT-16_Lasudia_Mori_4"/>
      <sheetName val="Scheme_No-784"/>
      <sheetName val="Scheme_No_114_Part_24"/>
      <sheetName val="OHT09-_Bicholi4"/>
      <sheetName val="Bijalpur_OHT4"/>
      <sheetName val="Scheme_No_1344"/>
      <sheetName val="OHT_49(Gandhinagar)4"/>
      <sheetName val="Silicon_City4"/>
      <sheetName val="OHT_32_(Gwala_Colony)4"/>
      <sheetName val="MS_Pipe4"/>
      <sheetName val="CY4_casted4"/>
      <sheetName val="PACK_(B)4"/>
      <sheetName val="Vendor_Name2"/>
      <sheetName val="Monthly_Turnover_(Final)3"/>
      <sheetName val="Monthly_Programme3"/>
      <sheetName val="Abstruct_total3"/>
      <sheetName val="HP(9_200)3"/>
      <sheetName val="Equipment_Master3"/>
      <sheetName val="Not_found_as_per_ground_realit2"/>
      <sheetName val="Steel_Structure2"/>
      <sheetName val="Gen_Info2"/>
      <sheetName val="HB_CEC_schd_6_22"/>
      <sheetName val="steam_outlet2"/>
      <sheetName val="Cost_Summary2"/>
      <sheetName val="Rising_Main2"/>
      <sheetName val="Machinary_Road_Work2"/>
      <sheetName val="Batching&amp;Pil_POL2"/>
      <sheetName val="Steel_Piling_POL2"/>
      <sheetName val="Project_Inputs1"/>
      <sheetName val="Leg_1-11"/>
      <sheetName val="70R"/>
      <sheetName val="SAP架設-2005_12_3115"/>
      <sheetName val="balance_Work14"/>
      <sheetName val="LOCAL_RATES14"/>
      <sheetName val="S-Curve_(2)14"/>
      <sheetName val="Final_Basic_rate13"/>
      <sheetName val="Materials_Cost13"/>
      <sheetName val="C_&amp;_G_RHS14"/>
      <sheetName val="Material_14"/>
      <sheetName val="21-Rate_Analysis-113"/>
      <sheetName val="final_abstract14"/>
      <sheetName val="Materials_Cost(PCC)14"/>
      <sheetName val="Chiet_tinh_dz3513"/>
      <sheetName val="pile_Fabrication13"/>
      <sheetName val="Risk_Te__Co_12"/>
      <sheetName val="Informa_12"/>
      <sheetName val="Bank_Guarantee12"/>
      <sheetName val="STEEL-SLAB_(0)12"/>
      <sheetName val="SHUTTER-1flr_beam_(1)12"/>
      <sheetName val="SHUTTER-1flr_slab(1)12"/>
      <sheetName val="STEEL-SLAB_(1flr)12"/>
      <sheetName val="slab-reinft(1flr)-REF_12"/>
      <sheetName val="BEAM-REINFT_(1flr)12"/>
      <sheetName val="beam-reinft-(1flr)ADDT_12"/>
      <sheetName val="concrete-Ist-IInd_floor12"/>
      <sheetName val="shuttering-1st-IInd_floor12"/>
      <sheetName val="STEEL-SLAB_(2flr)12"/>
      <sheetName val="slab-reinft(2flr)-REF__(2)12"/>
      <sheetName val="BEAM-REINFT_(2flr)_(2)12"/>
      <sheetName val="beam-reinft-(2flr)ADDT__(2)12"/>
      <sheetName val="STEEL-SLAB_(3flr)_12"/>
      <sheetName val="Slab-reinft(3flr)ADD_12"/>
      <sheetName val="slab-reinft(3flr)-ADD__(1)12"/>
      <sheetName val="STEEL-SLAB_(4th-flr)_12"/>
      <sheetName val="slab-reinft(4thflr)-ADD__(2)12"/>
      <sheetName val="slab_reinft_-(4th_flr)12"/>
      <sheetName val="Indices_(3rd)12"/>
      <sheetName val="SHUTTER-1flr_beam(old)12"/>
      <sheetName val="03_CTS,MEPZ-CANTEEN_(2)12"/>
      <sheetName val="beam-reinft-machine_rm12"/>
      <sheetName val="input_micro12"/>
      <sheetName val="P-Ins_&amp;_Bonds11"/>
      <sheetName val="BUD_07-0811"/>
      <sheetName val="HSD_LUB_11"/>
      <sheetName val="USB_111"/>
      <sheetName val="Input_Data11"/>
      <sheetName val="Input_Data_R11"/>
      <sheetName val="Input_Data_F11"/>
      <sheetName val="UNP-NCW_11"/>
      <sheetName val="9_Major_Bridge11"/>
      <sheetName val="8__ROB11"/>
      <sheetName val="10_Minor_Structure11"/>
      <sheetName val="7__FLYOVER11"/>
      <sheetName val="2__Earthwork11"/>
      <sheetName val="AoR_Finishing11"/>
      <sheetName val="Revised_BoQ_Str11"/>
      <sheetName val="oHS+F_Ex_Alu_+actual_staff11"/>
      <sheetName val="oHS+F_Ex_Alu__(trial)11"/>
      <sheetName val="Ex_aluminium11"/>
      <sheetName val="oH(mc_purchase)11"/>
      <sheetName val="Plang_1pour11"/>
      <sheetName val="Plang_3pour11"/>
      <sheetName val="Machine_Schedule_11"/>
      <sheetName val="Staff_Schedule11"/>
      <sheetName val="Mix_Design11"/>
      <sheetName val="doq-1_DOQ_Culvert11"/>
      <sheetName val="Rate_Analysis12"/>
      <sheetName val="schedule_nos11"/>
      <sheetName val="Materials_11"/>
      <sheetName val="DETAILED__BOQ12"/>
      <sheetName val="ABS_12"/>
      <sheetName val="BOQ_Summary12"/>
      <sheetName val="2_1312"/>
      <sheetName val="9_0112"/>
      <sheetName val="9_0712"/>
      <sheetName val="9_8312"/>
      <sheetName val="9_1212"/>
      <sheetName val="9_4712"/>
      <sheetName val="9_50(i)12"/>
      <sheetName val="9_50(ii)12"/>
      <sheetName val="9_51_Slab12"/>
      <sheetName val="9_51_Girder12"/>
      <sheetName val="9_5212"/>
      <sheetName val="9_6212"/>
      <sheetName val="9_6312"/>
      <sheetName val="9_6912"/>
      <sheetName val="8_4812"/>
      <sheetName val="8_4912"/>
      <sheetName val="P1_&amp;_P2_Reinforcement_detail12"/>
      <sheetName val="A1_&amp;_A2_Reinforcement_detail12"/>
      <sheetName val="01_11_200411"/>
      <sheetName val="02_10_0611"/>
      <sheetName val="220Kv_(2)11"/>
      <sheetName val="A_O_R_11"/>
      <sheetName val="Data_Validation11"/>
      <sheetName val="Qty_SR11"/>
      <sheetName val="_AnalysisPCC11"/>
      <sheetName val="Fee_Rate_Summary11"/>
      <sheetName val="SPT_vs_PHI11"/>
      <sheetName val="Wind_Speed_II11"/>
      <sheetName val="Duopitch_Roof11"/>
      <sheetName val="Free-Standing_Wall11"/>
      <sheetName val="Vertical_Walls11"/>
      <sheetName val="Flat_Roof11"/>
      <sheetName val="Factor_Sb11"/>
      <sheetName val="Size_Effect_Factor11"/>
      <sheetName val="Direction_factor11"/>
      <sheetName val="Wind_Speed_I11"/>
      <sheetName val="MN_T_B_11"/>
      <sheetName val="Ave_wtd_rates11"/>
      <sheetName val="Progressin_Next_mon-AP-1711"/>
      <sheetName val="abs_road11"/>
      <sheetName val="road_est11"/>
      <sheetName val="Road_data11"/>
      <sheetName val="E_&amp;_R11"/>
      <sheetName val="Analysis-Drains_&amp;_Misc11"/>
      <sheetName val="Lead_Statement_(PCC)11"/>
      <sheetName val="Analysis-NH-Traf_&amp;_Trans11"/>
      <sheetName val="Cost_of_O_&amp;_O8"/>
      <sheetName val="Non_debit-RMC11"/>
      <sheetName val="Labour_&amp;_Plant11"/>
      <sheetName val="RATE_COMPILATION11"/>
      <sheetName val="Bus_Ways11"/>
      <sheetName val="Major_Br__Statement11"/>
      <sheetName val="Site_clearance11"/>
      <sheetName val="4_Annex_1_Basic_rate11"/>
      <sheetName val="Data_111"/>
      <sheetName val="SS_MH11"/>
      <sheetName val="BOQ_Distribution11"/>
      <sheetName val="gen_ledger_data11"/>
      <sheetName val="33628-Rev__A11"/>
      <sheetName val="General_input11"/>
      <sheetName val="Design_sheet11"/>
      <sheetName val="12__Ins_&amp;_Bonds11"/>
      <sheetName val="INPUT_SHEET11"/>
      <sheetName val="footing_for_SP11"/>
      <sheetName val="RA_Civil11"/>
      <sheetName val="factor_8"/>
      <sheetName val="ESOP_ECAL_TABLES11"/>
      <sheetName val="Doha_Farm8"/>
      <sheetName val="precast_RC_element11"/>
      <sheetName val="Core_Data11"/>
      <sheetName val="GLEVEL_RHS11"/>
      <sheetName val="General_Analysis11"/>
      <sheetName val="except_wiring11"/>
      <sheetName val="doq_18"/>
      <sheetName val="doq_98"/>
      <sheetName val="Load_Calculation8"/>
      <sheetName val="Plant_&amp;__Machinery9"/>
      <sheetName val="Diesel_Analysis8"/>
      <sheetName val="Elect_9"/>
      <sheetName val="SC_revtrgt8"/>
      <sheetName val="NLD_-_Assum8"/>
      <sheetName val="Appendix_A11"/>
      <sheetName val="JCR_TOP11"/>
      <sheetName val="DATA-DEP_(13-17)11"/>
      <sheetName val="DATA-GCC(25-34_7)11"/>
      <sheetName val="St_-Con(0-17)11"/>
      <sheetName val="St_-Con_(17-34)11"/>
      <sheetName val="POCOS_제출및납품일정9"/>
      <sheetName val="Pile_cap9"/>
      <sheetName val="PIPING_LINE_LIST9"/>
      <sheetName val="Rollup_Summary8"/>
      <sheetName val="Sheet3_(2)8"/>
      <sheetName val="Structure_du_projet9"/>
      <sheetName val="SC_Cost_FEB_038"/>
      <sheetName val="Sub_con_List8"/>
      <sheetName val="KM_wise_Quantity8"/>
      <sheetName val="SCH_108"/>
      <sheetName val="Tower_Schedule8"/>
      <sheetName val="Cal(6_3_2)_GSB-T8"/>
      <sheetName val="Cal(6_3_1)_GSB-1(Jn_)_DDA8"/>
      <sheetName val="Cal(6_2_2)_(b)EMB-T8"/>
      <sheetName val="Cal(6_3_3)_WMM-T8"/>
      <sheetName val="Cal(6_2_4)_SG-T8"/>
      <sheetName val="_8"/>
      <sheetName val="10-Crop_Age8"/>
      <sheetName val="CG_-St8"/>
      <sheetName val="LL_ABUT8"/>
      <sheetName val="ADMIN_SHEET8"/>
      <sheetName val="SKMD__326"/>
      <sheetName val="DIR_USED_ITEMS6"/>
      <sheetName val="12_8_I_(M-40)6"/>
      <sheetName val="ANN_-V5"/>
      <sheetName val="ORDER_BOOKING5"/>
      <sheetName val="Sheet1_(2)5"/>
      <sheetName val="MASTER_RATE_ANALYSIS8"/>
      <sheetName val="ETC_Plant_Cost8"/>
      <sheetName val="beam-reinft-IIInd_floor8"/>
      <sheetName val="2_25"/>
      <sheetName val="BATCHING_PLANT_PRO5"/>
      <sheetName val="B2_MB_Deck5"/>
      <sheetName val="Abt_Foundation_5"/>
      <sheetName val="pier_Foundation5"/>
      <sheetName val="STAFFSCHED_5"/>
      <sheetName val="1St_certified_RA_bill5"/>
      <sheetName val="Labor_abs-NMR5"/>
      <sheetName val="Pro_Pavement6"/>
      <sheetName val="REGIONWISE_POPULATION6"/>
      <sheetName val="tower_wt_6"/>
      <sheetName val="Day_work5"/>
      <sheetName val="Design_basis-C5"/>
      <sheetName val="BOQ_(2)5"/>
      <sheetName val="Field_Values5"/>
      <sheetName val="Desgn(zone_I)5"/>
      <sheetName val="Abs_PMRL5"/>
      <sheetName val="Abstract_of_cost5"/>
      <sheetName val="IO_List5"/>
      <sheetName val="TBAL9697_-group_wise__sdpl5"/>
      <sheetName val="CONSTRUCTION_COMPONENT5"/>
      <sheetName val="MATERIAL_COST5"/>
      <sheetName val="Project_Budget_Worksheet5"/>
      <sheetName val="BILL_ABSTRACT5"/>
      <sheetName val="Mobilization_Advance_5"/>
      <sheetName val="Measurement_&amp;_Supply_Sheet_(2)5"/>
      <sheetName val="Hydro_testing5"/>
      <sheetName val="Supply_Sheet5"/>
      <sheetName val="Hydro_testing_5"/>
      <sheetName val="OHT_435"/>
      <sheetName val="_OHT385"/>
      <sheetName val="Scheme_No1555"/>
      <sheetName val="OHT_40_Tigariya_Badshah5"/>
      <sheetName val="OHT-48_Kushwah_5"/>
      <sheetName val="New_Ranibag5"/>
      <sheetName val="OHT_395"/>
      <sheetName val="Jai_hind_nagar_-_OHT375"/>
      <sheetName val="OHT_20(Mitra_Bandhu_Nagar)5"/>
      <sheetName val="OHT_15(Samar_Park)5"/>
      <sheetName val="Bhuri_tekri5"/>
      <sheetName val="Scheme_No-1405"/>
      <sheetName val="OHT-16_Lasudia_Mori_5"/>
      <sheetName val="Scheme_No-785"/>
      <sheetName val="Scheme_No_114_Part_25"/>
      <sheetName val="OHT09-_Bicholi5"/>
      <sheetName val="Bijalpur_OHT5"/>
      <sheetName val="Scheme_No_1345"/>
      <sheetName val="OHT_49(Gandhinagar)5"/>
      <sheetName val="Silicon_City5"/>
      <sheetName val="OHT_32_(Gwala_Colony)5"/>
      <sheetName val="MS_Pipe5"/>
      <sheetName val="CY4_casted5"/>
      <sheetName val="PACK_(B)5"/>
      <sheetName val="BASIC_RATES5"/>
      <sheetName val="HB_CEC_schd_6_23"/>
      <sheetName val="train_cash3"/>
      <sheetName val="accom_cash3"/>
      <sheetName val="M-Book_for_Conc3"/>
      <sheetName val="M-Book_for_FW3"/>
      <sheetName val="steam_outlet3"/>
      <sheetName val="Cost_Summary3"/>
      <sheetName val="Rising_Main3"/>
      <sheetName val="EAW_Final_Accounts_-_993"/>
      <sheetName val="Monthly_Turnover_(Final)4"/>
      <sheetName val="Monthly_Programme4"/>
      <sheetName val="Dayworks_Bill5"/>
      <sheetName val="Bills_of_Quantities5"/>
      <sheetName val="Back_Cal_for_OMC5"/>
      <sheetName val="Machinary_Road_Work3"/>
      <sheetName val="Batching&amp;Pil_POL3"/>
      <sheetName val="Steel_Piling_POL3"/>
      <sheetName val="Qty_Report5"/>
      <sheetName val="Raw_Data2"/>
      <sheetName val="Chapter_1-43"/>
      <sheetName val="Chapter-12_Drainage3"/>
      <sheetName val="Chapter-13_Junction3"/>
      <sheetName val="Chapter-14_trafic_Manag_const3"/>
      <sheetName val="Chapter-15_bus&amp;_trck_laybye3"/>
      <sheetName val="Chapter-16_Toll_Plaza3"/>
      <sheetName val="Chapter-17_Main_during_cons3"/>
      <sheetName val="Chap-18__3"/>
      <sheetName val="water_prop_2"/>
      <sheetName val="As_per_PCA3"/>
      <sheetName val="Data_sheet3"/>
      <sheetName val="Lead_statement3"/>
      <sheetName val="Basic_Data2"/>
      <sheetName val="Flash_Mixer2"/>
      <sheetName val="Rate_Base2"/>
      <sheetName val="CT_Thang_Mo2"/>
      <sheetName val="CT__PL2"/>
      <sheetName val="Vendor_Name3"/>
      <sheetName val="Abstruct_total4"/>
      <sheetName val="HP(9_200)4"/>
      <sheetName val="Equipment_Master4"/>
      <sheetName val="Not_found_as_per_ground_realit3"/>
      <sheetName val="Steel_Structure3"/>
      <sheetName val="Cont_Wt_3"/>
      <sheetName val="doq4_3"/>
      <sheetName val="PAVEMENT_MN2"/>
      <sheetName val="SP_Break_Up2"/>
      <sheetName val="Gen_Info3"/>
      <sheetName val="Chpt_1-4_&amp;_132"/>
      <sheetName val="Slab_Drain_Abs_2"/>
      <sheetName val="Sweeper_Machine2"/>
      <sheetName val="PQC_Design2"/>
      <sheetName val="pqc_check2"/>
      <sheetName val="1_row_C_D_"/>
      <sheetName val="PV_FDN1"/>
      <sheetName val="Project_Inputs"/>
      <sheetName val="Leg_1-1"/>
      <sheetName val="balance_Work16"/>
      <sheetName val="SAP架設-2005_12_3117"/>
      <sheetName val="LOCAL_RATES16"/>
      <sheetName val="21-Rate_Analysis-115"/>
      <sheetName val="S-Curve_(2)16"/>
      <sheetName val="Final_Basic_rate15"/>
      <sheetName val="Materials_Cost15"/>
      <sheetName val="Material_16"/>
      <sheetName val="final_abstract16"/>
      <sheetName val="C_&amp;_G_RHS16"/>
      <sheetName val="Tower_Schedule10"/>
      <sheetName val="Materials_Cost(PCC)16"/>
      <sheetName val="Chiet_tinh_dz3515"/>
      <sheetName val="Rate_Analysis14"/>
      <sheetName val="BUD_07-0813"/>
      <sheetName val="pile_Fabrication15"/>
      <sheetName val="Risk_Te__Co_14"/>
      <sheetName val="Informa_14"/>
      <sheetName val="Bank_Guarantee14"/>
      <sheetName val="STEEL-SLAB_(0)14"/>
      <sheetName val="SHUTTER-1flr_beam_(1)14"/>
      <sheetName val="SHUTTER-1flr_slab(1)14"/>
      <sheetName val="STEEL-SLAB_(1flr)14"/>
      <sheetName val="slab-reinft(1flr)-REF_14"/>
      <sheetName val="BEAM-REINFT_(1flr)14"/>
      <sheetName val="beam-reinft-(1flr)ADDT_14"/>
      <sheetName val="concrete-Ist-IInd_floor14"/>
      <sheetName val="shuttering-1st-IInd_floor14"/>
      <sheetName val="STEEL-SLAB_(2flr)14"/>
      <sheetName val="slab-reinft(2flr)-REF__(2)14"/>
      <sheetName val="BEAM-REINFT_(2flr)_(2)14"/>
      <sheetName val="beam-reinft-(2flr)ADDT__(2)14"/>
      <sheetName val="STEEL-SLAB_(3flr)_14"/>
      <sheetName val="Slab-reinft(3flr)ADD_14"/>
      <sheetName val="slab-reinft(3flr)-ADD__(1)14"/>
      <sheetName val="STEEL-SLAB_(4th-flr)_14"/>
      <sheetName val="slab-reinft(4thflr)-ADD__(2)14"/>
      <sheetName val="slab_reinft_-(4th_flr)14"/>
      <sheetName val="Indices_(3rd)14"/>
      <sheetName val="SHUTTER-1flr_beam(old)14"/>
      <sheetName val="03_CTS,MEPZ-CANTEEN_(2)14"/>
      <sheetName val="beam-reinft-machine_rm14"/>
      <sheetName val="input_micro14"/>
      <sheetName val="AoR_Finishing13"/>
      <sheetName val="Revised_BoQ_Str13"/>
      <sheetName val="oHS+F_Ex_Alu_+actual_staff13"/>
      <sheetName val="oHS+F_Ex_Alu__(trial)13"/>
      <sheetName val="Ex_aluminium13"/>
      <sheetName val="oH(mc_purchase)13"/>
      <sheetName val="Plang_1pour13"/>
      <sheetName val="Plang_3pour13"/>
      <sheetName val="Machine_Schedule_13"/>
      <sheetName val="Staff_Schedule13"/>
      <sheetName val="HSD_LUB_13"/>
      <sheetName val="Mix_Design13"/>
      <sheetName val="doq-1_DOQ_Culvert13"/>
      <sheetName val="02_10_0613"/>
      <sheetName val="schedule_nos13"/>
      <sheetName val="UNP-NCW_13"/>
      <sheetName val="9_Major_Bridge13"/>
      <sheetName val="8__ROB13"/>
      <sheetName val="10_Minor_Structure13"/>
      <sheetName val="7__FLYOVER13"/>
      <sheetName val="2__Earthwork13"/>
      <sheetName val="220Kv_(2)13"/>
      <sheetName val="01_11_200413"/>
      <sheetName val="Materials_13"/>
      <sheetName val="DETAILED__BOQ14"/>
      <sheetName val="A_O_R_13"/>
      <sheetName val="P-Ins_&amp;_Bonds13"/>
      <sheetName val="USB_113"/>
      <sheetName val="Ave_wtd_rates13"/>
      <sheetName val="Data_Validation13"/>
      <sheetName val="MN_T_B_13"/>
      <sheetName val="Progressin_Next_mon-AP-1713"/>
      <sheetName val="SPT_vs_PHI13"/>
      <sheetName val="Input_Data13"/>
      <sheetName val="Input_Data_R13"/>
      <sheetName val="Input_Data_F13"/>
      <sheetName val="Data_113"/>
      <sheetName val="ESOP_ECAL_TABLES13"/>
      <sheetName val="SS_MH13"/>
      <sheetName val="Wind_Speed_II13"/>
      <sheetName val="Duopitch_Roof13"/>
      <sheetName val="Free-Standing_Wall13"/>
      <sheetName val="Vertical_Walls13"/>
      <sheetName val="Flat_Roof13"/>
      <sheetName val="Factor_Sb13"/>
      <sheetName val="Size_Effect_Factor13"/>
      <sheetName val="Direction_factor13"/>
      <sheetName val="Wind_Speed_I13"/>
      <sheetName val="BOQ_Distribution13"/>
      <sheetName val="Bus_Ways13"/>
      <sheetName val="Major_Br__Statement13"/>
      <sheetName val="Site_clearance13"/>
      <sheetName val="4_Annex_1_Basic_rate13"/>
      <sheetName val="gen_ledger_data13"/>
      <sheetName val="General_input13"/>
      <sheetName val="33628-Rev__A13"/>
      <sheetName val="Design_sheet13"/>
      <sheetName val="Qty_SR13"/>
      <sheetName val="ABS_14"/>
      <sheetName val="BOQ_Summary14"/>
      <sheetName val="2_1314"/>
      <sheetName val="9_0114"/>
      <sheetName val="9_0714"/>
      <sheetName val="9_8314"/>
      <sheetName val="9_1214"/>
      <sheetName val="9_4714"/>
      <sheetName val="9_50(i)14"/>
      <sheetName val="9_50(ii)14"/>
      <sheetName val="9_51_Slab14"/>
      <sheetName val="9_51_Girder14"/>
      <sheetName val="9_5214"/>
      <sheetName val="9_6214"/>
      <sheetName val="9_6314"/>
      <sheetName val="9_6914"/>
      <sheetName val="8_4814"/>
      <sheetName val="8_4914"/>
      <sheetName val="P1_&amp;_P2_Reinforcement_detail14"/>
      <sheetName val="A1_&amp;_A2_Reinforcement_detail14"/>
      <sheetName val="_AnalysisPCC13"/>
      <sheetName val="footing_for_SP13"/>
      <sheetName val="Labour_&amp;_Plant13"/>
      <sheetName val="Fee_Rate_Summary13"/>
      <sheetName val="precast_RC_element13"/>
      <sheetName val="Core_Data13"/>
      <sheetName val="GLEVEL_RHS13"/>
      <sheetName val="General_Analysis13"/>
      <sheetName val="RA_Civil13"/>
      <sheetName val="E_&amp;_R13"/>
      <sheetName val="except_wiring13"/>
      <sheetName val="Doha_Farm10"/>
      <sheetName val="Cost_of_O_&amp;_O10"/>
      <sheetName val="INPUT_SHEET13"/>
      <sheetName val="Diesel_Analysis10"/>
      <sheetName val="Elect_11"/>
      <sheetName val="Non_debit-RMC13"/>
      <sheetName val="RATE_COMPILATION13"/>
      <sheetName val="Analysis-Drains_&amp;_Misc13"/>
      <sheetName val="Lead_Statement_(PCC)13"/>
      <sheetName val="Analysis-NH-Traf_&amp;_Trans13"/>
      <sheetName val="Plant_&amp;__Machinery11"/>
      <sheetName val="abs_road13"/>
      <sheetName val="road_est13"/>
      <sheetName val="Road_data13"/>
      <sheetName val="SC_revtrgt10"/>
      <sheetName val="NLD_-_Assum10"/>
      <sheetName val="doq_110"/>
      <sheetName val="doq_910"/>
      <sheetName val="Load_Calculation10"/>
      <sheetName val="Sheet3_(2)10"/>
      <sheetName val="Rollup_Summary10"/>
      <sheetName val="Appendix_A13"/>
      <sheetName val="JCR_TOP13"/>
      <sheetName val="12__Ins_&amp;_Bonds13"/>
      <sheetName val="DATA-DEP_(13-17)13"/>
      <sheetName val="DATA-GCC(25-34_7)13"/>
      <sheetName val="St_-Con(0-17)13"/>
      <sheetName val="St_-Con_(17-34)13"/>
      <sheetName val="POCOS_제출및납품일정11"/>
      <sheetName val="Pile_cap11"/>
      <sheetName val="PIPING_LINE_LIST11"/>
      <sheetName val="Project_Budget_Worksheet7"/>
      <sheetName val="Abt_Foundation_7"/>
      <sheetName val="pier_Foundation7"/>
      <sheetName val="SCH_1010"/>
      <sheetName val="_10"/>
      <sheetName val="Structure_du_projet11"/>
      <sheetName val="Sub_con_List10"/>
      <sheetName val="KM_wise_Quantity10"/>
      <sheetName val="CG_-St10"/>
      <sheetName val="LL_ABUT10"/>
      <sheetName val="ADMIN_SHEET10"/>
      <sheetName val="Cal(6_3_2)_GSB-T10"/>
      <sheetName val="Cal(6_3_1)_GSB-1(Jn_)_DDA10"/>
      <sheetName val="Cal(6_2_2)_(b)EMB-T10"/>
      <sheetName val="Cal(6_3_3)_WMM-T10"/>
      <sheetName val="Cal(6_2_4)_SG-T10"/>
      <sheetName val="SC_Cost_FEB_0310"/>
      <sheetName val="factor_10"/>
      <sheetName val="10-Crop_Age10"/>
      <sheetName val="MASTER_RATE_ANALYSIS10"/>
      <sheetName val="STAFFSCHED_7"/>
      <sheetName val="ANN_-V7"/>
      <sheetName val="ORDER_BOOKING7"/>
      <sheetName val="SKMD__328"/>
      <sheetName val="DIR_USED_ITEMS8"/>
      <sheetName val="12_8_I_(M-40)8"/>
      <sheetName val="2_27"/>
      <sheetName val="BATCHING_PLANT_PRO7"/>
      <sheetName val="B2_MB_Deck7"/>
      <sheetName val="Sheet1_(2)7"/>
      <sheetName val="Field_Values7"/>
      <sheetName val="Desgn(zone_I)7"/>
      <sheetName val="Abs_PMRL7"/>
      <sheetName val="Abstract_of_cost7"/>
      <sheetName val="IO_List7"/>
      <sheetName val="TBAL9697_-group_wise__sdpl7"/>
      <sheetName val="CONSTRUCTION_COMPONENT7"/>
      <sheetName val="ETC_Plant_Cost10"/>
      <sheetName val="beam-reinft-IIInd_floor10"/>
      <sheetName val="Labor_abs-NMR7"/>
      <sheetName val="BASIC_RATES7"/>
      <sheetName val="1St_certified_RA_bill7"/>
      <sheetName val="BOQ_(2)7"/>
      <sheetName val="Qty_Report7"/>
      <sheetName val="no_5"/>
      <sheetName val="Dayworks_Bill7"/>
      <sheetName val="Bills_of_Quantities7"/>
      <sheetName val="BOQ_DIS5"/>
      <sheetName val="All_Equipments5"/>
      <sheetName val="MATERIAL_COST7"/>
      <sheetName val="Day_work7"/>
      <sheetName val="Design_basis-C7"/>
      <sheetName val="Pro_Pavement8"/>
      <sheetName val="Lead_statement5"/>
      <sheetName val="Back_Cal_for_OMC7"/>
      <sheetName val="Chapter_1-45"/>
      <sheetName val="Chapter-12_Drainage5"/>
      <sheetName val="Chapter-13_Junction5"/>
      <sheetName val="Chapter-14_trafic_Manag_const5"/>
      <sheetName val="Chapter-15_bus&amp;_trck_laybye5"/>
      <sheetName val="Chapter-16_Toll_Plaza5"/>
      <sheetName val="Chapter-17_Main_during_cons5"/>
      <sheetName val="Chap-18__5"/>
      <sheetName val="Cont_Wt_5"/>
      <sheetName val="doq4_5"/>
      <sheetName val="BILL_ABSTRACT7"/>
      <sheetName val="Mobilization_Advance_7"/>
      <sheetName val="Measurement_&amp;_Supply_Sheet_(2)7"/>
      <sheetName val="Hydro_testing7"/>
      <sheetName val="Supply_Sheet7"/>
      <sheetName val="Hydro_testing_7"/>
      <sheetName val="OHT_437"/>
      <sheetName val="_OHT387"/>
      <sheetName val="Scheme_No1557"/>
      <sheetName val="OHT_40_Tigariya_Badshah7"/>
      <sheetName val="OHT-48_Kushwah_7"/>
      <sheetName val="New_Ranibag7"/>
      <sheetName val="OHT_397"/>
      <sheetName val="Jai_hind_nagar_-_OHT377"/>
      <sheetName val="OHT_20(Mitra_Bandhu_Nagar)7"/>
      <sheetName val="OHT_15(Samar_Park)7"/>
      <sheetName val="Bhuri_tekri7"/>
      <sheetName val="Scheme_No-1407"/>
      <sheetName val="OHT-16_Lasudia_Mori_7"/>
      <sheetName val="Scheme_No-787"/>
      <sheetName val="Scheme_No_114_Part_27"/>
      <sheetName val="OHT09-_Bicholi7"/>
      <sheetName val="Bijalpur_OHT7"/>
      <sheetName val="Scheme_No_1347"/>
      <sheetName val="OHT_49(Gandhinagar)7"/>
      <sheetName val="Silicon_City7"/>
      <sheetName val="OHT_32_(Gwala_Colony)7"/>
      <sheetName val="MS_Pipe7"/>
      <sheetName val="REGIONWISE_POPULATION8"/>
      <sheetName val="tower_wt_8"/>
      <sheetName val="CY4_casted7"/>
      <sheetName val="PACK_(B)7"/>
      <sheetName val="Vendor_Name5"/>
      <sheetName val="Monthly_Turnover_(Final)6"/>
      <sheetName val="Monthly_Programme6"/>
      <sheetName val="Abstruct_total6"/>
      <sheetName val="HP(9_200)6"/>
      <sheetName val="Equipment_Master6"/>
      <sheetName val="Not_found_as_per_ground_realit5"/>
      <sheetName val="Steel_Structure5"/>
      <sheetName val="Gen_Info5"/>
      <sheetName val="PAVEMENT_MN4"/>
      <sheetName val="SP_Break_Up4"/>
      <sheetName val="Sweeper_Machine4"/>
      <sheetName val="train_cash5"/>
      <sheetName val="accom_cash5"/>
      <sheetName val="M-Book_for_Conc5"/>
      <sheetName val="M-Book_for_FW5"/>
      <sheetName val="HB_CEC_schd_6_25"/>
      <sheetName val="steam_outlet5"/>
      <sheetName val="Cost_Summary5"/>
      <sheetName val="Rising_Main5"/>
      <sheetName val="PQC_Design4"/>
      <sheetName val="pqc_check4"/>
      <sheetName val="Chpt_1-4_&amp;_134"/>
      <sheetName val="RET_3"/>
      <sheetName val="HO_DPR3"/>
      <sheetName val="water_prop_4"/>
      <sheetName val="PRECAST_lightconc-II3"/>
      <sheetName val="Batching&amp;Pil_POL5"/>
      <sheetName val="Machinary_Road_Work5"/>
      <sheetName val="Steel_Piling_POL5"/>
      <sheetName val="Slab_Drain_Abs_4"/>
      <sheetName val="EAW_Final_Accounts_-_995"/>
      <sheetName val="Load_Details(B2)2"/>
      <sheetName val="97_사업추정(WEKI)2"/>
      <sheetName val="Forecast_Variance_Planning_hrs2"/>
      <sheetName val="ACB_20012"/>
      <sheetName val="MCCB_20012"/>
      <sheetName val="Raw_Data4"/>
      <sheetName val="As_per_PCA5"/>
      <sheetName val="Data_sheet5"/>
      <sheetName val="Basic_Data4"/>
      <sheetName val="Flash_Mixer4"/>
      <sheetName val="Rate_Base4"/>
      <sheetName val="CT_Thang_Mo4"/>
      <sheetName val="CT__PL4"/>
      <sheetName val="Scheme_Area_Details_Block___C2"/>
      <sheetName val="Prop_aug_of_Ex_33KVSS_E3a"/>
      <sheetName val="Amortissement_de_prêt"/>
      <sheetName val="Operating_charges_Odour_control"/>
      <sheetName val="CUT_QTY"/>
      <sheetName val="CUT_QTY_Pay"/>
      <sheetName val="2_07_EMB"/>
      <sheetName val="STRIP_Sizing"/>
      <sheetName val="Mass_Balance_(metric)"/>
      <sheetName val="retaining_wall_calculatn_sheet"/>
      <sheetName val="Income_&amp;_Occupancy_Customer"/>
      <sheetName val="Scope_Reconciliation"/>
      <sheetName val="C&amp;G_August"/>
      <sheetName val="EW_SR"/>
      <sheetName val="(Do_not_delete)"/>
      <sheetName val="Labour_rates"/>
      <sheetName val="PO_NOS"/>
      <sheetName val="head_loss_calc3"/>
      <sheetName val="BORING_"/>
      <sheetName val="EXPANSION_JOINT"/>
      <sheetName val="CIS_MAIN_BERTH-1"/>
      <sheetName val="New_Construction"/>
      <sheetName val="Bill_No_6A-_Measurement"/>
      <sheetName val="2nd_3"/>
      <sheetName val="foot-slab_reinft3"/>
      <sheetName val="Variation_Statement3"/>
      <sheetName val="Legal_Risk_Analysis2"/>
      <sheetName val="Staff_Acco_3"/>
      <sheetName val="labour_coeff2"/>
      <sheetName val="balance_Work17"/>
      <sheetName val="SAP架設-2005_12_3118"/>
      <sheetName val="LOCAL_RATES17"/>
      <sheetName val="21-Rate_Analysis-116"/>
      <sheetName val="S-Curve_(2)17"/>
      <sheetName val="Final_Basic_rate16"/>
      <sheetName val="Materials_Cost16"/>
      <sheetName val="Material_17"/>
      <sheetName val="final_abstract17"/>
      <sheetName val="C_&amp;_G_RHS17"/>
      <sheetName val="Tower_Schedule11"/>
      <sheetName val="Materials_Cost(PCC)17"/>
      <sheetName val="Chiet_tinh_dz3516"/>
      <sheetName val="Rate_Analysis15"/>
      <sheetName val="BUD_07-0814"/>
      <sheetName val="pile_Fabrication16"/>
      <sheetName val="Risk_Te__Co_15"/>
      <sheetName val="Informa_15"/>
      <sheetName val="Bank_Guarantee15"/>
      <sheetName val="STEEL-SLAB_(0)15"/>
      <sheetName val="SHUTTER-1flr_beam_(1)15"/>
      <sheetName val="SHUTTER-1flr_slab(1)15"/>
      <sheetName val="STEEL-SLAB_(1flr)15"/>
      <sheetName val="slab-reinft(1flr)-REF_15"/>
      <sheetName val="BEAM-REINFT_(1flr)15"/>
      <sheetName val="beam-reinft-(1flr)ADDT_15"/>
      <sheetName val="concrete-Ist-IInd_floor15"/>
      <sheetName val="shuttering-1st-IInd_floor15"/>
      <sheetName val="STEEL-SLAB_(2flr)15"/>
      <sheetName val="slab-reinft(2flr)-REF__(2)15"/>
      <sheetName val="BEAM-REINFT_(2flr)_(2)15"/>
      <sheetName val="beam-reinft-(2flr)ADDT__(2)15"/>
      <sheetName val="STEEL-SLAB_(3flr)_15"/>
      <sheetName val="Slab-reinft(3flr)ADD_15"/>
      <sheetName val="slab-reinft(3flr)-ADD__(1)15"/>
      <sheetName val="STEEL-SLAB_(4th-flr)_15"/>
      <sheetName val="slab-reinft(4thflr)-ADD__(2)15"/>
      <sheetName val="slab_reinft_-(4th_flr)15"/>
      <sheetName val="Indices_(3rd)15"/>
      <sheetName val="SHUTTER-1flr_beam(old)15"/>
      <sheetName val="03_CTS,MEPZ-CANTEEN_(2)15"/>
      <sheetName val="beam-reinft-machine_rm15"/>
      <sheetName val="input_micro15"/>
      <sheetName val="AoR_Finishing14"/>
      <sheetName val="Revised_BoQ_Str14"/>
      <sheetName val="oHS+F_Ex_Alu_+actual_staff14"/>
      <sheetName val="oHS+F_Ex_Alu__(trial)14"/>
      <sheetName val="Ex_aluminium14"/>
      <sheetName val="oH(mc_purchase)14"/>
      <sheetName val="Plang_1pour14"/>
      <sheetName val="Plang_3pour14"/>
      <sheetName val="Machine_Schedule_14"/>
      <sheetName val="Staff_Schedule14"/>
      <sheetName val="HSD_LUB_14"/>
      <sheetName val="Mix_Design14"/>
      <sheetName val="doq-1_DOQ_Culvert14"/>
      <sheetName val="02_10_0614"/>
      <sheetName val="schedule_nos14"/>
      <sheetName val="UNP-NCW_14"/>
      <sheetName val="9_Major_Bridge14"/>
      <sheetName val="8__ROB14"/>
      <sheetName val="10_Minor_Structure14"/>
      <sheetName val="7__FLYOVER14"/>
      <sheetName val="2__Earthwork14"/>
      <sheetName val="220Kv_(2)14"/>
      <sheetName val="01_11_200414"/>
      <sheetName val="Materials_14"/>
      <sheetName val="DETAILED__BOQ15"/>
      <sheetName val="A_O_R_14"/>
      <sheetName val="P-Ins_&amp;_Bonds14"/>
      <sheetName val="USB_114"/>
      <sheetName val="Ave_wtd_rates14"/>
      <sheetName val="Data_Validation14"/>
      <sheetName val="MN_T_B_14"/>
      <sheetName val="Progressin_Next_mon-AP-1714"/>
      <sheetName val="SPT_vs_PHI14"/>
      <sheetName val="Input_Data14"/>
      <sheetName val="Input_Data_R14"/>
      <sheetName val="Input_Data_F14"/>
      <sheetName val="Data_114"/>
      <sheetName val="ESOP_ECAL_TABLES14"/>
      <sheetName val="SS_MH14"/>
      <sheetName val="Wind_Speed_II14"/>
      <sheetName val="Duopitch_Roof14"/>
      <sheetName val="Free-Standing_Wall14"/>
      <sheetName val="Vertical_Walls14"/>
      <sheetName val="Flat_Roof14"/>
      <sheetName val="Factor_Sb14"/>
      <sheetName val="Size_Effect_Factor14"/>
      <sheetName val="Direction_factor14"/>
      <sheetName val="Wind_Speed_I14"/>
      <sheetName val="BOQ_Distribution14"/>
      <sheetName val="Bus_Ways14"/>
      <sheetName val="Major_Br__Statement14"/>
      <sheetName val="Site_clearance14"/>
      <sheetName val="4_Annex_1_Basic_rate14"/>
      <sheetName val="gen_ledger_data14"/>
      <sheetName val="General_input14"/>
      <sheetName val="33628-Rev__A14"/>
      <sheetName val="Design_sheet14"/>
      <sheetName val="Qty_SR14"/>
      <sheetName val="ABS_15"/>
      <sheetName val="BOQ_Summary15"/>
      <sheetName val="2_1315"/>
      <sheetName val="9_0115"/>
      <sheetName val="9_0715"/>
      <sheetName val="9_8315"/>
      <sheetName val="9_1215"/>
      <sheetName val="9_4715"/>
      <sheetName val="9_50(i)15"/>
      <sheetName val="9_50(ii)15"/>
      <sheetName val="9_51_Slab15"/>
      <sheetName val="9_51_Girder15"/>
      <sheetName val="9_5215"/>
      <sheetName val="9_6215"/>
      <sheetName val="9_6315"/>
      <sheetName val="9_6915"/>
      <sheetName val="8_4815"/>
      <sheetName val="8_4915"/>
      <sheetName val="P1_&amp;_P2_Reinforcement_detail15"/>
      <sheetName val="A1_&amp;_A2_Reinforcement_detail15"/>
      <sheetName val="_AnalysisPCC14"/>
      <sheetName val="footing_for_SP14"/>
      <sheetName val="Labour_&amp;_Plant14"/>
      <sheetName val="Fee_Rate_Summary14"/>
      <sheetName val="precast_RC_element14"/>
      <sheetName val="Core_Data14"/>
      <sheetName val="GLEVEL_RHS14"/>
      <sheetName val="General_Analysis14"/>
      <sheetName val="RA_Civil14"/>
      <sheetName val="E_&amp;_R14"/>
      <sheetName val="except_wiring14"/>
      <sheetName val="Doha_Farm11"/>
      <sheetName val="Cost_of_O_&amp;_O11"/>
      <sheetName val="INPUT_SHEET14"/>
      <sheetName val="Diesel_Analysis11"/>
      <sheetName val="Elect_12"/>
      <sheetName val="Non_debit-RMC14"/>
      <sheetName val="RATE_COMPILATION14"/>
      <sheetName val="Analysis-Drains_&amp;_Misc14"/>
      <sheetName val="Lead_Statement_(PCC)14"/>
      <sheetName val="Analysis-NH-Traf_&amp;_Trans14"/>
      <sheetName val="Plant_&amp;__Machinery12"/>
      <sheetName val="abs_road14"/>
      <sheetName val="road_est14"/>
      <sheetName val="Road_data14"/>
      <sheetName val="SC_revtrgt11"/>
      <sheetName val="NLD_-_Assum11"/>
      <sheetName val="doq_111"/>
      <sheetName val="doq_911"/>
      <sheetName val="Load_Calculation11"/>
      <sheetName val="Sheet3_(2)11"/>
      <sheetName val="Rollup_Summary11"/>
      <sheetName val="Appendix_A14"/>
      <sheetName val="JCR_TOP14"/>
      <sheetName val="12__Ins_&amp;_Bonds14"/>
      <sheetName val="DATA-DEP_(13-17)14"/>
      <sheetName val="DATA-GCC(25-34_7)14"/>
      <sheetName val="St_-Con(0-17)14"/>
      <sheetName val="St_-Con_(17-34)14"/>
      <sheetName val="POCOS_제출및납품일정12"/>
      <sheetName val="Pile_cap12"/>
      <sheetName val="PIPING_LINE_LIST12"/>
      <sheetName val="Project_Budget_Worksheet8"/>
      <sheetName val="Abt_Foundation_8"/>
      <sheetName val="pier_Foundation8"/>
      <sheetName val="SCH_1011"/>
      <sheetName val="_11"/>
      <sheetName val="Structure_du_projet12"/>
      <sheetName val="Sub_con_List11"/>
      <sheetName val="KM_wise_Quantity11"/>
      <sheetName val="CG_-St11"/>
      <sheetName val="LL_ABUT11"/>
      <sheetName val="ADMIN_SHEET11"/>
      <sheetName val="Cal(6_3_2)_GSB-T11"/>
      <sheetName val="Cal(6_3_1)_GSB-1(Jn_)_DDA11"/>
      <sheetName val="Cal(6_2_2)_(b)EMB-T11"/>
      <sheetName val="Cal(6_3_3)_WMM-T11"/>
      <sheetName val="Cal(6_2_4)_SG-T11"/>
      <sheetName val="SC_Cost_FEB_0311"/>
      <sheetName val="factor_11"/>
      <sheetName val="10-Crop_Age11"/>
      <sheetName val="MASTER_RATE_ANALYSIS11"/>
      <sheetName val="STAFFSCHED_8"/>
      <sheetName val="ANN_-V8"/>
      <sheetName val="ORDER_BOOKING8"/>
      <sheetName val="SKMD__329"/>
      <sheetName val="DIR_USED_ITEMS9"/>
      <sheetName val="12_8_I_(M-40)9"/>
      <sheetName val="2_28"/>
      <sheetName val="BATCHING_PLANT_PRO8"/>
      <sheetName val="B2_MB_Deck8"/>
      <sheetName val="Sheet1_(2)8"/>
      <sheetName val="Field_Values8"/>
      <sheetName val="Desgn(zone_I)8"/>
      <sheetName val="Abs_PMRL8"/>
      <sheetName val="Abstract_of_cost8"/>
      <sheetName val="IO_List8"/>
      <sheetName val="TBAL9697_-group_wise__sdpl8"/>
      <sheetName val="CONSTRUCTION_COMPONENT8"/>
      <sheetName val="ETC_Plant_Cost11"/>
      <sheetName val="beam-reinft-IIInd_floor11"/>
      <sheetName val="Labor_abs-NMR8"/>
      <sheetName val="BASIC_RATES8"/>
      <sheetName val="1St_certified_RA_bill8"/>
      <sheetName val="BOQ_(2)8"/>
      <sheetName val="Qty_Report8"/>
      <sheetName val="no_6"/>
      <sheetName val="Dayworks_Bill8"/>
      <sheetName val="Bills_of_Quantities8"/>
      <sheetName val="BOQ_DIS6"/>
      <sheetName val="All_Equipments6"/>
      <sheetName val="MATERIAL_COST8"/>
      <sheetName val="Day_work8"/>
      <sheetName val="Design_basis-C8"/>
      <sheetName val="Pro_Pavement9"/>
      <sheetName val="Lead_statement6"/>
      <sheetName val="Back_Cal_for_OMC8"/>
      <sheetName val="Chapter_1-46"/>
      <sheetName val="Chapter-12_Drainage6"/>
      <sheetName val="Chapter-13_Junction6"/>
      <sheetName val="Chapter-14_trafic_Manag_const6"/>
      <sheetName val="Chapter-15_bus&amp;_trck_laybye6"/>
      <sheetName val="Chapter-16_Toll_Plaza6"/>
      <sheetName val="Chapter-17_Main_during_cons6"/>
      <sheetName val="Chap-18__6"/>
      <sheetName val="Cont_Wt_6"/>
      <sheetName val="doq4_6"/>
      <sheetName val="BILL_ABSTRACT8"/>
      <sheetName val="Mobilization_Advance_8"/>
      <sheetName val="Measurement_&amp;_Supply_Sheet_(2)8"/>
      <sheetName val="Hydro_testing8"/>
      <sheetName val="Supply_Sheet8"/>
      <sheetName val="Hydro_testing_8"/>
      <sheetName val="OHT_438"/>
      <sheetName val="_OHT388"/>
      <sheetName val="Scheme_No1558"/>
      <sheetName val="OHT_40_Tigariya_Badshah8"/>
      <sheetName val="OHT-48_Kushwah_8"/>
      <sheetName val="New_Ranibag8"/>
      <sheetName val="OHT_398"/>
      <sheetName val="Jai_hind_nagar_-_OHT378"/>
      <sheetName val="OHT_20(Mitra_Bandhu_Nagar)8"/>
      <sheetName val="OHT_15(Samar_Park)8"/>
      <sheetName val="Bhuri_tekri8"/>
      <sheetName val="Scheme_No-1408"/>
      <sheetName val="OHT-16_Lasudia_Mori_8"/>
      <sheetName val="Scheme_No-788"/>
      <sheetName val="Scheme_No_114_Part_28"/>
      <sheetName val="OHT09-_Bicholi8"/>
      <sheetName val="Bijalpur_OHT8"/>
      <sheetName val="Scheme_No_1348"/>
      <sheetName val="OHT_49(Gandhinagar)8"/>
      <sheetName val="Silicon_City8"/>
      <sheetName val="OHT_32_(Gwala_Colony)8"/>
      <sheetName val="MS_Pipe8"/>
      <sheetName val="REGIONWISE_POPULATION9"/>
      <sheetName val="tower_wt_9"/>
      <sheetName val="CY4_casted8"/>
      <sheetName val="PACK_(B)8"/>
      <sheetName val="Vendor_Name6"/>
      <sheetName val="Monthly_Turnover_(Final)7"/>
      <sheetName val="Monthly_Programme7"/>
      <sheetName val="Abstruct_total7"/>
      <sheetName val="HP(9_200)7"/>
      <sheetName val="Equipment_Master7"/>
      <sheetName val="Not_found_as_per_ground_realit6"/>
      <sheetName val="Steel_Structure6"/>
      <sheetName val="Gen_Info6"/>
      <sheetName val="PAVEMENT_MN5"/>
      <sheetName val="SP_Break_Up5"/>
      <sheetName val="Sweeper_Machine5"/>
      <sheetName val="train_cash6"/>
      <sheetName val="accom_cash6"/>
      <sheetName val="M-Book_for_Conc6"/>
      <sheetName val="M-Book_for_FW6"/>
      <sheetName val="HB_CEC_schd_6_26"/>
      <sheetName val="steam_outlet6"/>
      <sheetName val="Cost_Summary6"/>
      <sheetName val="Rising_Main6"/>
      <sheetName val="PQC_Design5"/>
      <sheetName val="pqc_check5"/>
      <sheetName val="Chpt_1-4_&amp;_135"/>
      <sheetName val="RET_4"/>
      <sheetName val="HO_DPR4"/>
      <sheetName val="water_prop_5"/>
      <sheetName val="PRECAST_lightconc-II4"/>
      <sheetName val="Backup_PRW_-_VIIA2"/>
      <sheetName val="Batching&amp;Pil_POL6"/>
      <sheetName val="Machinary_Road_Work6"/>
      <sheetName val="Steel_Piling_POL6"/>
      <sheetName val="CABLENOS_2"/>
      <sheetName val="Labour_productivity2"/>
      <sheetName val="TCS_IIC2"/>
      <sheetName val="TCS_II_D2"/>
      <sheetName val="PIE_chart_data2"/>
      <sheetName val="Slab_Drain_Abs_5"/>
      <sheetName val="EAW_Final_Accounts_-_996"/>
      <sheetName val="Load_Details(B2)3"/>
      <sheetName val="97_사업추정(WEKI)3"/>
      <sheetName val="Forecast_Variance_Planning_hrs3"/>
      <sheetName val="ACB_20013"/>
      <sheetName val="MCCB_20013"/>
      <sheetName val="Raw_Data5"/>
      <sheetName val="As_per_PCA6"/>
      <sheetName val="Data_sheet6"/>
      <sheetName val="Basic_Data5"/>
      <sheetName val="Flash_Mixer5"/>
      <sheetName val="Rate_Base5"/>
      <sheetName val="CT_Thang_Mo5"/>
      <sheetName val="CT__PL5"/>
      <sheetName val="Scheme_Area_Details_Block___C21"/>
      <sheetName val="Prop_aug_of_Ex_33KVSS_E3a1"/>
      <sheetName val="Amortissement_de_prêt1"/>
      <sheetName val="Operating_charges_Odour_contro1"/>
      <sheetName val="CUT_QTY1"/>
      <sheetName val="CUT_QTY_Pay1"/>
      <sheetName val="2_07_EMB1"/>
      <sheetName val="STRIP_Sizing1"/>
      <sheetName val="Mass_Balance_(metric)1"/>
      <sheetName val="retaining_wall_calculatn_sheet1"/>
      <sheetName val="Income_&amp;_Occupancy_Customer1"/>
      <sheetName val="Scope_Reconciliation1"/>
      <sheetName val="C&amp;G_August1"/>
      <sheetName val="EW_SR1"/>
      <sheetName val="(Do_not_delete)1"/>
      <sheetName val="Labour_rates1"/>
      <sheetName val="PO_NOS1"/>
      <sheetName val="head_loss_calc4"/>
      <sheetName val="BORING_1"/>
      <sheetName val="EXPANSION_JOINT1"/>
      <sheetName val="CIS_MAIN_BERTH-11"/>
      <sheetName val="New_Construction1"/>
      <sheetName val="Bill_No_6A-_Measurement1"/>
      <sheetName val="2nd_4"/>
      <sheetName val="foot-slab_reinft4"/>
      <sheetName val="Variation_Statement4"/>
      <sheetName val="Legal_Risk_Analysis3"/>
      <sheetName val="Staff_Acco_4"/>
      <sheetName val="labour_coeff3"/>
      <sheetName val="DATA_PILE_BG"/>
      <sheetName val="DATA_PCC"/>
      <sheetName val="DATA_PILECAP"/>
      <sheetName val="DATA_PILE_RT2"/>
      <sheetName val="DATA_PILE_RT1 "/>
      <sheetName val="DATA_PILE _SM"/>
      <sheetName val="Details"/>
      <sheetName val="細目"/>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I D FAN DECK-LHS-REINF.-17TH RA"/>
      <sheetName val="Price Working -SRP"/>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refreshError="1"/>
      <sheetData sheetId="3252" refreshError="1"/>
      <sheetData sheetId="3253" refreshError="1"/>
      <sheetData sheetId="3254" refreshError="1"/>
      <sheetData sheetId="3255" refreshError="1"/>
      <sheetData sheetId="3256" refreshError="1"/>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refreshError="1"/>
      <sheetData sheetId="3288" refreshError="1"/>
      <sheetData sheetId="3289" refreshError="1"/>
      <sheetData sheetId="3290" refreshError="1"/>
      <sheetData sheetId="3291" refreshError="1"/>
      <sheetData sheetId="3292" refreshError="1"/>
      <sheetData sheetId="3293"/>
      <sheetData sheetId="3294"/>
      <sheetData sheetId="3295"/>
      <sheetData sheetId="3296"/>
      <sheetData sheetId="3297"/>
      <sheetData sheetId="3298"/>
      <sheetData sheetId="3299"/>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 val="Data_Sheet3"/>
      <sheetName val="Print_Sheet3"/>
      <sheetName val="UNIT_WT_MASTER3"/>
      <sheetName val="As_per_PCA3"/>
      <sheetName val="Format_-_4"/>
      <sheetName val="SITE_OVERHEADS"/>
      <sheetName val="L"/>
      <sheetName val="site fab&amp;ernstr"/>
      <sheetName val="direct_cost_shed_a-2_"/>
      <sheetName val="site_fab&amp;ernstr"/>
      <sheetName val="Data_Sheet4"/>
      <sheetName val="Print_Sheet4"/>
      <sheetName val="UNIT_WT_MASTER4"/>
      <sheetName val="As_per_PCA4"/>
      <sheetName val="Format_-_41"/>
      <sheetName val="SITE_OVERHEADS1"/>
      <sheetName val="direct_cost_shed_a-2_1"/>
      <sheetName val="site_fab&amp;ernstr1"/>
      <sheetName val="Data_Sheet5"/>
      <sheetName val="Print_Sheet5"/>
      <sheetName val="UNIT_WT_MASTER5"/>
      <sheetName val="As_per_PCA5"/>
      <sheetName val="Format_-_42"/>
      <sheetName val="SITE_OVERHEADS2"/>
      <sheetName val="direct_cost_shed_a-2_2"/>
      <sheetName val="site_fab&amp;ernstr2"/>
      <sheetName val="Data_Sheet6"/>
      <sheetName val="Print_Sheet6"/>
      <sheetName val="UNIT_WT_MASTER6"/>
      <sheetName val="As_per_PCA6"/>
      <sheetName val="Format_-_43"/>
      <sheetName val="SITE_OVERHEADS3"/>
      <sheetName val="direct_cost_shed_a-2_3"/>
      <sheetName val="sc_cost_feb_03"/>
      <sheetName val="site_fab&amp;ernstr3"/>
      <sheetName val="PROJECT_"/>
      <sheetName val="Data_Sheet7"/>
      <sheetName val="Print_Sheet7"/>
      <sheetName val="UNIT_WT_MASTER7"/>
      <sheetName val="As_per_PCA7"/>
      <sheetName val="Format_-_44"/>
      <sheetName val="SITE_OVERHEADS4"/>
      <sheetName val="direct_cost_shed_a-2_4"/>
      <sheetName val="sc_cost_feb_031"/>
      <sheetName val="site_fab&amp;ernstr4"/>
      <sheetName val="PROJECT_1"/>
      <sheetName val="Data_Sheet8"/>
      <sheetName val="Print_Sheet8"/>
      <sheetName val="UNIT_WT_MASTER8"/>
      <sheetName val="As_per_PCA8"/>
      <sheetName val="Format_-_45"/>
      <sheetName val="SITE_OVERHEADS5"/>
      <sheetName val="direct_cost_shed_a-2_5"/>
      <sheetName val="sc_cost_feb_032"/>
      <sheetName val="site_fab&amp;ernstr5"/>
      <sheetName val="PROJECT_2"/>
      <sheetName val="Data_Sheet9"/>
      <sheetName val="Print_Sheet9"/>
      <sheetName val="UNIT_WT_MASTER9"/>
      <sheetName val="As_per_PCA9"/>
      <sheetName val="Format_-_46"/>
      <sheetName val="SITE_OVERHEADS6"/>
      <sheetName val="direct_cost_shed_a-2_6"/>
      <sheetName val="sc_cost_feb_033"/>
      <sheetName val="site_fab&amp;ernstr6"/>
      <sheetName val="PROJECT_3"/>
      <sheetName val="Data_Sheet10"/>
      <sheetName val="Print_Sheet10"/>
      <sheetName val="UNIT_WT_MASTER10"/>
      <sheetName val="As_per_PCA10"/>
      <sheetName val="Format_-_47"/>
      <sheetName val="SITE_OVERHEADS7"/>
      <sheetName val="direct_cost_shed_a-2_7"/>
      <sheetName val="sc_cost_feb_034"/>
      <sheetName val="site_fab&amp;ernstr7"/>
      <sheetName val="PROJECT_4"/>
      <sheetName val="Data_Sheet11"/>
      <sheetName val="Print_Sheet11"/>
      <sheetName val="UNIT_WT_MASTER11"/>
      <sheetName val="As_per_PCA11"/>
      <sheetName val="Format_-_48"/>
      <sheetName val="SITE_OVERHEADS8"/>
      <sheetName val="direct_cost_shed_a-2_8"/>
      <sheetName val="sc_cost_feb_035"/>
      <sheetName val="site_fab&amp;ernstr8"/>
      <sheetName val="PROJECT_5"/>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6.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7.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9.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0.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1.bin"/></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2.bin"/></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3.bin"/></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87"/>
      <c r="B1" s="1373" t="s">
        <v>569</v>
      </c>
      <c r="C1" s="1373"/>
      <c r="D1" s="1374" t="s">
        <v>2</v>
      </c>
      <c r="E1" s="1374"/>
      <c r="F1" s="1375" t="s">
        <v>570</v>
      </c>
      <c r="G1" s="1376"/>
      <c r="H1" s="410">
        <f ca="1">TODAY()</f>
        <v>46220</v>
      </c>
      <c r="I1" s="1375" t="s">
        <v>571</v>
      </c>
      <c r="J1" s="1377"/>
      <c r="K1" s="1376"/>
      <c r="L1" s="431">
        <v>45041</v>
      </c>
      <c r="M1" s="1378" t="s">
        <v>572</v>
      </c>
      <c r="N1" s="1379"/>
      <c r="O1" s="1380"/>
      <c r="P1" s="1382" t="s">
        <v>573</v>
      </c>
      <c r="Q1" s="1382"/>
      <c r="S1" s="406"/>
      <c r="T1" s="406"/>
      <c r="U1" s="406"/>
    </row>
    <row r="2" spans="1:32">
      <c r="A2" s="1388"/>
      <c r="B2" s="1373" t="s">
        <v>574</v>
      </c>
      <c r="C2" s="1373"/>
      <c r="D2" s="1381" t="s">
        <v>1</v>
      </c>
      <c r="E2" s="1382"/>
      <c r="F2" s="1382"/>
      <c r="G2" s="1382"/>
      <c r="H2" s="1382"/>
      <c r="I2" s="1375" t="s">
        <v>575</v>
      </c>
      <c r="J2" s="1377"/>
      <c r="K2" s="1376"/>
      <c r="L2" s="431">
        <v>45498</v>
      </c>
      <c r="M2" s="1378" t="s">
        <v>576</v>
      </c>
      <c r="N2" s="1379"/>
      <c r="O2" s="1380"/>
      <c r="P2" s="1382" t="s">
        <v>577</v>
      </c>
      <c r="Q2" s="1382"/>
      <c r="S2" s="406"/>
      <c r="T2" s="406"/>
      <c r="U2" s="406"/>
    </row>
    <row r="3" spans="1:32">
      <c r="A3" s="1388"/>
      <c r="B3" s="1373" t="s">
        <v>578</v>
      </c>
      <c r="C3" s="1373"/>
      <c r="D3" s="1381" t="s">
        <v>579</v>
      </c>
      <c r="E3" s="1382"/>
      <c r="F3" s="1382"/>
      <c r="G3" s="1382"/>
      <c r="H3" s="1382"/>
      <c r="I3" s="1375" t="s">
        <v>580</v>
      </c>
      <c r="J3" s="1377"/>
      <c r="K3" s="1376"/>
      <c r="L3" s="431">
        <v>45498</v>
      </c>
      <c r="M3" s="1378" t="s">
        <v>581</v>
      </c>
      <c r="N3" s="1379"/>
      <c r="O3" s="1380"/>
      <c r="P3" s="1382" t="s">
        <v>582</v>
      </c>
      <c r="Q3" s="1382"/>
      <c r="S3" s="406"/>
      <c r="T3" s="406"/>
      <c r="U3" s="406"/>
    </row>
    <row r="4" spans="1:32" ht="28">
      <c r="A4" s="1389"/>
      <c r="B4" s="1373" t="s">
        <v>583</v>
      </c>
      <c r="C4" s="1373"/>
      <c r="D4" s="1381" t="s">
        <v>584</v>
      </c>
      <c r="E4" s="1382"/>
      <c r="F4" s="1382"/>
      <c r="G4" s="1382"/>
      <c r="H4" s="1382"/>
      <c r="I4" s="1375" t="s">
        <v>585</v>
      </c>
      <c r="J4" s="1377"/>
      <c r="K4" s="1376"/>
      <c r="L4" s="432" t="s">
        <v>586</v>
      </c>
      <c r="M4" s="1378" t="s">
        <v>587</v>
      </c>
      <c r="N4" s="1379"/>
      <c r="O4" s="1380"/>
      <c r="P4" s="1382" t="s">
        <v>588</v>
      </c>
      <c r="Q4" s="1382"/>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90" t="s">
        <v>19</v>
      </c>
      <c r="Q5" s="1391"/>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92" t="s">
        <v>604</v>
      </c>
      <c r="Q6" s="1393"/>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94" t="s">
        <v>606</v>
      </c>
      <c r="Q7" s="1395"/>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96" t="s">
        <v>607</v>
      </c>
      <c r="Q8" s="1397"/>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383"/>
      <c r="Q9" s="1384"/>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383"/>
      <c r="Q10" s="1384"/>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383" t="s">
        <v>611</v>
      </c>
      <c r="Q11" s="1384"/>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383" t="s">
        <v>613</v>
      </c>
      <c r="Q12" s="1384"/>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385"/>
      <c r="Q13" s="1386"/>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403" t="s">
        <v>617</v>
      </c>
      <c r="C2" s="1403"/>
      <c r="D2" s="1403" t="s">
        <v>618</v>
      </c>
      <c r="E2" s="1403"/>
      <c r="F2" s="1403" t="s">
        <v>619</v>
      </c>
      <c r="G2" s="1403"/>
      <c r="H2" s="396" t="s">
        <v>616</v>
      </c>
      <c r="I2" s="1403" t="s">
        <v>620</v>
      </c>
      <c r="J2" s="1403" t="s">
        <v>28</v>
      </c>
      <c r="K2" s="1403"/>
    </row>
    <row r="3" spans="1:11" ht="35.25" customHeight="1">
      <c r="A3" s="396" t="s">
        <v>621</v>
      </c>
      <c r="B3" s="1403"/>
      <c r="C3" s="1403"/>
      <c r="D3" s="1403" t="s">
        <v>622</v>
      </c>
      <c r="E3" s="1403"/>
      <c r="F3" s="1403" t="s">
        <v>623</v>
      </c>
      <c r="G3" s="1403"/>
      <c r="H3" s="396" t="s">
        <v>624</v>
      </c>
      <c r="I3" s="1403"/>
      <c r="J3" s="1403" t="s">
        <v>625</v>
      </c>
      <c r="K3" s="1403"/>
    </row>
    <row r="4" spans="1:11">
      <c r="A4" s="397"/>
      <c r="B4" s="396" t="s">
        <v>626</v>
      </c>
      <c r="C4" s="396" t="s">
        <v>627</v>
      </c>
      <c r="D4" s="396" t="s">
        <v>626</v>
      </c>
      <c r="E4" s="396" t="s">
        <v>627</v>
      </c>
      <c r="F4" s="396" t="s">
        <v>626</v>
      </c>
      <c r="G4" s="396" t="s">
        <v>627</v>
      </c>
      <c r="H4" s="397"/>
      <c r="I4" s="1403"/>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98" t="s">
        <v>633</v>
      </c>
      <c r="B6" s="1399">
        <v>45076</v>
      </c>
      <c r="C6" s="1400" t="s">
        <v>629</v>
      </c>
      <c r="D6" s="1399">
        <v>45137</v>
      </c>
      <c r="E6" s="1400" t="s">
        <v>629</v>
      </c>
      <c r="F6" s="1399">
        <v>45126</v>
      </c>
      <c r="G6" s="1400" t="s">
        <v>634</v>
      </c>
      <c r="H6" s="1400" t="s">
        <v>631</v>
      </c>
      <c r="I6" s="1400" t="s">
        <v>635</v>
      </c>
      <c r="J6" s="1398" t="s">
        <v>636</v>
      </c>
      <c r="K6" s="1401" t="s">
        <v>629</v>
      </c>
    </row>
    <row r="7" spans="1:11">
      <c r="A7" s="1398"/>
      <c r="B7" s="1399"/>
      <c r="C7" s="1400"/>
      <c r="D7" s="1399"/>
      <c r="E7" s="1400"/>
      <c r="F7" s="1399"/>
      <c r="G7" s="1400"/>
      <c r="H7" s="1400"/>
      <c r="I7" s="1400"/>
      <c r="J7" s="1398"/>
      <c r="K7" s="1402"/>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46220</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404" t="s">
        <v>40</v>
      </c>
      <c r="B4" s="1404" t="s">
        <v>41</v>
      </c>
      <c r="C4" s="1405" t="s">
        <v>42</v>
      </c>
      <c r="D4" s="1406" t="s">
        <v>43</v>
      </c>
      <c r="E4" s="1406" t="s">
        <v>44</v>
      </c>
      <c r="F4" s="1406" t="s">
        <v>45</v>
      </c>
      <c r="G4" s="1408" t="s">
        <v>46</v>
      </c>
      <c r="H4" s="1410" t="s">
        <v>47</v>
      </c>
      <c r="I4" s="1406" t="s">
        <v>48</v>
      </c>
      <c r="J4" s="1407" t="s">
        <v>49</v>
      </c>
      <c r="K4" s="1407" t="s">
        <v>50</v>
      </c>
      <c r="L4" s="1407" t="s">
        <v>51</v>
      </c>
      <c r="M4" s="1407" t="s">
        <v>19</v>
      </c>
    </row>
    <row r="5" spans="1:13" s="159" customFormat="1" ht="12">
      <c r="A5" s="1404"/>
      <c r="B5" s="1404"/>
      <c r="C5" s="1405"/>
      <c r="D5" s="1406"/>
      <c r="E5" s="1406"/>
      <c r="F5" s="1406"/>
      <c r="G5" s="1409"/>
      <c r="H5" s="1410"/>
      <c r="I5" s="1406"/>
      <c r="J5" s="1407"/>
      <c r="K5" s="1407"/>
      <c r="L5" s="1407"/>
      <c r="M5" s="1407"/>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607" priority="221" stopIfTrue="1"/>
  </conditionalFormatting>
  <conditionalFormatting sqref="D1:D65220">
    <cfRule type="duplicateValues" dxfId="3606" priority="224" stopIfTrue="1"/>
  </conditionalFormatting>
  <conditionalFormatting sqref="D6">
    <cfRule type="expression" dxfId="3605" priority="23" stopIfTrue="1">
      <formula>IF(#REF!="TEN",TRUE,FALSE)</formula>
    </cfRule>
  </conditionalFormatting>
  <conditionalFormatting sqref="D10:D12">
    <cfRule type="expression" dxfId="3604"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E21" sqref="E21"/>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1782</v>
      </c>
      <c r="D2" s="10" t="s">
        <v>2401</v>
      </c>
      <c r="E2" s="10" t="s">
        <v>10</v>
      </c>
      <c r="F2" s="10" t="s">
        <v>2683</v>
      </c>
      <c r="G2" s="755" t="s">
        <v>2682</v>
      </c>
      <c r="H2" s="755" t="s">
        <v>2685</v>
      </c>
      <c r="I2" s="755" t="s">
        <v>2686</v>
      </c>
      <c r="J2" s="755" t="s">
        <v>593</v>
      </c>
      <c r="K2" s="755" t="s">
        <v>22</v>
      </c>
      <c r="L2" s="755" t="s">
        <v>2689</v>
      </c>
      <c r="M2" s="755" t="s">
        <v>19</v>
      </c>
    </row>
    <row r="3" spans="3:21">
      <c r="C3" s="1414">
        <v>1</v>
      </c>
      <c r="D3" s="1413" t="s">
        <v>2687</v>
      </c>
      <c r="E3" s="33" t="s">
        <v>2684</v>
      </c>
      <c r="F3" s="33" t="s">
        <v>615</v>
      </c>
      <c r="G3" s="33">
        <v>144</v>
      </c>
      <c r="H3" s="33">
        <v>70</v>
      </c>
      <c r="I3" s="843">
        <v>129.35999999999999</v>
      </c>
      <c r="J3" s="843">
        <f t="shared" ref="J3:J10" si="0">G3-I3</f>
        <v>14.640000000000015</v>
      </c>
      <c r="K3" s="33"/>
      <c r="L3" s="33">
        <v>2</v>
      </c>
      <c r="M3" s="75"/>
    </row>
    <row r="4" spans="3:21">
      <c r="C4" s="1414"/>
      <c r="D4" s="1413"/>
      <c r="E4" s="33" t="s">
        <v>28</v>
      </c>
      <c r="F4" s="33" t="s">
        <v>608</v>
      </c>
      <c r="G4" s="33">
        <v>434</v>
      </c>
      <c r="H4" s="33">
        <v>17</v>
      </c>
      <c r="I4" s="33">
        <v>2</v>
      </c>
      <c r="J4" s="843">
        <f t="shared" si="0"/>
        <v>432</v>
      </c>
      <c r="K4" s="33">
        <v>4</v>
      </c>
      <c r="L4" s="33">
        <v>3</v>
      </c>
      <c r="M4" s="75"/>
    </row>
    <row r="5" spans="3:21">
      <c r="C5" s="1414">
        <v>2</v>
      </c>
      <c r="D5" s="1413" t="s">
        <v>2688</v>
      </c>
      <c r="E5" s="33" t="s">
        <v>2684</v>
      </c>
      <c r="F5" s="33" t="s">
        <v>615</v>
      </c>
      <c r="G5" s="843">
        <v>33.103000000000002</v>
      </c>
      <c r="H5" s="33">
        <v>20</v>
      </c>
      <c r="I5" s="843">
        <v>8.56</v>
      </c>
      <c r="J5" s="843">
        <f t="shared" si="0"/>
        <v>24.542999999999999</v>
      </c>
      <c r="K5" s="33">
        <v>0.3</v>
      </c>
      <c r="L5" s="33">
        <v>1</v>
      </c>
      <c r="M5" s="75"/>
    </row>
    <row r="6" spans="3:21">
      <c r="C6" s="1414"/>
      <c r="D6" s="1413"/>
      <c r="E6" s="33" t="s">
        <v>28</v>
      </c>
      <c r="F6" s="33" t="s">
        <v>608</v>
      </c>
      <c r="G6" s="33">
        <v>129</v>
      </c>
      <c r="H6" s="33"/>
      <c r="I6" s="33"/>
      <c r="J6" s="843">
        <f t="shared" si="0"/>
        <v>129</v>
      </c>
      <c r="K6" s="33"/>
      <c r="L6" s="33"/>
      <c r="M6" s="75"/>
    </row>
    <row r="7" spans="3:21">
      <c r="C7" s="1414">
        <v>3</v>
      </c>
      <c r="D7" s="1413" t="s">
        <v>2690</v>
      </c>
      <c r="E7" s="33" t="s">
        <v>2684</v>
      </c>
      <c r="F7" s="33" t="s">
        <v>615</v>
      </c>
      <c r="G7" s="843">
        <v>2.1800000000000002</v>
      </c>
      <c r="H7" s="843">
        <v>2.1800000000000002</v>
      </c>
      <c r="I7" s="843">
        <v>2.1800000000000002</v>
      </c>
      <c r="J7" s="754">
        <f t="shared" si="0"/>
        <v>0</v>
      </c>
      <c r="K7" s="75"/>
      <c r="L7" s="75"/>
      <c r="M7" s="75"/>
    </row>
    <row r="8" spans="3:21">
      <c r="C8" s="1414"/>
      <c r="D8" s="1413"/>
      <c r="E8" s="33" t="s">
        <v>28</v>
      </c>
      <c r="F8" s="33" t="s">
        <v>608</v>
      </c>
      <c r="G8" s="33">
        <v>14</v>
      </c>
      <c r="H8" s="33">
        <v>6</v>
      </c>
      <c r="I8" s="75"/>
      <c r="J8" s="843">
        <f t="shared" si="0"/>
        <v>14</v>
      </c>
      <c r="K8" s="75"/>
      <c r="L8" s="75"/>
      <c r="M8" s="75"/>
    </row>
    <row r="9" spans="3:21">
      <c r="C9" s="1411"/>
      <c r="D9" s="1412" t="s">
        <v>994</v>
      </c>
      <c r="E9" s="10" t="s">
        <v>2684</v>
      </c>
      <c r="F9" s="10" t="s">
        <v>615</v>
      </c>
      <c r="G9" s="844">
        <f t="shared" ref="G9:I10" si="1">G7+G5+G3</f>
        <v>179.28300000000002</v>
      </c>
      <c r="H9" s="844">
        <f t="shared" si="1"/>
        <v>92.18</v>
      </c>
      <c r="I9" s="844">
        <f t="shared" si="1"/>
        <v>140.1</v>
      </c>
      <c r="J9" s="844">
        <f t="shared" si="0"/>
        <v>39.183000000000021</v>
      </c>
      <c r="K9" s="845">
        <f>K7+K5+K3</f>
        <v>0.3</v>
      </c>
      <c r="L9" s="844">
        <f>L7+L5+L3</f>
        <v>3</v>
      </c>
      <c r="M9" s="846"/>
    </row>
    <row r="10" spans="3:21">
      <c r="C10" s="1411"/>
      <c r="D10" s="1412"/>
      <c r="E10" s="10" t="s">
        <v>28</v>
      </c>
      <c r="F10" s="10" t="s">
        <v>608</v>
      </c>
      <c r="G10" s="10">
        <f t="shared" si="1"/>
        <v>577</v>
      </c>
      <c r="H10" s="10">
        <f t="shared" si="1"/>
        <v>23</v>
      </c>
      <c r="I10" s="10">
        <f t="shared" si="1"/>
        <v>2</v>
      </c>
      <c r="J10" s="844">
        <f t="shared" si="0"/>
        <v>575</v>
      </c>
      <c r="K10" s="10">
        <f>K8+K6+K4</f>
        <v>4</v>
      </c>
      <c r="L10" s="10">
        <f>L8+L6+L4</f>
        <v>3</v>
      </c>
      <c r="M10" s="846"/>
    </row>
    <row r="13" spans="3:21">
      <c r="P13" s="9" t="s">
        <v>1782</v>
      </c>
      <c r="Q13" s="9" t="s">
        <v>3214</v>
      </c>
      <c r="R13" s="9" t="s">
        <v>1405</v>
      </c>
      <c r="S13" s="9" t="s">
        <v>1782</v>
      </c>
      <c r="T13" s="9" t="s">
        <v>3214</v>
      </c>
      <c r="U13" s="9" t="s">
        <v>1405</v>
      </c>
    </row>
    <row r="14" spans="3:21">
      <c r="P14" s="13">
        <v>1</v>
      </c>
      <c r="Q14" s="13" t="s">
        <v>3185</v>
      </c>
      <c r="R14" s="13" t="s">
        <v>1277</v>
      </c>
      <c r="S14" s="13">
        <f>10+1</f>
        <v>11</v>
      </c>
      <c r="T14" s="13" t="s">
        <v>2952</v>
      </c>
      <c r="U14" s="13" t="s">
        <v>1988</v>
      </c>
    </row>
    <row r="15" spans="3:21">
      <c r="P15" s="13">
        <f>P14+1</f>
        <v>2</v>
      </c>
      <c r="Q15" s="13" t="s">
        <v>529</v>
      </c>
      <c r="R15" s="13" t="s">
        <v>76</v>
      </c>
      <c r="S15" s="13">
        <f>S14+1</f>
        <v>12</v>
      </c>
      <c r="T15" s="13" t="s">
        <v>3153</v>
      </c>
      <c r="U15" s="13" t="s">
        <v>62</v>
      </c>
    </row>
    <row r="16" spans="3:21">
      <c r="P16" s="13">
        <f t="shared" ref="P16:P23" si="2">P15+1</f>
        <v>3</v>
      </c>
      <c r="Q16" s="13" t="s">
        <v>3152</v>
      </c>
      <c r="R16" s="13" t="s">
        <v>76</v>
      </c>
      <c r="S16" s="2"/>
    </row>
    <row r="17" spans="16:19">
      <c r="P17" s="13">
        <f t="shared" si="2"/>
        <v>4</v>
      </c>
      <c r="Q17" s="13" t="s">
        <v>2988</v>
      </c>
      <c r="R17" s="1121" t="s">
        <v>1277</v>
      </c>
      <c r="S17" s="2"/>
    </row>
    <row r="18" spans="16:19">
      <c r="P18" s="13">
        <f t="shared" si="2"/>
        <v>5</v>
      </c>
      <c r="Q18" s="13" t="s">
        <v>2521</v>
      </c>
      <c r="R18" s="13" t="s">
        <v>76</v>
      </c>
      <c r="S18" s="2"/>
    </row>
    <row r="19" spans="16:19">
      <c r="P19" s="13">
        <f t="shared" si="2"/>
        <v>6</v>
      </c>
      <c r="Q19" s="13" t="s">
        <v>3161</v>
      </c>
      <c r="R19" s="13" t="s">
        <v>76</v>
      </c>
      <c r="S19" s="2"/>
    </row>
    <row r="20" spans="16:19">
      <c r="P20" s="13">
        <f t="shared" si="2"/>
        <v>7</v>
      </c>
      <c r="Q20" s="13" t="s">
        <v>3019</v>
      </c>
      <c r="R20" s="13" t="s">
        <v>1277</v>
      </c>
      <c r="S20" s="2"/>
    </row>
    <row r="21" spans="16:19">
      <c r="P21" s="13">
        <f t="shared" si="2"/>
        <v>8</v>
      </c>
      <c r="Q21" s="13" t="s">
        <v>2915</v>
      </c>
      <c r="R21" s="13" t="s">
        <v>1361</v>
      </c>
      <c r="S21" s="2"/>
    </row>
    <row r="22" spans="16:19">
      <c r="P22" s="13">
        <f t="shared" si="2"/>
        <v>9</v>
      </c>
      <c r="Q22" s="13" t="s">
        <v>2522</v>
      </c>
      <c r="R22" s="13" t="s">
        <v>62</v>
      </c>
      <c r="S22" s="2"/>
    </row>
    <row r="23" spans="16:19">
      <c r="P23" s="13">
        <f t="shared" si="2"/>
        <v>10</v>
      </c>
      <c r="Q23" s="13" t="s">
        <v>2910</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E21" sqref="E21"/>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2401</v>
      </c>
      <c r="C2" s="10" t="s">
        <v>10</v>
      </c>
      <c r="D2" s="10" t="s">
        <v>1433</v>
      </c>
      <c r="E2" s="755" t="s">
        <v>2692</v>
      </c>
      <c r="F2" s="755" t="s">
        <v>2693</v>
      </c>
      <c r="G2" s="755" t="s">
        <v>2694</v>
      </c>
      <c r="H2" s="755" t="s">
        <v>2695</v>
      </c>
      <c r="I2" s="755" t="s">
        <v>2696</v>
      </c>
      <c r="J2" s="755" t="s">
        <v>2697</v>
      </c>
      <c r="K2" s="755" t="s">
        <v>2702</v>
      </c>
      <c r="L2" s="755" t="s">
        <v>2703</v>
      </c>
    </row>
    <row r="3" spans="2:12">
      <c r="B3" s="1414" t="s">
        <v>2691</v>
      </c>
      <c r="C3" s="847" t="s">
        <v>2698</v>
      </c>
      <c r="D3" s="1416" t="s">
        <v>2371</v>
      </c>
      <c r="E3" s="1414">
        <v>25</v>
      </c>
      <c r="F3" s="33">
        <v>10</v>
      </c>
      <c r="G3" s="1414">
        <v>35</v>
      </c>
      <c r="H3" s="33">
        <v>10</v>
      </c>
      <c r="I3" s="1414">
        <v>40</v>
      </c>
      <c r="J3" s="33">
        <v>20</v>
      </c>
      <c r="K3" s="1414">
        <f>E3+G3+I3</f>
        <v>100</v>
      </c>
      <c r="L3" s="1414">
        <f>F3+H3+J3+F5+H5+J5</f>
        <v>110</v>
      </c>
    </row>
    <row r="4" spans="2:12">
      <c r="B4" s="1414"/>
      <c r="C4" s="847" t="s">
        <v>2689</v>
      </c>
      <c r="D4" s="1416"/>
      <c r="E4" s="1414"/>
      <c r="F4" s="33">
        <v>3</v>
      </c>
      <c r="G4" s="1414"/>
      <c r="H4" s="33">
        <v>3</v>
      </c>
      <c r="I4" s="1414"/>
      <c r="J4" s="33">
        <v>6</v>
      </c>
      <c r="K4" s="1414"/>
      <c r="L4" s="1414"/>
    </row>
    <row r="5" spans="2:12">
      <c r="B5" s="1414"/>
      <c r="C5" s="847" t="s">
        <v>2698</v>
      </c>
      <c r="D5" s="1416" t="s">
        <v>2376</v>
      </c>
      <c r="E5" s="1414"/>
      <c r="F5" s="33">
        <v>15</v>
      </c>
      <c r="G5" s="1414"/>
      <c r="H5" s="33">
        <v>25</v>
      </c>
      <c r="I5" s="1414"/>
      <c r="J5" s="33">
        <v>30</v>
      </c>
      <c r="K5" s="1414"/>
      <c r="L5" s="1414"/>
    </row>
    <row r="6" spans="2:12">
      <c r="B6" s="1414"/>
      <c r="C6" s="847" t="s">
        <v>2689</v>
      </c>
      <c r="D6" s="1416"/>
      <c r="E6" s="1414"/>
      <c r="F6" s="33">
        <v>5</v>
      </c>
      <c r="G6" s="1414"/>
      <c r="H6" s="33">
        <v>6</v>
      </c>
      <c r="I6" s="1414"/>
      <c r="J6" s="33">
        <v>6</v>
      </c>
      <c r="K6" s="1414"/>
      <c r="L6" s="1414"/>
    </row>
    <row r="7" spans="2:12">
      <c r="B7" s="1415" t="s">
        <v>2700</v>
      </c>
      <c r="C7" s="847" t="s">
        <v>2698</v>
      </c>
      <c r="D7" s="1416" t="s">
        <v>2371</v>
      </c>
      <c r="E7" s="1414">
        <v>2</v>
      </c>
      <c r="F7" s="33"/>
      <c r="G7" s="1414">
        <v>7</v>
      </c>
      <c r="H7" s="33">
        <v>5</v>
      </c>
      <c r="I7" s="1414">
        <v>10</v>
      </c>
      <c r="J7" s="33">
        <v>8</v>
      </c>
      <c r="K7" s="1414">
        <f>E7+G7+I7</f>
        <v>19</v>
      </c>
      <c r="L7" s="1414">
        <f>F7+H7+J7</f>
        <v>13</v>
      </c>
    </row>
    <row r="8" spans="2:12">
      <c r="B8" s="1413"/>
      <c r="C8" s="847" t="s">
        <v>2689</v>
      </c>
      <c r="D8" s="1416"/>
      <c r="E8" s="1414"/>
      <c r="F8" s="33"/>
      <c r="G8" s="1414"/>
      <c r="H8" s="33">
        <v>3</v>
      </c>
      <c r="I8" s="1414"/>
      <c r="J8" s="33">
        <v>4</v>
      </c>
      <c r="K8" s="1414"/>
      <c r="L8" s="1414"/>
    </row>
    <row r="9" spans="2:12">
      <c r="B9" s="1415" t="s">
        <v>2701</v>
      </c>
      <c r="C9" s="847" t="s">
        <v>2698</v>
      </c>
      <c r="D9" s="1416" t="s">
        <v>2699</v>
      </c>
      <c r="E9" s="1414">
        <v>2</v>
      </c>
      <c r="F9" s="33"/>
      <c r="G9" s="1414">
        <v>2</v>
      </c>
      <c r="H9" s="33">
        <v>1</v>
      </c>
      <c r="I9" s="1414"/>
      <c r="J9" s="33">
        <v>1</v>
      </c>
      <c r="K9" s="1414">
        <f>E9+G9+I9</f>
        <v>4</v>
      </c>
      <c r="L9" s="1414">
        <f>F9+H9+J9</f>
        <v>2</v>
      </c>
    </row>
    <row r="10" spans="2:12">
      <c r="B10" s="1413"/>
      <c r="C10" s="847" t="s">
        <v>2689</v>
      </c>
      <c r="D10" s="1416"/>
      <c r="E10" s="1414"/>
      <c r="F10" s="33"/>
      <c r="G10" s="1414"/>
      <c r="H10" s="33">
        <v>1</v>
      </c>
      <c r="I10" s="1414"/>
      <c r="J10" s="33">
        <v>1</v>
      </c>
      <c r="K10" s="1414"/>
      <c r="L10" s="1414"/>
    </row>
    <row r="11" spans="2:12">
      <c r="B11" s="1412" t="s">
        <v>994</v>
      </c>
      <c r="C11" s="10" t="s">
        <v>2698</v>
      </c>
      <c r="D11" s="9"/>
      <c r="E11" s="1411">
        <f>E9+E7+E3</f>
        <v>29</v>
      </c>
      <c r="F11" s="9">
        <f>F3+F5+F7+F9</f>
        <v>25</v>
      </c>
      <c r="G11" s="1411">
        <f>G9+G7+G3</f>
        <v>44</v>
      </c>
      <c r="H11" s="9">
        <f>H3+H5+H7+H9</f>
        <v>41</v>
      </c>
      <c r="I11" s="1411">
        <f>I9+I7+I3</f>
        <v>50</v>
      </c>
      <c r="J11" s="9">
        <f>J3+J5+J7+J9</f>
        <v>59</v>
      </c>
      <c r="K11" s="1411">
        <f>K9+K7+K3</f>
        <v>123</v>
      </c>
      <c r="L11" s="1411">
        <f>L9+L7+L3</f>
        <v>125</v>
      </c>
    </row>
    <row r="12" spans="2:12">
      <c r="B12" s="1412"/>
      <c r="C12" s="10" t="s">
        <v>2689</v>
      </c>
      <c r="D12" s="9"/>
      <c r="E12" s="1411"/>
      <c r="F12" s="9">
        <f>F6+F4+F8+F10</f>
        <v>8</v>
      </c>
      <c r="G12" s="1411"/>
      <c r="H12" s="9">
        <f>H6+H4+H8+H10</f>
        <v>13</v>
      </c>
      <c r="I12" s="1411"/>
      <c r="J12" s="9">
        <f>J6+J4+J8+J10</f>
        <v>17</v>
      </c>
      <c r="K12" s="1411"/>
      <c r="L12" s="1411"/>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E21" sqref="E21"/>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421" t="s">
        <v>2401</v>
      </c>
      <c r="E6" s="1421" t="s">
        <v>2704</v>
      </c>
      <c r="F6" s="1421" t="s">
        <v>1433</v>
      </c>
      <c r="G6" s="850" t="s">
        <v>1439</v>
      </c>
      <c r="H6" s="1421" t="s">
        <v>2184</v>
      </c>
      <c r="I6" s="849" t="s">
        <v>2705</v>
      </c>
      <c r="J6" s="1421" t="s">
        <v>19</v>
      </c>
    </row>
    <row r="7" spans="4:10" ht="18.5">
      <c r="D7" s="1422"/>
      <c r="E7" s="1422"/>
      <c r="F7" s="1422"/>
      <c r="G7" s="852" t="s">
        <v>615</v>
      </c>
      <c r="H7" s="1422"/>
      <c r="I7" s="851" t="s">
        <v>2706</v>
      </c>
      <c r="J7" s="1422"/>
    </row>
    <row r="8" spans="4:10" ht="35">
      <c r="D8" s="1419" t="s">
        <v>2691</v>
      </c>
      <c r="E8" s="853" t="s">
        <v>2371</v>
      </c>
      <c r="F8" s="853" t="s">
        <v>2707</v>
      </c>
      <c r="G8" s="853">
        <v>47</v>
      </c>
      <c r="H8" s="1423" t="s">
        <v>2719</v>
      </c>
      <c r="I8" s="848" t="s">
        <v>2715</v>
      </c>
      <c r="J8" s="1417" t="s">
        <v>2720</v>
      </c>
    </row>
    <row r="9" spans="4:10" ht="52.5">
      <c r="D9" s="1420"/>
      <c r="E9" s="1419" t="s">
        <v>2376</v>
      </c>
      <c r="F9" s="853" t="s">
        <v>2708</v>
      </c>
      <c r="G9" s="853">
        <v>47</v>
      </c>
      <c r="H9" s="1420"/>
      <c r="I9" s="848" t="s">
        <v>2716</v>
      </c>
      <c r="J9" s="1418"/>
    </row>
    <row r="10" spans="4:10" ht="35">
      <c r="D10" s="1420"/>
      <c r="E10" s="1420"/>
      <c r="F10" s="853" t="s">
        <v>2709</v>
      </c>
      <c r="G10" s="853">
        <v>48</v>
      </c>
      <c r="H10" s="1420"/>
      <c r="I10" s="848" t="s">
        <v>2717</v>
      </c>
      <c r="J10" s="1418"/>
    </row>
    <row r="11" spans="4:10" ht="70" customHeight="1">
      <c r="D11" s="853" t="s">
        <v>2700</v>
      </c>
      <c r="E11" s="853"/>
      <c r="F11" s="853" t="s">
        <v>2710</v>
      </c>
      <c r="G11" s="853">
        <v>33</v>
      </c>
      <c r="H11" s="1420"/>
      <c r="I11" s="848" t="s">
        <v>2718</v>
      </c>
      <c r="J11" s="856" t="s">
        <v>2711</v>
      </c>
    </row>
    <row r="12" spans="4:10" ht="17.5">
      <c r="D12" s="854" t="s">
        <v>2712</v>
      </c>
      <c r="E12" s="854" t="s">
        <v>2713</v>
      </c>
      <c r="F12" s="854" t="s">
        <v>2714</v>
      </c>
      <c r="G12" s="854">
        <v>2.1</v>
      </c>
      <c r="H12" s="1424"/>
      <c r="I12" s="854"/>
      <c r="J12" s="855" t="s">
        <v>2711</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E21" sqref="E21"/>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30" customWidth="1"/>
    <col min="2" max="2" width="16.08984375" style="1128" bestFit="1" customWidth="1"/>
    <col min="3" max="3" width="17.54296875" style="1129" bestFit="1" customWidth="1"/>
    <col min="4" max="4" width="17.54296875" style="1129" customWidth="1"/>
    <col min="5" max="6" width="22.81640625" style="1130" customWidth="1"/>
    <col min="7" max="7" width="48.1796875" style="1130" bestFit="1" customWidth="1"/>
    <col min="8" max="87" width="9.08984375" style="1131"/>
    <col min="88" max="88" width="9.90625" style="1131" bestFit="1" customWidth="1"/>
    <col min="89" max="89" width="19.453125" style="1131" customWidth="1"/>
    <col min="90" max="90" width="14.90625" style="1131" customWidth="1"/>
    <col min="91" max="91" width="23.6328125" style="1131" customWidth="1"/>
    <col min="92" max="92" width="19.453125" style="1131" customWidth="1"/>
    <col min="93" max="93" width="21.90625" style="1131" customWidth="1"/>
    <col min="94" max="94" width="14.453125" style="1131" bestFit="1" customWidth="1"/>
    <col min="95" max="95" width="17.08984375" style="1131" customWidth="1"/>
    <col min="96" max="96" width="23.453125" style="1131" customWidth="1"/>
    <col min="97" max="98" width="19.453125" style="1131" customWidth="1"/>
    <col min="99" max="99" width="39.453125" style="1131" customWidth="1"/>
    <col min="100" max="100" width="19.453125" style="1131" customWidth="1"/>
    <col min="101" max="343" width="9.08984375" style="1131"/>
    <col min="344" max="344" width="9.90625" style="1131" bestFit="1" customWidth="1"/>
    <col min="345" max="345" width="19.453125" style="1131" customWidth="1"/>
    <col min="346" max="346" width="14.90625" style="1131" customWidth="1"/>
    <col min="347" max="347" width="23.6328125" style="1131" customWidth="1"/>
    <col min="348" max="348" width="19.453125" style="1131" customWidth="1"/>
    <col min="349" max="349" width="21.90625" style="1131" customWidth="1"/>
    <col min="350" max="350" width="14.453125" style="1131" bestFit="1" customWidth="1"/>
    <col min="351" max="351" width="17.08984375" style="1131" customWidth="1"/>
    <col min="352" max="352" width="23.453125" style="1131" customWidth="1"/>
    <col min="353" max="354" width="19.453125" style="1131" customWidth="1"/>
    <col min="355" max="355" width="39.453125" style="1131" customWidth="1"/>
    <col min="356" max="356" width="19.453125" style="1131" customWidth="1"/>
    <col min="357" max="599" width="9.08984375" style="1131"/>
    <col min="600" max="600" width="9.90625" style="1131" bestFit="1" customWidth="1"/>
    <col min="601" max="601" width="19.453125" style="1131" customWidth="1"/>
    <col min="602" max="602" width="14.90625" style="1131" customWidth="1"/>
    <col min="603" max="603" width="23.6328125" style="1131" customWidth="1"/>
    <col min="604" max="604" width="19.453125" style="1131" customWidth="1"/>
    <col min="605" max="605" width="21.90625" style="1131" customWidth="1"/>
    <col min="606" max="606" width="14.453125" style="1131" bestFit="1" customWidth="1"/>
    <col min="607" max="607" width="17.08984375" style="1131" customWidth="1"/>
    <col min="608" max="608" width="23.453125" style="1131" customWidth="1"/>
    <col min="609" max="610" width="19.453125" style="1131" customWidth="1"/>
    <col min="611" max="611" width="39.453125" style="1131" customWidth="1"/>
    <col min="612" max="612" width="19.453125" style="1131" customWidth="1"/>
    <col min="613" max="855" width="9.08984375" style="1131"/>
    <col min="856" max="856" width="9.90625" style="1131" bestFit="1" customWidth="1"/>
    <col min="857" max="857" width="19.453125" style="1131" customWidth="1"/>
    <col min="858" max="858" width="14.90625" style="1131" customWidth="1"/>
    <col min="859" max="859" width="23.6328125" style="1131" customWidth="1"/>
    <col min="860" max="860" width="19.453125" style="1131" customWidth="1"/>
    <col min="861" max="861" width="21.90625" style="1131" customWidth="1"/>
    <col min="862" max="862" width="14.453125" style="1131" bestFit="1" customWidth="1"/>
    <col min="863" max="863" width="17.08984375" style="1131" customWidth="1"/>
    <col min="864" max="864" width="23.453125" style="1131" customWidth="1"/>
    <col min="865" max="866" width="19.453125" style="1131" customWidth="1"/>
    <col min="867" max="867" width="39.453125" style="1131" customWidth="1"/>
    <col min="868" max="868" width="19.453125" style="1131" customWidth="1"/>
    <col min="869" max="1111" width="9.08984375" style="1131"/>
    <col min="1112" max="1112" width="9.90625" style="1131" bestFit="1" customWidth="1"/>
    <col min="1113" max="1113" width="19.453125" style="1131" customWidth="1"/>
    <col min="1114" max="1114" width="14.90625" style="1131" customWidth="1"/>
    <col min="1115" max="1115" width="23.6328125" style="1131" customWidth="1"/>
    <col min="1116" max="1116" width="19.453125" style="1131" customWidth="1"/>
    <col min="1117" max="1117" width="21.90625" style="1131" customWidth="1"/>
    <col min="1118" max="1118" width="14.453125" style="1131" bestFit="1" customWidth="1"/>
    <col min="1119" max="1119" width="17.08984375" style="1131" customWidth="1"/>
    <col min="1120" max="1120" width="23.453125" style="1131" customWidth="1"/>
    <col min="1121" max="1122" width="19.453125" style="1131" customWidth="1"/>
    <col min="1123" max="1123" width="39.453125" style="1131" customWidth="1"/>
    <col min="1124" max="1124" width="19.453125" style="1131" customWidth="1"/>
    <col min="1125" max="1367" width="9.08984375" style="1131"/>
    <col min="1368" max="1368" width="9.90625" style="1131" bestFit="1" customWidth="1"/>
    <col min="1369" max="1369" width="19.453125" style="1131" customWidth="1"/>
    <col min="1370" max="1370" width="14.90625" style="1131" customWidth="1"/>
    <col min="1371" max="1371" width="23.6328125" style="1131" customWidth="1"/>
    <col min="1372" max="1372" width="19.453125" style="1131" customWidth="1"/>
    <col min="1373" max="1373" width="21.90625" style="1131" customWidth="1"/>
    <col min="1374" max="1374" width="14.453125" style="1131" bestFit="1" customWidth="1"/>
    <col min="1375" max="1375" width="17.08984375" style="1131" customWidth="1"/>
    <col min="1376" max="1376" width="23.453125" style="1131" customWidth="1"/>
    <col min="1377" max="1378" width="19.453125" style="1131" customWidth="1"/>
    <col min="1379" max="1379" width="39.453125" style="1131" customWidth="1"/>
    <col min="1380" max="1380" width="19.453125" style="1131" customWidth="1"/>
    <col min="1381" max="1623" width="9.08984375" style="1131"/>
    <col min="1624" max="1624" width="9.90625" style="1131" bestFit="1" customWidth="1"/>
    <col min="1625" max="1625" width="19.453125" style="1131" customWidth="1"/>
    <col min="1626" max="1626" width="14.90625" style="1131" customWidth="1"/>
    <col min="1627" max="1627" width="23.6328125" style="1131" customWidth="1"/>
    <col min="1628" max="1628" width="19.453125" style="1131" customWidth="1"/>
    <col min="1629" max="1629" width="21.90625" style="1131" customWidth="1"/>
    <col min="1630" max="1630" width="14.453125" style="1131" bestFit="1" customWidth="1"/>
    <col min="1631" max="1631" width="17.08984375" style="1131" customWidth="1"/>
    <col min="1632" max="1632" width="23.453125" style="1131" customWidth="1"/>
    <col min="1633" max="1634" width="19.453125" style="1131" customWidth="1"/>
    <col min="1635" max="1635" width="39.453125" style="1131" customWidth="1"/>
    <col min="1636" max="1636" width="19.453125" style="1131" customWidth="1"/>
    <col min="1637" max="1879" width="9.08984375" style="1131"/>
    <col min="1880" max="1880" width="9.90625" style="1131" bestFit="1" customWidth="1"/>
    <col min="1881" max="1881" width="19.453125" style="1131" customWidth="1"/>
    <col min="1882" max="1882" width="14.90625" style="1131" customWidth="1"/>
    <col min="1883" max="1883" width="23.6328125" style="1131" customWidth="1"/>
    <col min="1884" max="1884" width="19.453125" style="1131" customWidth="1"/>
    <col min="1885" max="1885" width="21.90625" style="1131" customWidth="1"/>
    <col min="1886" max="1886" width="14.453125" style="1131" bestFit="1" customWidth="1"/>
    <col min="1887" max="1887" width="17.08984375" style="1131" customWidth="1"/>
    <col min="1888" max="1888" width="23.453125" style="1131" customWidth="1"/>
    <col min="1889" max="1890" width="19.453125" style="1131" customWidth="1"/>
    <col min="1891" max="1891" width="39.453125" style="1131" customWidth="1"/>
    <col min="1892" max="1892" width="19.453125" style="1131" customWidth="1"/>
    <col min="1893" max="2135" width="9.08984375" style="1131"/>
    <col min="2136" max="2136" width="9.90625" style="1131" bestFit="1" customWidth="1"/>
    <col min="2137" max="2137" width="19.453125" style="1131" customWidth="1"/>
    <col min="2138" max="2138" width="14.90625" style="1131" customWidth="1"/>
    <col min="2139" max="2139" width="23.6328125" style="1131" customWidth="1"/>
    <col min="2140" max="2140" width="19.453125" style="1131" customWidth="1"/>
    <col min="2141" max="2141" width="21.90625" style="1131" customWidth="1"/>
    <col min="2142" max="2142" width="14.453125" style="1131" bestFit="1" customWidth="1"/>
    <col min="2143" max="2143" width="17.08984375" style="1131" customWidth="1"/>
    <col min="2144" max="2144" width="23.453125" style="1131" customWidth="1"/>
    <col min="2145" max="2146" width="19.453125" style="1131" customWidth="1"/>
    <col min="2147" max="2147" width="39.453125" style="1131" customWidth="1"/>
    <col min="2148" max="2148" width="19.453125" style="1131" customWidth="1"/>
    <col min="2149" max="2391" width="9.08984375" style="1131"/>
    <col min="2392" max="2392" width="9.90625" style="1131" bestFit="1" customWidth="1"/>
    <col min="2393" max="2393" width="19.453125" style="1131" customWidth="1"/>
    <col min="2394" max="2394" width="14.90625" style="1131" customWidth="1"/>
    <col min="2395" max="2395" width="23.6328125" style="1131" customWidth="1"/>
    <col min="2396" max="2396" width="19.453125" style="1131" customWidth="1"/>
    <col min="2397" max="2397" width="21.90625" style="1131" customWidth="1"/>
    <col min="2398" max="2398" width="14.453125" style="1131" bestFit="1" customWidth="1"/>
    <col min="2399" max="2399" width="17.08984375" style="1131" customWidth="1"/>
    <col min="2400" max="2400" width="23.453125" style="1131" customWidth="1"/>
    <col min="2401" max="2402" width="19.453125" style="1131" customWidth="1"/>
    <col min="2403" max="2403" width="39.453125" style="1131" customWidth="1"/>
    <col min="2404" max="2404" width="19.453125" style="1131" customWidth="1"/>
    <col min="2405" max="2647" width="9.08984375" style="1131"/>
    <col min="2648" max="2648" width="9.90625" style="1131" bestFit="1" customWidth="1"/>
    <col min="2649" max="2649" width="19.453125" style="1131" customWidth="1"/>
    <col min="2650" max="2650" width="14.90625" style="1131" customWidth="1"/>
    <col min="2651" max="2651" width="23.6328125" style="1131" customWidth="1"/>
    <col min="2652" max="2652" width="19.453125" style="1131" customWidth="1"/>
    <col min="2653" max="2653" width="21.90625" style="1131" customWidth="1"/>
    <col min="2654" max="2654" width="14.453125" style="1131" bestFit="1" customWidth="1"/>
    <col min="2655" max="2655" width="17.08984375" style="1131" customWidth="1"/>
    <col min="2656" max="2656" width="23.453125" style="1131" customWidth="1"/>
    <col min="2657" max="2658" width="19.453125" style="1131" customWidth="1"/>
    <col min="2659" max="2659" width="39.453125" style="1131" customWidth="1"/>
    <col min="2660" max="2660" width="19.453125" style="1131" customWidth="1"/>
    <col min="2661" max="2903" width="9.08984375" style="1131"/>
    <col min="2904" max="2904" width="9.90625" style="1131" bestFit="1" customWidth="1"/>
    <col min="2905" max="2905" width="19.453125" style="1131" customWidth="1"/>
    <col min="2906" max="2906" width="14.90625" style="1131" customWidth="1"/>
    <col min="2907" max="2907" width="23.6328125" style="1131" customWidth="1"/>
    <col min="2908" max="2908" width="19.453125" style="1131" customWidth="1"/>
    <col min="2909" max="2909" width="21.90625" style="1131" customWidth="1"/>
    <col min="2910" max="2910" width="14.453125" style="1131" bestFit="1" customWidth="1"/>
    <col min="2911" max="2911" width="17.08984375" style="1131" customWidth="1"/>
    <col min="2912" max="2912" width="23.453125" style="1131" customWidth="1"/>
    <col min="2913" max="2914" width="19.453125" style="1131" customWidth="1"/>
    <col min="2915" max="2915" width="39.453125" style="1131" customWidth="1"/>
    <col min="2916" max="2916" width="19.453125" style="1131" customWidth="1"/>
    <col min="2917" max="3159" width="9.08984375" style="1131"/>
    <col min="3160" max="3160" width="9.90625" style="1131" bestFit="1" customWidth="1"/>
    <col min="3161" max="3161" width="19.453125" style="1131" customWidth="1"/>
    <col min="3162" max="3162" width="14.90625" style="1131" customWidth="1"/>
    <col min="3163" max="3163" width="23.6328125" style="1131" customWidth="1"/>
    <col min="3164" max="3164" width="19.453125" style="1131" customWidth="1"/>
    <col min="3165" max="3165" width="21.90625" style="1131" customWidth="1"/>
    <col min="3166" max="3166" width="14.453125" style="1131" bestFit="1" customWidth="1"/>
    <col min="3167" max="3167" width="17.08984375" style="1131" customWidth="1"/>
    <col min="3168" max="3168" width="23.453125" style="1131" customWidth="1"/>
    <col min="3169" max="3170" width="19.453125" style="1131" customWidth="1"/>
    <col min="3171" max="3171" width="39.453125" style="1131" customWidth="1"/>
    <col min="3172" max="3172" width="19.453125" style="1131" customWidth="1"/>
    <col min="3173" max="3415" width="9.08984375" style="1131"/>
    <col min="3416" max="3416" width="9.90625" style="1131" bestFit="1" customWidth="1"/>
    <col min="3417" max="3417" width="19.453125" style="1131" customWidth="1"/>
    <col min="3418" max="3418" width="14.90625" style="1131" customWidth="1"/>
    <col min="3419" max="3419" width="23.6328125" style="1131" customWidth="1"/>
    <col min="3420" max="3420" width="19.453125" style="1131" customWidth="1"/>
    <col min="3421" max="3421" width="21.90625" style="1131" customWidth="1"/>
    <col min="3422" max="3422" width="14.453125" style="1131" bestFit="1" customWidth="1"/>
    <col min="3423" max="3423" width="17.08984375" style="1131" customWidth="1"/>
    <col min="3424" max="3424" width="23.453125" style="1131" customWidth="1"/>
    <col min="3425" max="3426" width="19.453125" style="1131" customWidth="1"/>
    <col min="3427" max="3427" width="39.453125" style="1131" customWidth="1"/>
    <col min="3428" max="3428" width="19.453125" style="1131" customWidth="1"/>
    <col min="3429" max="3671" width="9.08984375" style="1131"/>
    <col min="3672" max="3672" width="9.90625" style="1131" bestFit="1" customWidth="1"/>
    <col min="3673" max="3673" width="19.453125" style="1131" customWidth="1"/>
    <col min="3674" max="3674" width="14.90625" style="1131" customWidth="1"/>
    <col min="3675" max="3675" width="23.6328125" style="1131" customWidth="1"/>
    <col min="3676" max="3676" width="19.453125" style="1131" customWidth="1"/>
    <col min="3677" max="3677" width="21.90625" style="1131" customWidth="1"/>
    <col min="3678" max="3678" width="14.453125" style="1131" bestFit="1" customWidth="1"/>
    <col min="3679" max="3679" width="17.08984375" style="1131" customWidth="1"/>
    <col min="3680" max="3680" width="23.453125" style="1131" customWidth="1"/>
    <col min="3681" max="3682" width="19.453125" style="1131" customWidth="1"/>
    <col min="3683" max="3683" width="39.453125" style="1131" customWidth="1"/>
    <col min="3684" max="3684" width="19.453125" style="1131" customWidth="1"/>
    <col min="3685" max="3927" width="9.08984375" style="1131"/>
    <col min="3928" max="3928" width="9.90625" style="1131" bestFit="1" customWidth="1"/>
    <col min="3929" max="3929" width="19.453125" style="1131" customWidth="1"/>
    <col min="3930" max="3930" width="14.90625" style="1131" customWidth="1"/>
    <col min="3931" max="3931" width="23.6328125" style="1131" customWidth="1"/>
    <col min="3932" max="3932" width="19.453125" style="1131" customWidth="1"/>
    <col min="3933" max="3933" width="21.90625" style="1131" customWidth="1"/>
    <col min="3934" max="3934" width="14.453125" style="1131" bestFit="1" customWidth="1"/>
    <col min="3935" max="3935" width="17.08984375" style="1131" customWidth="1"/>
    <col min="3936" max="3936" width="23.453125" style="1131" customWidth="1"/>
    <col min="3937" max="3938" width="19.453125" style="1131" customWidth="1"/>
    <col min="3939" max="3939" width="39.453125" style="1131" customWidth="1"/>
    <col min="3940" max="3940" width="19.453125" style="1131" customWidth="1"/>
    <col min="3941" max="4183" width="9.08984375" style="1131"/>
    <col min="4184" max="4184" width="9.90625" style="1131" bestFit="1" customWidth="1"/>
    <col min="4185" max="4185" width="19.453125" style="1131" customWidth="1"/>
    <col min="4186" max="4186" width="14.90625" style="1131" customWidth="1"/>
    <col min="4187" max="4187" width="23.6328125" style="1131" customWidth="1"/>
    <col min="4188" max="4188" width="19.453125" style="1131" customWidth="1"/>
    <col min="4189" max="4189" width="21.90625" style="1131" customWidth="1"/>
    <col min="4190" max="4190" width="14.453125" style="1131" bestFit="1" customWidth="1"/>
    <col min="4191" max="4191" width="17.08984375" style="1131" customWidth="1"/>
    <col min="4192" max="4192" width="23.453125" style="1131" customWidth="1"/>
    <col min="4193" max="4194" width="19.453125" style="1131" customWidth="1"/>
    <col min="4195" max="4195" width="39.453125" style="1131" customWidth="1"/>
    <col min="4196" max="4196" width="19.453125" style="1131" customWidth="1"/>
    <col min="4197" max="4439" width="9.08984375" style="1131"/>
    <col min="4440" max="4440" width="9.90625" style="1131" bestFit="1" customWidth="1"/>
    <col min="4441" max="4441" width="19.453125" style="1131" customWidth="1"/>
    <col min="4442" max="4442" width="14.90625" style="1131" customWidth="1"/>
    <col min="4443" max="4443" width="23.6328125" style="1131" customWidth="1"/>
    <col min="4444" max="4444" width="19.453125" style="1131" customWidth="1"/>
    <col min="4445" max="4445" width="21.90625" style="1131" customWidth="1"/>
    <col min="4446" max="4446" width="14.453125" style="1131" bestFit="1" customWidth="1"/>
    <col min="4447" max="4447" width="17.08984375" style="1131" customWidth="1"/>
    <col min="4448" max="4448" width="23.453125" style="1131" customWidth="1"/>
    <col min="4449" max="4450" width="19.453125" style="1131" customWidth="1"/>
    <col min="4451" max="4451" width="39.453125" style="1131" customWidth="1"/>
    <col min="4452" max="4452" width="19.453125" style="1131" customWidth="1"/>
    <col min="4453" max="4695" width="9.08984375" style="1131"/>
    <col min="4696" max="4696" width="9.90625" style="1131" bestFit="1" customWidth="1"/>
    <col min="4697" max="4697" width="19.453125" style="1131" customWidth="1"/>
    <col min="4698" max="4698" width="14.90625" style="1131" customWidth="1"/>
    <col min="4699" max="4699" width="23.6328125" style="1131" customWidth="1"/>
    <col min="4700" max="4700" width="19.453125" style="1131" customWidth="1"/>
    <col min="4701" max="4701" width="21.90625" style="1131" customWidth="1"/>
    <col min="4702" max="4702" width="14.453125" style="1131" bestFit="1" customWidth="1"/>
    <col min="4703" max="4703" width="17.08984375" style="1131" customWidth="1"/>
    <col min="4704" max="4704" width="23.453125" style="1131" customWidth="1"/>
    <col min="4705" max="4706" width="19.453125" style="1131" customWidth="1"/>
    <col min="4707" max="4707" width="39.453125" style="1131" customWidth="1"/>
    <col min="4708" max="4708" width="19.453125" style="1131" customWidth="1"/>
    <col min="4709" max="4951" width="9.08984375" style="1131"/>
    <col min="4952" max="4952" width="9.90625" style="1131" bestFit="1" customWidth="1"/>
    <col min="4953" max="4953" width="19.453125" style="1131" customWidth="1"/>
    <col min="4954" max="4954" width="14.90625" style="1131" customWidth="1"/>
    <col min="4955" max="4955" width="23.6328125" style="1131" customWidth="1"/>
    <col min="4956" max="4956" width="19.453125" style="1131" customWidth="1"/>
    <col min="4957" max="4957" width="21.90625" style="1131" customWidth="1"/>
    <col min="4958" max="4958" width="14.453125" style="1131" bestFit="1" customWidth="1"/>
    <col min="4959" max="4959" width="17.08984375" style="1131" customWidth="1"/>
    <col min="4960" max="4960" width="23.453125" style="1131" customWidth="1"/>
    <col min="4961" max="4962" width="19.453125" style="1131" customWidth="1"/>
    <col min="4963" max="4963" width="39.453125" style="1131" customWidth="1"/>
    <col min="4964" max="4964" width="19.453125" style="1131" customWidth="1"/>
    <col min="4965" max="5207" width="9.08984375" style="1131"/>
    <col min="5208" max="5208" width="9.90625" style="1131" bestFit="1" customWidth="1"/>
    <col min="5209" max="5209" width="19.453125" style="1131" customWidth="1"/>
    <col min="5210" max="5210" width="14.90625" style="1131" customWidth="1"/>
    <col min="5211" max="5211" width="23.6328125" style="1131" customWidth="1"/>
    <col min="5212" max="5212" width="19.453125" style="1131" customWidth="1"/>
    <col min="5213" max="5213" width="21.90625" style="1131" customWidth="1"/>
    <col min="5214" max="5214" width="14.453125" style="1131" bestFit="1" customWidth="1"/>
    <col min="5215" max="5215" width="17.08984375" style="1131" customWidth="1"/>
    <col min="5216" max="5216" width="23.453125" style="1131" customWidth="1"/>
    <col min="5217" max="5218" width="19.453125" style="1131" customWidth="1"/>
    <col min="5219" max="5219" width="39.453125" style="1131" customWidth="1"/>
    <col min="5220" max="5220" width="19.453125" style="1131" customWidth="1"/>
    <col min="5221" max="5463" width="9.08984375" style="1131"/>
    <col min="5464" max="5464" width="9.90625" style="1131" bestFit="1" customWidth="1"/>
    <col min="5465" max="5465" width="19.453125" style="1131" customWidth="1"/>
    <col min="5466" max="5466" width="14.90625" style="1131" customWidth="1"/>
    <col min="5467" max="5467" width="23.6328125" style="1131" customWidth="1"/>
    <col min="5468" max="5468" width="19.453125" style="1131" customWidth="1"/>
    <col min="5469" max="5469" width="21.90625" style="1131" customWidth="1"/>
    <col min="5470" max="5470" width="14.453125" style="1131" bestFit="1" customWidth="1"/>
    <col min="5471" max="5471" width="17.08984375" style="1131" customWidth="1"/>
    <col min="5472" max="5472" width="23.453125" style="1131" customWidth="1"/>
    <col min="5473" max="5474" width="19.453125" style="1131" customWidth="1"/>
    <col min="5475" max="5475" width="39.453125" style="1131" customWidth="1"/>
    <col min="5476" max="5476" width="19.453125" style="1131" customWidth="1"/>
    <col min="5477" max="5719" width="9.08984375" style="1131"/>
    <col min="5720" max="5720" width="9.90625" style="1131" bestFit="1" customWidth="1"/>
    <col min="5721" max="5721" width="19.453125" style="1131" customWidth="1"/>
    <col min="5722" max="5722" width="14.90625" style="1131" customWidth="1"/>
    <col min="5723" max="5723" width="23.6328125" style="1131" customWidth="1"/>
    <col min="5724" max="5724" width="19.453125" style="1131" customWidth="1"/>
    <col min="5725" max="5725" width="21.90625" style="1131" customWidth="1"/>
    <col min="5726" max="5726" width="14.453125" style="1131" bestFit="1" customWidth="1"/>
    <col min="5727" max="5727" width="17.08984375" style="1131" customWidth="1"/>
    <col min="5728" max="5728" width="23.453125" style="1131" customWidth="1"/>
    <col min="5729" max="5730" width="19.453125" style="1131" customWidth="1"/>
    <col min="5731" max="5731" width="39.453125" style="1131" customWidth="1"/>
    <col min="5732" max="5732" width="19.453125" style="1131" customWidth="1"/>
    <col min="5733" max="5975" width="9.08984375" style="1131"/>
    <col min="5976" max="5976" width="9.90625" style="1131" bestFit="1" customWidth="1"/>
    <col min="5977" max="5977" width="19.453125" style="1131" customWidth="1"/>
    <col min="5978" max="5978" width="14.90625" style="1131" customWidth="1"/>
    <col min="5979" max="5979" width="23.6328125" style="1131" customWidth="1"/>
    <col min="5980" max="5980" width="19.453125" style="1131" customWidth="1"/>
    <col min="5981" max="5981" width="21.90625" style="1131" customWidth="1"/>
    <col min="5982" max="5982" width="14.453125" style="1131" bestFit="1" customWidth="1"/>
    <col min="5983" max="5983" width="17.08984375" style="1131" customWidth="1"/>
    <col min="5984" max="5984" width="23.453125" style="1131" customWidth="1"/>
    <col min="5985" max="5986" width="19.453125" style="1131" customWidth="1"/>
    <col min="5987" max="5987" width="39.453125" style="1131" customWidth="1"/>
    <col min="5988" max="5988" width="19.453125" style="1131" customWidth="1"/>
    <col min="5989" max="6231" width="9.08984375" style="1131"/>
    <col min="6232" max="6232" width="9.90625" style="1131" bestFit="1" customWidth="1"/>
    <col min="6233" max="6233" width="19.453125" style="1131" customWidth="1"/>
    <col min="6234" max="6234" width="14.90625" style="1131" customWidth="1"/>
    <col min="6235" max="6235" width="23.6328125" style="1131" customWidth="1"/>
    <col min="6236" max="6236" width="19.453125" style="1131" customWidth="1"/>
    <col min="6237" max="6237" width="21.90625" style="1131" customWidth="1"/>
    <col min="6238" max="6238" width="14.453125" style="1131" bestFit="1" customWidth="1"/>
    <col min="6239" max="6239" width="17.08984375" style="1131" customWidth="1"/>
    <col min="6240" max="6240" width="23.453125" style="1131" customWidth="1"/>
    <col min="6241" max="6242" width="19.453125" style="1131" customWidth="1"/>
    <col min="6243" max="6243" width="39.453125" style="1131" customWidth="1"/>
    <col min="6244" max="6244" width="19.453125" style="1131" customWidth="1"/>
    <col min="6245" max="6487" width="9.08984375" style="1131"/>
    <col min="6488" max="6488" width="9.90625" style="1131" bestFit="1" customWidth="1"/>
    <col min="6489" max="6489" width="19.453125" style="1131" customWidth="1"/>
    <col min="6490" max="6490" width="14.90625" style="1131" customWidth="1"/>
    <col min="6491" max="6491" width="23.6328125" style="1131" customWidth="1"/>
    <col min="6492" max="6492" width="19.453125" style="1131" customWidth="1"/>
    <col min="6493" max="6493" width="21.90625" style="1131" customWidth="1"/>
    <col min="6494" max="6494" width="14.453125" style="1131" bestFit="1" customWidth="1"/>
    <col min="6495" max="6495" width="17.08984375" style="1131" customWidth="1"/>
    <col min="6496" max="6496" width="23.453125" style="1131" customWidth="1"/>
    <col min="6497" max="6498" width="19.453125" style="1131" customWidth="1"/>
    <col min="6499" max="6499" width="39.453125" style="1131" customWidth="1"/>
    <col min="6500" max="6500" width="19.453125" style="1131" customWidth="1"/>
    <col min="6501" max="6743" width="9.08984375" style="1131"/>
    <col min="6744" max="6744" width="9.90625" style="1131" bestFit="1" customWidth="1"/>
    <col min="6745" max="6745" width="19.453125" style="1131" customWidth="1"/>
    <col min="6746" max="6746" width="14.90625" style="1131" customWidth="1"/>
    <col min="6747" max="6747" width="23.6328125" style="1131" customWidth="1"/>
    <col min="6748" max="6748" width="19.453125" style="1131" customWidth="1"/>
    <col min="6749" max="6749" width="21.90625" style="1131" customWidth="1"/>
    <col min="6750" max="6750" width="14.453125" style="1131" bestFit="1" customWidth="1"/>
    <col min="6751" max="6751" width="17.08984375" style="1131" customWidth="1"/>
    <col min="6752" max="6752" width="23.453125" style="1131" customWidth="1"/>
    <col min="6753" max="6754" width="19.453125" style="1131" customWidth="1"/>
    <col min="6755" max="6755" width="39.453125" style="1131" customWidth="1"/>
    <col min="6756" max="6756" width="19.453125" style="1131" customWidth="1"/>
    <col min="6757" max="6999" width="9.08984375" style="1131"/>
    <col min="7000" max="7000" width="9.90625" style="1131" bestFit="1" customWidth="1"/>
    <col min="7001" max="7001" width="19.453125" style="1131" customWidth="1"/>
    <col min="7002" max="7002" width="14.90625" style="1131" customWidth="1"/>
    <col min="7003" max="7003" width="23.6328125" style="1131" customWidth="1"/>
    <col min="7004" max="7004" width="19.453125" style="1131" customWidth="1"/>
    <col min="7005" max="7005" width="21.90625" style="1131" customWidth="1"/>
    <col min="7006" max="7006" width="14.453125" style="1131" bestFit="1" customWidth="1"/>
    <col min="7007" max="7007" width="17.08984375" style="1131" customWidth="1"/>
    <col min="7008" max="7008" width="23.453125" style="1131" customWidth="1"/>
    <col min="7009" max="7010" width="19.453125" style="1131" customWidth="1"/>
    <col min="7011" max="7011" width="39.453125" style="1131" customWidth="1"/>
    <col min="7012" max="7012" width="19.453125" style="1131" customWidth="1"/>
    <col min="7013" max="7255" width="9.08984375" style="1131"/>
    <col min="7256" max="7256" width="9.90625" style="1131" bestFit="1" customWidth="1"/>
    <col min="7257" max="7257" width="19.453125" style="1131" customWidth="1"/>
    <col min="7258" max="7258" width="14.90625" style="1131" customWidth="1"/>
    <col min="7259" max="7259" width="23.6328125" style="1131" customWidth="1"/>
    <col min="7260" max="7260" width="19.453125" style="1131" customWidth="1"/>
    <col min="7261" max="7261" width="21.90625" style="1131" customWidth="1"/>
    <col min="7262" max="7262" width="14.453125" style="1131" bestFit="1" customWidth="1"/>
    <col min="7263" max="7263" width="17.08984375" style="1131" customWidth="1"/>
    <col min="7264" max="7264" width="23.453125" style="1131" customWidth="1"/>
    <col min="7265" max="7266" width="19.453125" style="1131" customWidth="1"/>
    <col min="7267" max="7267" width="39.453125" style="1131" customWidth="1"/>
    <col min="7268" max="7268" width="19.453125" style="1131" customWidth="1"/>
    <col min="7269" max="7511" width="9.08984375" style="1131"/>
    <col min="7512" max="7512" width="9.90625" style="1131" bestFit="1" customWidth="1"/>
    <col min="7513" max="7513" width="19.453125" style="1131" customWidth="1"/>
    <col min="7514" max="7514" width="14.90625" style="1131" customWidth="1"/>
    <col min="7515" max="7515" width="23.6328125" style="1131" customWidth="1"/>
    <col min="7516" max="7516" width="19.453125" style="1131" customWidth="1"/>
    <col min="7517" max="7517" width="21.90625" style="1131" customWidth="1"/>
    <col min="7518" max="7518" width="14.453125" style="1131" bestFit="1" customWidth="1"/>
    <col min="7519" max="7519" width="17.08984375" style="1131" customWidth="1"/>
    <col min="7520" max="7520" width="23.453125" style="1131" customWidth="1"/>
    <col min="7521" max="7522" width="19.453125" style="1131" customWidth="1"/>
    <col min="7523" max="7523" width="39.453125" style="1131" customWidth="1"/>
    <col min="7524" max="7524" width="19.453125" style="1131" customWidth="1"/>
    <col min="7525" max="7767" width="9.08984375" style="1131"/>
    <col min="7768" max="7768" width="9.90625" style="1131" bestFit="1" customWidth="1"/>
    <col min="7769" max="7769" width="19.453125" style="1131" customWidth="1"/>
    <col min="7770" max="7770" width="14.90625" style="1131" customWidth="1"/>
    <col min="7771" max="7771" width="23.6328125" style="1131" customWidth="1"/>
    <col min="7772" max="7772" width="19.453125" style="1131" customWidth="1"/>
    <col min="7773" max="7773" width="21.90625" style="1131" customWidth="1"/>
    <col min="7774" max="7774" width="14.453125" style="1131" bestFit="1" customWidth="1"/>
    <col min="7775" max="7775" width="17.08984375" style="1131" customWidth="1"/>
    <col min="7776" max="7776" width="23.453125" style="1131" customWidth="1"/>
    <col min="7777" max="7778" width="19.453125" style="1131" customWidth="1"/>
    <col min="7779" max="7779" width="39.453125" style="1131" customWidth="1"/>
    <col min="7780" max="7780" width="19.453125" style="1131" customWidth="1"/>
    <col min="7781" max="8023" width="9.08984375" style="1131"/>
    <col min="8024" max="8024" width="9.90625" style="1131" bestFit="1" customWidth="1"/>
    <col min="8025" max="8025" width="19.453125" style="1131" customWidth="1"/>
    <col min="8026" max="8026" width="14.90625" style="1131" customWidth="1"/>
    <col min="8027" max="8027" width="23.6328125" style="1131" customWidth="1"/>
    <col min="8028" max="8028" width="19.453125" style="1131" customWidth="1"/>
    <col min="8029" max="8029" width="21.90625" style="1131" customWidth="1"/>
    <col min="8030" max="8030" width="14.453125" style="1131" bestFit="1" customWidth="1"/>
    <col min="8031" max="8031" width="17.08984375" style="1131" customWidth="1"/>
    <col min="8032" max="8032" width="23.453125" style="1131" customWidth="1"/>
    <col min="8033" max="8034" width="19.453125" style="1131" customWidth="1"/>
    <col min="8035" max="8035" width="39.453125" style="1131" customWidth="1"/>
    <col min="8036" max="8036" width="19.453125" style="1131" customWidth="1"/>
    <col min="8037" max="8279" width="9.08984375" style="1131"/>
    <col min="8280" max="8280" width="9.90625" style="1131" bestFit="1" customWidth="1"/>
    <col min="8281" max="8281" width="19.453125" style="1131" customWidth="1"/>
    <col min="8282" max="8282" width="14.90625" style="1131" customWidth="1"/>
    <col min="8283" max="8283" width="23.6328125" style="1131" customWidth="1"/>
    <col min="8284" max="8284" width="19.453125" style="1131" customWidth="1"/>
    <col min="8285" max="8285" width="21.90625" style="1131" customWidth="1"/>
    <col min="8286" max="8286" width="14.453125" style="1131" bestFit="1" customWidth="1"/>
    <col min="8287" max="8287" width="17.08984375" style="1131" customWidth="1"/>
    <col min="8288" max="8288" width="23.453125" style="1131" customWidth="1"/>
    <col min="8289" max="8290" width="19.453125" style="1131" customWidth="1"/>
    <col min="8291" max="8291" width="39.453125" style="1131" customWidth="1"/>
    <col min="8292" max="8292" width="19.453125" style="1131" customWidth="1"/>
    <col min="8293" max="8535" width="9.08984375" style="1131"/>
    <col min="8536" max="8536" width="9.90625" style="1131" bestFit="1" customWidth="1"/>
    <col min="8537" max="8537" width="19.453125" style="1131" customWidth="1"/>
    <col min="8538" max="8538" width="14.90625" style="1131" customWidth="1"/>
    <col min="8539" max="8539" width="23.6328125" style="1131" customWidth="1"/>
    <col min="8540" max="8540" width="19.453125" style="1131" customWidth="1"/>
    <col min="8541" max="8541" width="21.90625" style="1131" customWidth="1"/>
    <col min="8542" max="8542" width="14.453125" style="1131" bestFit="1" customWidth="1"/>
    <col min="8543" max="8543" width="17.08984375" style="1131" customWidth="1"/>
    <col min="8544" max="8544" width="23.453125" style="1131" customWidth="1"/>
    <col min="8545" max="8546" width="19.453125" style="1131" customWidth="1"/>
    <col min="8547" max="8547" width="39.453125" style="1131" customWidth="1"/>
    <col min="8548" max="8548" width="19.453125" style="1131" customWidth="1"/>
    <col min="8549" max="8791" width="9.08984375" style="1131"/>
    <col min="8792" max="8792" width="9.90625" style="1131" bestFit="1" customWidth="1"/>
    <col min="8793" max="8793" width="19.453125" style="1131" customWidth="1"/>
    <col min="8794" max="8794" width="14.90625" style="1131" customWidth="1"/>
    <col min="8795" max="8795" width="23.6328125" style="1131" customWidth="1"/>
    <col min="8796" max="8796" width="19.453125" style="1131" customWidth="1"/>
    <col min="8797" max="8797" width="21.90625" style="1131" customWidth="1"/>
    <col min="8798" max="8798" width="14.453125" style="1131" bestFit="1" customWidth="1"/>
    <col min="8799" max="8799" width="17.08984375" style="1131" customWidth="1"/>
    <col min="8800" max="8800" width="23.453125" style="1131" customWidth="1"/>
    <col min="8801" max="8802" width="19.453125" style="1131" customWidth="1"/>
    <col min="8803" max="8803" width="39.453125" style="1131" customWidth="1"/>
    <col min="8804" max="8804" width="19.453125" style="1131" customWidth="1"/>
    <col min="8805" max="9047" width="9.08984375" style="1131"/>
    <col min="9048" max="9048" width="9.90625" style="1131" bestFit="1" customWidth="1"/>
    <col min="9049" max="9049" width="19.453125" style="1131" customWidth="1"/>
    <col min="9050" max="9050" width="14.90625" style="1131" customWidth="1"/>
    <col min="9051" max="9051" width="23.6328125" style="1131" customWidth="1"/>
    <col min="9052" max="9052" width="19.453125" style="1131" customWidth="1"/>
    <col min="9053" max="9053" width="21.90625" style="1131" customWidth="1"/>
    <col min="9054" max="9054" width="14.453125" style="1131" bestFit="1" customWidth="1"/>
    <col min="9055" max="9055" width="17.08984375" style="1131" customWidth="1"/>
    <col min="9056" max="9056" width="23.453125" style="1131" customWidth="1"/>
    <col min="9057" max="9058" width="19.453125" style="1131" customWidth="1"/>
    <col min="9059" max="9059" width="39.453125" style="1131" customWidth="1"/>
    <col min="9060" max="9060" width="19.453125" style="1131" customWidth="1"/>
    <col min="9061" max="9303" width="9.08984375" style="1131"/>
    <col min="9304" max="9304" width="9.90625" style="1131" bestFit="1" customWidth="1"/>
    <col min="9305" max="9305" width="19.453125" style="1131" customWidth="1"/>
    <col min="9306" max="9306" width="14.90625" style="1131" customWidth="1"/>
    <col min="9307" max="9307" width="23.6328125" style="1131" customWidth="1"/>
    <col min="9308" max="9308" width="19.453125" style="1131" customWidth="1"/>
    <col min="9309" max="9309" width="21.90625" style="1131" customWidth="1"/>
    <col min="9310" max="9310" width="14.453125" style="1131" bestFit="1" customWidth="1"/>
    <col min="9311" max="9311" width="17.08984375" style="1131" customWidth="1"/>
    <col min="9312" max="9312" width="23.453125" style="1131" customWidth="1"/>
    <col min="9313" max="9314" width="19.453125" style="1131" customWidth="1"/>
    <col min="9315" max="9315" width="39.453125" style="1131" customWidth="1"/>
    <col min="9316" max="9316" width="19.453125" style="1131" customWidth="1"/>
    <col min="9317" max="9559" width="9.08984375" style="1131"/>
    <col min="9560" max="9560" width="9.90625" style="1131" bestFit="1" customWidth="1"/>
    <col min="9561" max="9561" width="19.453125" style="1131" customWidth="1"/>
    <col min="9562" max="9562" width="14.90625" style="1131" customWidth="1"/>
    <col min="9563" max="9563" width="23.6328125" style="1131" customWidth="1"/>
    <col min="9564" max="9564" width="19.453125" style="1131" customWidth="1"/>
    <col min="9565" max="9565" width="21.90625" style="1131" customWidth="1"/>
    <col min="9566" max="9566" width="14.453125" style="1131" bestFit="1" customWidth="1"/>
    <col min="9567" max="9567" width="17.08984375" style="1131" customWidth="1"/>
    <col min="9568" max="9568" width="23.453125" style="1131" customWidth="1"/>
    <col min="9569" max="9570" width="19.453125" style="1131" customWidth="1"/>
    <col min="9571" max="9571" width="39.453125" style="1131" customWidth="1"/>
    <col min="9572" max="9572" width="19.453125" style="1131" customWidth="1"/>
    <col min="9573" max="9815" width="9.08984375" style="1131"/>
    <col min="9816" max="9816" width="9.90625" style="1131" bestFit="1" customWidth="1"/>
    <col min="9817" max="9817" width="19.453125" style="1131" customWidth="1"/>
    <col min="9818" max="9818" width="14.90625" style="1131" customWidth="1"/>
    <col min="9819" max="9819" width="23.6328125" style="1131" customWidth="1"/>
    <col min="9820" max="9820" width="19.453125" style="1131" customWidth="1"/>
    <col min="9821" max="9821" width="21.90625" style="1131" customWidth="1"/>
    <col min="9822" max="9822" width="14.453125" style="1131" bestFit="1" customWidth="1"/>
    <col min="9823" max="9823" width="17.08984375" style="1131" customWidth="1"/>
    <col min="9824" max="9824" width="23.453125" style="1131" customWidth="1"/>
    <col min="9825" max="9826" width="19.453125" style="1131" customWidth="1"/>
    <col min="9827" max="9827" width="39.453125" style="1131" customWidth="1"/>
    <col min="9828" max="9828" width="19.453125" style="1131" customWidth="1"/>
    <col min="9829" max="10071" width="9.08984375" style="1131"/>
    <col min="10072" max="10072" width="9.90625" style="1131" bestFit="1" customWidth="1"/>
    <col min="10073" max="10073" width="19.453125" style="1131" customWidth="1"/>
    <col min="10074" max="10074" width="14.90625" style="1131" customWidth="1"/>
    <col min="10075" max="10075" width="23.6328125" style="1131" customWidth="1"/>
    <col min="10076" max="10076" width="19.453125" style="1131" customWidth="1"/>
    <col min="10077" max="10077" width="21.90625" style="1131" customWidth="1"/>
    <col min="10078" max="10078" width="14.453125" style="1131" bestFit="1" customWidth="1"/>
    <col min="10079" max="10079" width="17.08984375" style="1131" customWidth="1"/>
    <col min="10080" max="10080" width="23.453125" style="1131" customWidth="1"/>
    <col min="10081" max="10082" width="19.453125" style="1131" customWidth="1"/>
    <col min="10083" max="10083" width="39.453125" style="1131" customWidth="1"/>
    <col min="10084" max="10084" width="19.453125" style="1131" customWidth="1"/>
    <col min="10085" max="10327" width="9.08984375" style="1131"/>
    <col min="10328" max="10328" width="9.90625" style="1131" bestFit="1" customWidth="1"/>
    <col min="10329" max="10329" width="19.453125" style="1131" customWidth="1"/>
    <col min="10330" max="10330" width="14.90625" style="1131" customWidth="1"/>
    <col min="10331" max="10331" width="23.6328125" style="1131" customWidth="1"/>
    <col min="10332" max="10332" width="19.453125" style="1131" customWidth="1"/>
    <col min="10333" max="10333" width="21.90625" style="1131" customWidth="1"/>
    <col min="10334" max="10334" width="14.453125" style="1131" bestFit="1" customWidth="1"/>
    <col min="10335" max="10335" width="17.08984375" style="1131" customWidth="1"/>
    <col min="10336" max="10336" width="23.453125" style="1131" customWidth="1"/>
    <col min="10337" max="10338" width="19.453125" style="1131" customWidth="1"/>
    <col min="10339" max="10339" width="39.453125" style="1131" customWidth="1"/>
    <col min="10340" max="10340" width="19.453125" style="1131" customWidth="1"/>
    <col min="10341" max="10583" width="9.08984375" style="1131"/>
    <col min="10584" max="10584" width="9.90625" style="1131" bestFit="1" customWidth="1"/>
    <col min="10585" max="10585" width="19.453125" style="1131" customWidth="1"/>
    <col min="10586" max="10586" width="14.90625" style="1131" customWidth="1"/>
    <col min="10587" max="10587" width="23.6328125" style="1131" customWidth="1"/>
    <col min="10588" max="10588" width="19.453125" style="1131" customWidth="1"/>
    <col min="10589" max="10589" width="21.90625" style="1131" customWidth="1"/>
    <col min="10590" max="10590" width="14.453125" style="1131" bestFit="1" customWidth="1"/>
    <col min="10591" max="10591" width="17.08984375" style="1131" customWidth="1"/>
    <col min="10592" max="10592" width="23.453125" style="1131" customWidth="1"/>
    <col min="10593" max="10594" width="19.453125" style="1131" customWidth="1"/>
    <col min="10595" max="10595" width="39.453125" style="1131" customWidth="1"/>
    <col min="10596" max="10596" width="19.453125" style="1131" customWidth="1"/>
    <col min="10597" max="10839" width="9.08984375" style="1131"/>
    <col min="10840" max="10840" width="9.90625" style="1131" bestFit="1" customWidth="1"/>
    <col min="10841" max="10841" width="19.453125" style="1131" customWidth="1"/>
    <col min="10842" max="10842" width="14.90625" style="1131" customWidth="1"/>
    <col min="10843" max="10843" width="23.6328125" style="1131" customWidth="1"/>
    <col min="10844" max="10844" width="19.453125" style="1131" customWidth="1"/>
    <col min="10845" max="10845" width="21.90625" style="1131" customWidth="1"/>
    <col min="10846" max="10846" width="14.453125" style="1131" bestFit="1" customWidth="1"/>
    <col min="10847" max="10847" width="17.08984375" style="1131" customWidth="1"/>
    <col min="10848" max="10848" width="23.453125" style="1131" customWidth="1"/>
    <col min="10849" max="10850" width="19.453125" style="1131" customWidth="1"/>
    <col min="10851" max="10851" width="39.453125" style="1131" customWidth="1"/>
    <col min="10852" max="10852" width="19.453125" style="1131" customWidth="1"/>
    <col min="10853" max="11095" width="9.08984375" style="1131"/>
    <col min="11096" max="11096" width="9.90625" style="1131" bestFit="1" customWidth="1"/>
    <col min="11097" max="11097" width="19.453125" style="1131" customWidth="1"/>
    <col min="11098" max="11098" width="14.90625" style="1131" customWidth="1"/>
    <col min="11099" max="11099" width="23.6328125" style="1131" customWidth="1"/>
    <col min="11100" max="11100" width="19.453125" style="1131" customWidth="1"/>
    <col min="11101" max="11101" width="21.90625" style="1131" customWidth="1"/>
    <col min="11102" max="11102" width="14.453125" style="1131" bestFit="1" customWidth="1"/>
    <col min="11103" max="11103" width="17.08984375" style="1131" customWidth="1"/>
    <col min="11104" max="11104" width="23.453125" style="1131" customWidth="1"/>
    <col min="11105" max="11106" width="19.453125" style="1131" customWidth="1"/>
    <col min="11107" max="11107" width="39.453125" style="1131" customWidth="1"/>
    <col min="11108" max="11108" width="19.453125" style="1131" customWidth="1"/>
    <col min="11109" max="11351" width="9.08984375" style="1131"/>
    <col min="11352" max="11352" width="9.90625" style="1131" bestFit="1" customWidth="1"/>
    <col min="11353" max="11353" width="19.453125" style="1131" customWidth="1"/>
    <col min="11354" max="11354" width="14.90625" style="1131" customWidth="1"/>
    <col min="11355" max="11355" width="23.6328125" style="1131" customWidth="1"/>
    <col min="11356" max="11356" width="19.453125" style="1131" customWidth="1"/>
    <col min="11357" max="11357" width="21.90625" style="1131" customWidth="1"/>
    <col min="11358" max="11358" width="14.453125" style="1131" bestFit="1" customWidth="1"/>
    <col min="11359" max="11359" width="17.08984375" style="1131" customWidth="1"/>
    <col min="11360" max="11360" width="23.453125" style="1131" customWidth="1"/>
    <col min="11361" max="11362" width="19.453125" style="1131" customWidth="1"/>
    <col min="11363" max="11363" width="39.453125" style="1131" customWidth="1"/>
    <col min="11364" max="11364" width="19.453125" style="1131" customWidth="1"/>
    <col min="11365" max="11607" width="9.08984375" style="1131"/>
    <col min="11608" max="11608" width="9.90625" style="1131" bestFit="1" customWidth="1"/>
    <col min="11609" max="11609" width="19.453125" style="1131" customWidth="1"/>
    <col min="11610" max="11610" width="14.90625" style="1131" customWidth="1"/>
    <col min="11611" max="11611" width="23.6328125" style="1131" customWidth="1"/>
    <col min="11612" max="11612" width="19.453125" style="1131" customWidth="1"/>
    <col min="11613" max="11613" width="21.90625" style="1131" customWidth="1"/>
    <col min="11614" max="11614" width="14.453125" style="1131" bestFit="1" customWidth="1"/>
    <col min="11615" max="11615" width="17.08984375" style="1131" customWidth="1"/>
    <col min="11616" max="11616" width="23.453125" style="1131" customWidth="1"/>
    <col min="11617" max="11618" width="19.453125" style="1131" customWidth="1"/>
    <col min="11619" max="11619" width="39.453125" style="1131" customWidth="1"/>
    <col min="11620" max="11620" width="19.453125" style="1131" customWidth="1"/>
    <col min="11621" max="11863" width="9.08984375" style="1131"/>
    <col min="11864" max="11864" width="9.90625" style="1131" bestFit="1" customWidth="1"/>
    <col min="11865" max="11865" width="19.453125" style="1131" customWidth="1"/>
    <col min="11866" max="11866" width="14.90625" style="1131" customWidth="1"/>
    <col min="11867" max="11867" width="23.6328125" style="1131" customWidth="1"/>
    <col min="11868" max="11868" width="19.453125" style="1131" customWidth="1"/>
    <col min="11869" max="11869" width="21.90625" style="1131" customWidth="1"/>
    <col min="11870" max="11870" width="14.453125" style="1131" bestFit="1" customWidth="1"/>
    <col min="11871" max="11871" width="17.08984375" style="1131" customWidth="1"/>
    <col min="11872" max="11872" width="23.453125" style="1131" customWidth="1"/>
    <col min="11873" max="11874" width="19.453125" style="1131" customWidth="1"/>
    <col min="11875" max="11875" width="39.453125" style="1131" customWidth="1"/>
    <col min="11876" max="11876" width="19.453125" style="1131" customWidth="1"/>
    <col min="11877" max="12119" width="9.08984375" style="1131"/>
    <col min="12120" max="12120" width="9.90625" style="1131" bestFit="1" customWidth="1"/>
    <col min="12121" max="12121" width="19.453125" style="1131" customWidth="1"/>
    <col min="12122" max="12122" width="14.90625" style="1131" customWidth="1"/>
    <col min="12123" max="12123" width="23.6328125" style="1131" customWidth="1"/>
    <col min="12124" max="12124" width="19.453125" style="1131" customWidth="1"/>
    <col min="12125" max="12125" width="21.90625" style="1131" customWidth="1"/>
    <col min="12126" max="12126" width="14.453125" style="1131" bestFit="1" customWidth="1"/>
    <col min="12127" max="12127" width="17.08984375" style="1131" customWidth="1"/>
    <col min="12128" max="12128" width="23.453125" style="1131" customWidth="1"/>
    <col min="12129" max="12130" width="19.453125" style="1131" customWidth="1"/>
    <col min="12131" max="12131" width="39.453125" style="1131" customWidth="1"/>
    <col min="12132" max="12132" width="19.453125" style="1131" customWidth="1"/>
    <col min="12133" max="12375" width="9.08984375" style="1131"/>
    <col min="12376" max="12376" width="9.90625" style="1131" bestFit="1" customWidth="1"/>
    <col min="12377" max="12377" width="19.453125" style="1131" customWidth="1"/>
    <col min="12378" max="12378" width="14.90625" style="1131" customWidth="1"/>
    <col min="12379" max="12379" width="23.6328125" style="1131" customWidth="1"/>
    <col min="12380" max="12380" width="19.453125" style="1131" customWidth="1"/>
    <col min="12381" max="12381" width="21.90625" style="1131" customWidth="1"/>
    <col min="12382" max="12382" width="14.453125" style="1131" bestFit="1" customWidth="1"/>
    <col min="12383" max="12383" width="17.08984375" style="1131" customWidth="1"/>
    <col min="12384" max="12384" width="23.453125" style="1131" customWidth="1"/>
    <col min="12385" max="12386" width="19.453125" style="1131" customWidth="1"/>
    <col min="12387" max="12387" width="39.453125" style="1131" customWidth="1"/>
    <col min="12388" max="12388" width="19.453125" style="1131" customWidth="1"/>
    <col min="12389" max="12631" width="9.08984375" style="1131"/>
    <col min="12632" max="12632" width="9.90625" style="1131" bestFit="1" customWidth="1"/>
    <col min="12633" max="12633" width="19.453125" style="1131" customWidth="1"/>
    <col min="12634" max="12634" width="14.90625" style="1131" customWidth="1"/>
    <col min="12635" max="12635" width="23.6328125" style="1131" customWidth="1"/>
    <col min="12636" max="12636" width="19.453125" style="1131" customWidth="1"/>
    <col min="12637" max="12637" width="21.90625" style="1131" customWidth="1"/>
    <col min="12638" max="12638" width="14.453125" style="1131" bestFit="1" customWidth="1"/>
    <col min="12639" max="12639" width="17.08984375" style="1131" customWidth="1"/>
    <col min="12640" max="12640" width="23.453125" style="1131" customWidth="1"/>
    <col min="12641" max="12642" width="19.453125" style="1131" customWidth="1"/>
    <col min="12643" max="12643" width="39.453125" style="1131" customWidth="1"/>
    <col min="12644" max="12644" width="19.453125" style="1131" customWidth="1"/>
    <col min="12645" max="12887" width="9.08984375" style="1131"/>
    <col min="12888" max="12888" width="9.90625" style="1131" bestFit="1" customWidth="1"/>
    <col min="12889" max="12889" width="19.453125" style="1131" customWidth="1"/>
    <col min="12890" max="12890" width="14.90625" style="1131" customWidth="1"/>
    <col min="12891" max="12891" width="23.6328125" style="1131" customWidth="1"/>
    <col min="12892" max="12892" width="19.453125" style="1131" customWidth="1"/>
    <col min="12893" max="12893" width="21.90625" style="1131" customWidth="1"/>
    <col min="12894" max="12894" width="14.453125" style="1131" bestFit="1" customWidth="1"/>
    <col min="12895" max="12895" width="17.08984375" style="1131" customWidth="1"/>
    <col min="12896" max="12896" width="23.453125" style="1131" customWidth="1"/>
    <col min="12897" max="12898" width="19.453125" style="1131" customWidth="1"/>
    <col min="12899" max="12899" width="39.453125" style="1131" customWidth="1"/>
    <col min="12900" max="12900" width="19.453125" style="1131" customWidth="1"/>
    <col min="12901" max="13143" width="9.08984375" style="1131"/>
    <col min="13144" max="13144" width="9.90625" style="1131" bestFit="1" customWidth="1"/>
    <col min="13145" max="13145" width="19.453125" style="1131" customWidth="1"/>
    <col min="13146" max="13146" width="14.90625" style="1131" customWidth="1"/>
    <col min="13147" max="13147" width="23.6328125" style="1131" customWidth="1"/>
    <col min="13148" max="13148" width="19.453125" style="1131" customWidth="1"/>
    <col min="13149" max="13149" width="21.90625" style="1131" customWidth="1"/>
    <col min="13150" max="13150" width="14.453125" style="1131" bestFit="1" customWidth="1"/>
    <col min="13151" max="13151" width="17.08984375" style="1131" customWidth="1"/>
    <col min="13152" max="13152" width="23.453125" style="1131" customWidth="1"/>
    <col min="13153" max="13154" width="19.453125" style="1131" customWidth="1"/>
    <col min="13155" max="13155" width="39.453125" style="1131" customWidth="1"/>
    <col min="13156" max="13156" width="19.453125" style="1131" customWidth="1"/>
    <col min="13157" max="13399" width="9.08984375" style="1131"/>
    <col min="13400" max="13400" width="9.90625" style="1131" bestFit="1" customWidth="1"/>
    <col min="13401" max="13401" width="19.453125" style="1131" customWidth="1"/>
    <col min="13402" max="13402" width="14.90625" style="1131" customWidth="1"/>
    <col min="13403" max="13403" width="23.6328125" style="1131" customWidth="1"/>
    <col min="13404" max="13404" width="19.453125" style="1131" customWidth="1"/>
    <col min="13405" max="13405" width="21.90625" style="1131" customWidth="1"/>
    <col min="13406" max="13406" width="14.453125" style="1131" bestFit="1" customWidth="1"/>
    <col min="13407" max="13407" width="17.08984375" style="1131" customWidth="1"/>
    <col min="13408" max="13408" width="23.453125" style="1131" customWidth="1"/>
    <col min="13409" max="13410" width="19.453125" style="1131" customWidth="1"/>
    <col min="13411" max="13411" width="39.453125" style="1131" customWidth="1"/>
    <col min="13412" max="13412" width="19.453125" style="1131" customWidth="1"/>
    <col min="13413" max="13655" width="9.08984375" style="1131"/>
    <col min="13656" max="13656" width="9.90625" style="1131" bestFit="1" customWidth="1"/>
    <col min="13657" max="13657" width="19.453125" style="1131" customWidth="1"/>
    <col min="13658" max="13658" width="14.90625" style="1131" customWidth="1"/>
    <col min="13659" max="13659" width="23.6328125" style="1131" customWidth="1"/>
    <col min="13660" max="13660" width="19.453125" style="1131" customWidth="1"/>
    <col min="13661" max="13661" width="21.90625" style="1131" customWidth="1"/>
    <col min="13662" max="13662" width="14.453125" style="1131" bestFit="1" customWidth="1"/>
    <col min="13663" max="13663" width="17.08984375" style="1131" customWidth="1"/>
    <col min="13664" max="13664" width="23.453125" style="1131" customWidth="1"/>
    <col min="13665" max="13666" width="19.453125" style="1131" customWidth="1"/>
    <col min="13667" max="13667" width="39.453125" style="1131" customWidth="1"/>
    <col min="13668" max="13668" width="19.453125" style="1131" customWidth="1"/>
    <col min="13669" max="13911" width="9.08984375" style="1131"/>
    <col min="13912" max="13912" width="9.90625" style="1131" bestFit="1" customWidth="1"/>
    <col min="13913" max="13913" width="19.453125" style="1131" customWidth="1"/>
    <col min="13914" max="13914" width="14.90625" style="1131" customWidth="1"/>
    <col min="13915" max="13915" width="23.6328125" style="1131" customWidth="1"/>
    <col min="13916" max="13916" width="19.453125" style="1131" customWidth="1"/>
    <col min="13917" max="13917" width="21.90625" style="1131" customWidth="1"/>
    <col min="13918" max="13918" width="14.453125" style="1131" bestFit="1" customWidth="1"/>
    <col min="13919" max="13919" width="17.08984375" style="1131" customWidth="1"/>
    <col min="13920" max="13920" width="23.453125" style="1131" customWidth="1"/>
    <col min="13921" max="13922" width="19.453125" style="1131" customWidth="1"/>
    <col min="13923" max="13923" width="39.453125" style="1131" customWidth="1"/>
    <col min="13924" max="13924" width="19.453125" style="1131" customWidth="1"/>
    <col min="13925" max="14167" width="9.08984375" style="1131"/>
    <col min="14168" max="14168" width="9.90625" style="1131" bestFit="1" customWidth="1"/>
    <col min="14169" max="14169" width="19.453125" style="1131" customWidth="1"/>
    <col min="14170" max="14170" width="14.90625" style="1131" customWidth="1"/>
    <col min="14171" max="14171" width="23.6328125" style="1131" customWidth="1"/>
    <col min="14172" max="14172" width="19.453125" style="1131" customWidth="1"/>
    <col min="14173" max="14173" width="21.90625" style="1131" customWidth="1"/>
    <col min="14174" max="14174" width="14.453125" style="1131" bestFit="1" customWidth="1"/>
    <col min="14175" max="14175" width="17.08984375" style="1131" customWidth="1"/>
    <col min="14176" max="14176" width="23.453125" style="1131" customWidth="1"/>
    <col min="14177" max="14178" width="19.453125" style="1131" customWidth="1"/>
    <col min="14179" max="14179" width="39.453125" style="1131" customWidth="1"/>
    <col min="14180" max="14180" width="19.453125" style="1131" customWidth="1"/>
    <col min="14181" max="14423" width="9.08984375" style="1131"/>
    <col min="14424" max="14424" width="9.90625" style="1131" bestFit="1" customWidth="1"/>
    <col min="14425" max="14425" width="19.453125" style="1131" customWidth="1"/>
    <col min="14426" max="14426" width="14.90625" style="1131" customWidth="1"/>
    <col min="14427" max="14427" width="23.6328125" style="1131" customWidth="1"/>
    <col min="14428" max="14428" width="19.453125" style="1131" customWidth="1"/>
    <col min="14429" max="14429" width="21.90625" style="1131" customWidth="1"/>
    <col min="14430" max="14430" width="14.453125" style="1131" bestFit="1" customWidth="1"/>
    <col min="14431" max="14431" width="17.08984375" style="1131" customWidth="1"/>
    <col min="14432" max="14432" width="23.453125" style="1131" customWidth="1"/>
    <col min="14433" max="14434" width="19.453125" style="1131" customWidth="1"/>
    <col min="14435" max="14435" width="39.453125" style="1131" customWidth="1"/>
    <col min="14436" max="14436" width="19.453125" style="1131" customWidth="1"/>
    <col min="14437" max="14679" width="9.08984375" style="1131"/>
    <col min="14680" max="14680" width="9.90625" style="1131" bestFit="1" customWidth="1"/>
    <col min="14681" max="14681" width="19.453125" style="1131" customWidth="1"/>
    <col min="14682" max="14682" width="14.90625" style="1131" customWidth="1"/>
    <col min="14683" max="14683" width="23.6328125" style="1131" customWidth="1"/>
    <col min="14684" max="14684" width="19.453125" style="1131" customWidth="1"/>
    <col min="14685" max="14685" width="21.90625" style="1131" customWidth="1"/>
    <col min="14686" max="14686" width="14.453125" style="1131" bestFit="1" customWidth="1"/>
    <col min="14687" max="14687" width="17.08984375" style="1131" customWidth="1"/>
    <col min="14688" max="14688" width="23.453125" style="1131" customWidth="1"/>
    <col min="14689" max="14690" width="19.453125" style="1131" customWidth="1"/>
    <col min="14691" max="14691" width="39.453125" style="1131" customWidth="1"/>
    <col min="14692" max="14692" width="19.453125" style="1131" customWidth="1"/>
    <col min="14693" max="14935" width="9.08984375" style="1131"/>
    <col min="14936" max="14936" width="9.90625" style="1131" bestFit="1" customWidth="1"/>
    <col min="14937" max="14937" width="19.453125" style="1131" customWidth="1"/>
    <col min="14938" max="14938" width="14.90625" style="1131" customWidth="1"/>
    <col min="14939" max="14939" width="23.6328125" style="1131" customWidth="1"/>
    <col min="14940" max="14940" width="19.453125" style="1131" customWidth="1"/>
    <col min="14941" max="14941" width="21.90625" style="1131" customWidth="1"/>
    <col min="14942" max="14942" width="14.453125" style="1131" bestFit="1" customWidth="1"/>
    <col min="14943" max="14943" width="17.08984375" style="1131" customWidth="1"/>
    <col min="14944" max="14944" width="23.453125" style="1131" customWidth="1"/>
    <col min="14945" max="14946" width="19.453125" style="1131" customWidth="1"/>
    <col min="14947" max="14947" width="39.453125" style="1131" customWidth="1"/>
    <col min="14948" max="14948" width="19.453125" style="1131" customWidth="1"/>
    <col min="14949" max="15191" width="9.08984375" style="1131"/>
    <col min="15192" max="15192" width="9.90625" style="1131" bestFit="1" customWidth="1"/>
    <col min="15193" max="15193" width="19.453125" style="1131" customWidth="1"/>
    <col min="15194" max="15194" width="14.90625" style="1131" customWidth="1"/>
    <col min="15195" max="15195" width="23.6328125" style="1131" customWidth="1"/>
    <col min="15196" max="15196" width="19.453125" style="1131" customWidth="1"/>
    <col min="15197" max="15197" width="21.90625" style="1131" customWidth="1"/>
    <col min="15198" max="15198" width="14.453125" style="1131" bestFit="1" customWidth="1"/>
    <col min="15199" max="15199" width="17.08984375" style="1131" customWidth="1"/>
    <col min="15200" max="15200" width="23.453125" style="1131" customWidth="1"/>
    <col min="15201" max="15202" width="19.453125" style="1131" customWidth="1"/>
    <col min="15203" max="15203" width="39.453125" style="1131" customWidth="1"/>
    <col min="15204" max="15204" width="19.453125" style="1131" customWidth="1"/>
    <col min="15205" max="15447" width="9.08984375" style="1131"/>
    <col min="15448" max="15448" width="9.90625" style="1131" bestFit="1" customWidth="1"/>
    <col min="15449" max="15449" width="19.453125" style="1131" customWidth="1"/>
    <col min="15450" max="15450" width="14.90625" style="1131" customWidth="1"/>
    <col min="15451" max="15451" width="23.6328125" style="1131" customWidth="1"/>
    <col min="15452" max="15452" width="19.453125" style="1131" customWidth="1"/>
    <col min="15453" max="15453" width="21.90625" style="1131" customWidth="1"/>
    <col min="15454" max="15454" width="14.453125" style="1131" bestFit="1" customWidth="1"/>
    <col min="15455" max="15455" width="17.08984375" style="1131" customWidth="1"/>
    <col min="15456" max="15456" width="23.453125" style="1131" customWidth="1"/>
    <col min="15457" max="15458" width="19.453125" style="1131" customWidth="1"/>
    <col min="15459" max="15459" width="39.453125" style="1131" customWidth="1"/>
    <col min="15460" max="15460" width="19.453125" style="1131" customWidth="1"/>
    <col min="15461" max="15703" width="9.08984375" style="1131"/>
    <col min="15704" max="15704" width="9.90625" style="1131" bestFit="1" customWidth="1"/>
    <col min="15705" max="15705" width="19.453125" style="1131" customWidth="1"/>
    <col min="15706" max="15706" width="14.90625" style="1131" customWidth="1"/>
    <col min="15707" max="15707" width="23.6328125" style="1131" customWidth="1"/>
    <col min="15708" max="15708" width="19.453125" style="1131" customWidth="1"/>
    <col min="15709" max="15709" width="21.90625" style="1131" customWidth="1"/>
    <col min="15710" max="15710" width="14.453125" style="1131" bestFit="1" customWidth="1"/>
    <col min="15711" max="15711" width="17.08984375" style="1131" customWidth="1"/>
    <col min="15712" max="15712" width="23.453125" style="1131" customWidth="1"/>
    <col min="15713" max="15714" width="19.453125" style="1131" customWidth="1"/>
    <col min="15715" max="15715" width="39.453125" style="1131" customWidth="1"/>
    <col min="15716" max="15716" width="19.453125" style="1131" customWidth="1"/>
    <col min="15717" max="15959" width="9.08984375" style="1131"/>
    <col min="15960" max="15960" width="9.90625" style="1131" bestFit="1" customWidth="1"/>
    <col min="15961" max="15961" width="19.453125" style="1131" customWidth="1"/>
    <col min="15962" max="15962" width="14.90625" style="1131" customWidth="1"/>
    <col min="15963" max="15963" width="23.6328125" style="1131" customWidth="1"/>
    <col min="15964" max="15964" width="19.453125" style="1131" customWidth="1"/>
    <col min="15965" max="15965" width="21.90625" style="1131" customWidth="1"/>
    <col min="15966" max="15966" width="14.453125" style="1131" bestFit="1" customWidth="1"/>
    <col min="15967" max="15967" width="17.08984375" style="1131" customWidth="1"/>
    <col min="15968" max="15968" width="23.453125" style="1131" customWidth="1"/>
    <col min="15969" max="15970" width="19.453125" style="1131" customWidth="1"/>
    <col min="15971" max="15971" width="39.453125" style="1131" customWidth="1"/>
    <col min="15972" max="15972" width="19.453125" style="1131" customWidth="1"/>
    <col min="15973" max="16384" width="9.08984375" style="1131"/>
  </cols>
  <sheetData>
    <row r="1" spans="1:7" ht="25" customHeight="1">
      <c r="A1" s="1127" t="s">
        <v>37</v>
      </c>
      <c r="F1" s="1144" t="s">
        <v>570</v>
      </c>
      <c r="G1" s="1148">
        <v>46083</v>
      </c>
    </row>
    <row r="2" spans="1:7" ht="25.5" customHeight="1">
      <c r="A2" s="1147" t="s">
        <v>3324</v>
      </c>
    </row>
    <row r="3" spans="1:7" ht="25.5" customHeight="1">
      <c r="A3" s="1147"/>
    </row>
    <row r="4" spans="1:7" s="1145" customFormat="1" ht="25.5" customHeight="1">
      <c r="A4" s="1144"/>
      <c r="B4" s="1142"/>
      <c r="C4" s="1143"/>
      <c r="D4" s="1146" t="s">
        <v>2671</v>
      </c>
      <c r="E4" s="1132">
        <f>COUNTIF(E7:E247,"Submitted")</f>
        <v>109</v>
      </c>
      <c r="F4" s="1132">
        <f>COUNTIF(F7:F247,"Submitted")</f>
        <v>90</v>
      </c>
      <c r="G4" s="1144"/>
    </row>
    <row r="5" spans="1:7" s="1145" customFormat="1" ht="25.5" customHeight="1">
      <c r="A5" s="1144"/>
      <c r="B5" s="1142"/>
      <c r="C5" s="1143"/>
      <c r="D5" s="1146" t="s">
        <v>3318</v>
      </c>
      <c r="E5" s="1132">
        <f>COUNTIF(E7:E247,"File Ready")</f>
        <v>10</v>
      </c>
      <c r="F5" s="1132">
        <f>COUNTIF(F7:F247,"File Ready")</f>
        <v>8</v>
      </c>
      <c r="G5" s="1144"/>
    </row>
    <row r="6" spans="1:7" s="1144" customFormat="1" ht="66.5" customHeight="1">
      <c r="A6" s="1133" t="s">
        <v>1782</v>
      </c>
      <c r="B6" s="1133" t="s">
        <v>2877</v>
      </c>
      <c r="C6" s="1133" t="s">
        <v>1405</v>
      </c>
      <c r="D6" s="1133" t="s">
        <v>3323</v>
      </c>
      <c r="E6" s="1134" t="s">
        <v>3314</v>
      </c>
      <c r="F6" s="1134" t="s">
        <v>3315</v>
      </c>
      <c r="G6" s="1134" t="s">
        <v>19</v>
      </c>
    </row>
    <row r="7" spans="1:7" s="1130" customFormat="1">
      <c r="A7" s="1140">
        <v>1</v>
      </c>
      <c r="B7" s="1135" t="s">
        <v>2880</v>
      </c>
      <c r="C7" s="1135" t="s">
        <v>1277</v>
      </c>
      <c r="D7" s="1135"/>
      <c r="E7" s="1135"/>
      <c r="F7" s="1135"/>
      <c r="G7" s="1135"/>
    </row>
    <row r="8" spans="1:7" s="1130" customFormat="1">
      <c r="A8" s="1140">
        <f t="shared" ref="A8:A71" si="0">A7+1</f>
        <v>2</v>
      </c>
      <c r="B8" s="1135" t="s">
        <v>2882</v>
      </c>
      <c r="C8" s="1135" t="s">
        <v>1402</v>
      </c>
      <c r="D8" s="1135"/>
      <c r="E8" s="1136"/>
      <c r="F8" s="1136"/>
      <c r="G8" s="1136"/>
    </row>
    <row r="9" spans="1:7" s="1130" customFormat="1">
      <c r="A9" s="1140">
        <f t="shared" si="0"/>
        <v>3</v>
      </c>
      <c r="B9" s="1135" t="s">
        <v>2884</v>
      </c>
      <c r="C9" s="1135" t="s">
        <v>1995</v>
      </c>
      <c r="D9" s="1135"/>
      <c r="E9" s="1136"/>
      <c r="F9" s="1136"/>
      <c r="G9" s="1136"/>
    </row>
    <row r="10" spans="1:7" s="1130" customFormat="1">
      <c r="A10" s="1140">
        <f t="shared" si="0"/>
        <v>4</v>
      </c>
      <c r="B10" s="1135" t="s">
        <v>702</v>
      </c>
      <c r="C10" s="1135" t="s">
        <v>53</v>
      </c>
      <c r="D10" s="1135"/>
      <c r="E10" s="1136"/>
      <c r="F10" s="1136"/>
      <c r="G10" s="1136"/>
    </row>
    <row r="11" spans="1:7" s="1130" customFormat="1">
      <c r="A11" s="1140">
        <f t="shared" si="0"/>
        <v>5</v>
      </c>
      <c r="B11" s="1135" t="s">
        <v>2885</v>
      </c>
      <c r="C11" s="1135" t="s">
        <v>1361</v>
      </c>
      <c r="D11" s="1135"/>
      <c r="E11" s="1136"/>
      <c r="F11" s="1136"/>
      <c r="G11" s="1136"/>
    </row>
    <row r="12" spans="1:7" s="1130" customFormat="1">
      <c r="A12" s="1140">
        <f t="shared" si="0"/>
        <v>6</v>
      </c>
      <c r="B12" s="1135" t="s">
        <v>753</v>
      </c>
      <c r="C12" s="1135" t="s">
        <v>53</v>
      </c>
      <c r="D12" s="1135"/>
      <c r="E12" s="1136"/>
      <c r="F12" s="1136"/>
      <c r="G12" s="1136"/>
    </row>
    <row r="13" spans="1:7" s="1130" customFormat="1">
      <c r="A13" s="1140">
        <f t="shared" si="0"/>
        <v>7</v>
      </c>
      <c r="B13" s="1135" t="s">
        <v>761</v>
      </c>
      <c r="C13" s="1135" t="s">
        <v>62</v>
      </c>
      <c r="D13" s="1135"/>
      <c r="E13" s="1136"/>
      <c r="F13" s="1136"/>
      <c r="G13" s="1136"/>
    </row>
    <row r="14" spans="1:7" s="1130" customFormat="1">
      <c r="A14" s="1140">
        <f t="shared" si="0"/>
        <v>8</v>
      </c>
      <c r="B14" s="1135" t="s">
        <v>735</v>
      </c>
      <c r="C14" s="1135" t="s">
        <v>53</v>
      </c>
      <c r="D14" s="1135" t="s">
        <v>22</v>
      </c>
      <c r="E14" s="1136"/>
      <c r="F14" s="1136"/>
      <c r="G14" s="1136"/>
    </row>
    <row r="15" spans="1:7" s="1130" customFormat="1">
      <c r="A15" s="1140">
        <f t="shared" si="0"/>
        <v>9</v>
      </c>
      <c r="B15" s="1135" t="s">
        <v>746</v>
      </c>
      <c r="C15" s="1135" t="s">
        <v>53</v>
      </c>
      <c r="D15" s="1135"/>
      <c r="E15" s="1136"/>
      <c r="F15" s="1136"/>
      <c r="G15" s="1136"/>
    </row>
    <row r="16" spans="1:7" s="1130" customFormat="1">
      <c r="A16" s="1140">
        <f t="shared" si="0"/>
        <v>10</v>
      </c>
      <c r="B16" s="1135" t="s">
        <v>2887</v>
      </c>
      <c r="C16" s="1135" t="s">
        <v>1995</v>
      </c>
      <c r="D16" s="1135"/>
      <c r="E16" s="1136"/>
      <c r="F16" s="1136"/>
      <c r="G16" s="1136"/>
    </row>
    <row r="17" spans="1:7">
      <c r="A17" s="1140">
        <f t="shared" si="0"/>
        <v>11</v>
      </c>
      <c r="B17" s="1135" t="s">
        <v>554</v>
      </c>
      <c r="C17" s="1135" t="s">
        <v>76</v>
      </c>
      <c r="D17" s="1135"/>
      <c r="E17" s="1136"/>
      <c r="F17" s="1136"/>
      <c r="G17" s="1136"/>
    </row>
    <row r="18" spans="1:7">
      <c r="A18" s="1140">
        <f t="shared" si="0"/>
        <v>12</v>
      </c>
      <c r="B18" s="1135" t="s">
        <v>125</v>
      </c>
      <c r="C18" s="1135" t="s">
        <v>76</v>
      </c>
      <c r="D18" s="1135"/>
      <c r="E18" s="1136"/>
      <c r="F18" s="1136"/>
      <c r="G18" s="1136"/>
    </row>
    <row r="19" spans="1:7">
      <c r="A19" s="1140">
        <f t="shared" si="0"/>
        <v>13</v>
      </c>
      <c r="B19" s="1135" t="s">
        <v>2889</v>
      </c>
      <c r="C19" s="1135" t="s">
        <v>1277</v>
      </c>
      <c r="D19" s="1135"/>
      <c r="E19" s="1136"/>
      <c r="F19" s="1136"/>
      <c r="G19" s="1136"/>
    </row>
    <row r="20" spans="1:7">
      <c r="A20" s="1140">
        <f t="shared" si="0"/>
        <v>14</v>
      </c>
      <c r="B20" s="1135" t="s">
        <v>2890</v>
      </c>
      <c r="C20" s="1135" t="s">
        <v>1935</v>
      </c>
      <c r="D20" s="1135"/>
      <c r="E20" s="1136"/>
      <c r="F20" s="1136"/>
      <c r="G20" s="1136"/>
    </row>
    <row r="21" spans="1:7">
      <c r="A21" s="1140">
        <f t="shared" si="0"/>
        <v>15</v>
      </c>
      <c r="B21" s="1135" t="s">
        <v>401</v>
      </c>
      <c r="C21" s="1135" t="s">
        <v>62</v>
      </c>
      <c r="D21" s="1135"/>
      <c r="E21" s="1136"/>
      <c r="F21" s="1136"/>
      <c r="G21" s="1136"/>
    </row>
    <row r="22" spans="1:7">
      <c r="A22" s="1140">
        <f t="shared" si="0"/>
        <v>16</v>
      </c>
      <c r="B22" s="1135" t="s">
        <v>2892</v>
      </c>
      <c r="C22" s="1135" t="s">
        <v>1934</v>
      </c>
      <c r="D22" s="1135"/>
      <c r="E22" s="1136"/>
      <c r="F22" s="1136"/>
      <c r="G22" s="1136"/>
    </row>
    <row r="23" spans="1:7">
      <c r="A23" s="1140">
        <f t="shared" si="0"/>
        <v>17</v>
      </c>
      <c r="B23" s="1135" t="s">
        <v>219</v>
      </c>
      <c r="C23" s="1135" t="s">
        <v>76</v>
      </c>
      <c r="D23" s="1135"/>
      <c r="E23" s="1136"/>
      <c r="F23" s="1136"/>
      <c r="G23" s="1136"/>
    </row>
    <row r="24" spans="1:7">
      <c r="A24" s="1140">
        <f t="shared" si="0"/>
        <v>18</v>
      </c>
      <c r="B24" s="1135" t="s">
        <v>2893</v>
      </c>
      <c r="C24" s="1135" t="s">
        <v>1277</v>
      </c>
      <c r="D24" s="1135"/>
      <c r="E24" s="1136"/>
      <c r="F24" s="1136"/>
      <c r="G24" s="1136"/>
    </row>
    <row r="25" spans="1:7">
      <c r="A25" s="1140">
        <f t="shared" si="0"/>
        <v>19</v>
      </c>
      <c r="B25" s="1135" t="s">
        <v>170</v>
      </c>
      <c r="C25" s="1135" t="s">
        <v>76</v>
      </c>
      <c r="D25" s="1135"/>
      <c r="E25" s="1136"/>
      <c r="F25" s="1136"/>
      <c r="G25" s="1136"/>
    </row>
    <row r="26" spans="1:7">
      <c r="A26" s="1140">
        <f t="shared" si="0"/>
        <v>20</v>
      </c>
      <c r="B26" s="1135" t="s">
        <v>2895</v>
      </c>
      <c r="C26" s="1135" t="s">
        <v>1269</v>
      </c>
      <c r="D26" s="1135"/>
      <c r="E26" s="1136"/>
      <c r="F26" s="1136"/>
      <c r="G26" s="1136"/>
    </row>
    <row r="27" spans="1:7">
      <c r="A27" s="1140">
        <f t="shared" si="0"/>
        <v>21</v>
      </c>
      <c r="B27" s="1135" t="s">
        <v>229</v>
      </c>
      <c r="C27" s="1135" t="s">
        <v>76</v>
      </c>
      <c r="D27" s="1135"/>
      <c r="E27" s="1136"/>
      <c r="F27" s="1136"/>
      <c r="G27" s="1136"/>
    </row>
    <row r="28" spans="1:7">
      <c r="A28" s="1140">
        <f t="shared" si="0"/>
        <v>22</v>
      </c>
      <c r="B28" s="1135" t="s">
        <v>106</v>
      </c>
      <c r="C28" s="1135" t="s">
        <v>76</v>
      </c>
      <c r="D28" s="1135"/>
      <c r="E28" s="1136"/>
      <c r="F28" s="1136"/>
      <c r="G28" s="1136"/>
    </row>
    <row r="29" spans="1:7">
      <c r="A29" s="1140">
        <f t="shared" si="0"/>
        <v>23</v>
      </c>
      <c r="B29" s="1135" t="s">
        <v>2897</v>
      </c>
      <c r="C29" s="1135" t="s">
        <v>1977</v>
      </c>
      <c r="D29" s="1135"/>
      <c r="E29" s="1136"/>
      <c r="F29" s="1136"/>
      <c r="G29" s="1136"/>
    </row>
    <row r="30" spans="1:7" s="1130" customFormat="1">
      <c r="A30" s="1140">
        <f t="shared" si="0"/>
        <v>24</v>
      </c>
      <c r="B30" s="1135" t="s">
        <v>2898</v>
      </c>
      <c r="C30" s="1135" t="s">
        <v>1953</v>
      </c>
      <c r="D30" s="1135"/>
      <c r="E30" s="1136"/>
      <c r="F30" s="1136"/>
      <c r="G30" s="1136"/>
    </row>
    <row r="31" spans="1:7">
      <c r="A31" s="1140">
        <f t="shared" si="0"/>
        <v>25</v>
      </c>
      <c r="B31" s="1135" t="s">
        <v>144</v>
      </c>
      <c r="C31" s="1135" t="s">
        <v>76</v>
      </c>
      <c r="D31" s="1135"/>
      <c r="E31" s="1136"/>
      <c r="F31" s="1136"/>
      <c r="G31" s="1136"/>
    </row>
    <row r="32" spans="1:7">
      <c r="A32" s="1140">
        <f t="shared" si="0"/>
        <v>26</v>
      </c>
      <c r="B32" s="1135" t="s">
        <v>2900</v>
      </c>
      <c r="C32" s="1135" t="s">
        <v>1269</v>
      </c>
      <c r="D32" s="1135"/>
      <c r="E32" s="1136"/>
      <c r="F32" s="1136"/>
      <c r="G32" s="1136"/>
    </row>
    <row r="33" spans="1:7">
      <c r="A33" s="1140">
        <f t="shared" si="0"/>
        <v>27</v>
      </c>
      <c r="B33" s="1135" t="s">
        <v>251</v>
      </c>
      <c r="C33" s="1135" t="s">
        <v>76</v>
      </c>
      <c r="D33" s="1135"/>
      <c r="E33" s="1136"/>
      <c r="F33" s="1136"/>
      <c r="G33" s="1136"/>
    </row>
    <row r="34" spans="1:7">
      <c r="A34" s="1140">
        <f t="shared" si="0"/>
        <v>28</v>
      </c>
      <c r="B34" s="1135" t="s">
        <v>118</v>
      </c>
      <c r="C34" s="1135" t="s">
        <v>53</v>
      </c>
      <c r="D34" s="1135"/>
      <c r="E34" s="1136"/>
      <c r="F34" s="1136"/>
      <c r="G34" s="1136"/>
    </row>
    <row r="35" spans="1:7">
      <c r="A35" s="1140">
        <f t="shared" si="0"/>
        <v>29</v>
      </c>
      <c r="B35" s="1135" t="s">
        <v>134</v>
      </c>
      <c r="C35" s="1135" t="s">
        <v>76</v>
      </c>
      <c r="D35" s="1135"/>
      <c r="E35" s="1136"/>
      <c r="F35" s="1136"/>
      <c r="G35" s="1136"/>
    </row>
    <row r="36" spans="1:7">
      <c r="A36" s="1140">
        <f t="shared" si="0"/>
        <v>30</v>
      </c>
      <c r="B36" s="1135" t="s">
        <v>163</v>
      </c>
      <c r="C36" s="1135" t="s">
        <v>62</v>
      </c>
      <c r="D36" s="1135"/>
      <c r="E36" s="1136"/>
      <c r="F36" s="1136"/>
      <c r="G36" s="1136"/>
    </row>
    <row r="37" spans="1:7">
      <c r="A37" s="1140">
        <f t="shared" si="0"/>
        <v>31</v>
      </c>
      <c r="B37" s="1135" t="s">
        <v>151</v>
      </c>
      <c r="C37" s="1135" t="s">
        <v>62</v>
      </c>
      <c r="D37" s="1135"/>
      <c r="E37" s="1136"/>
      <c r="F37" s="1136"/>
      <c r="G37" s="1136"/>
    </row>
    <row r="38" spans="1:7">
      <c r="A38" s="1140">
        <f t="shared" si="0"/>
        <v>32</v>
      </c>
      <c r="B38" s="1135" t="s">
        <v>2902</v>
      </c>
      <c r="C38" s="1135" t="s">
        <v>1277</v>
      </c>
      <c r="D38" s="1135"/>
      <c r="E38" s="1136"/>
      <c r="F38" s="1136"/>
      <c r="G38" s="1136"/>
    </row>
    <row r="39" spans="1:7">
      <c r="A39" s="1140">
        <f t="shared" si="0"/>
        <v>33</v>
      </c>
      <c r="B39" s="1135" t="s">
        <v>2904</v>
      </c>
      <c r="C39" s="1135" t="s">
        <v>1319</v>
      </c>
      <c r="D39" s="1135"/>
      <c r="E39" s="1136"/>
      <c r="F39" s="1136"/>
      <c r="G39" s="1136"/>
    </row>
    <row r="40" spans="1:7">
      <c r="A40" s="1140">
        <f t="shared" si="0"/>
        <v>34</v>
      </c>
      <c r="B40" s="1135" t="s">
        <v>2906</v>
      </c>
      <c r="C40" s="1135" t="s">
        <v>76</v>
      </c>
      <c r="D40" s="1135"/>
      <c r="E40" s="1136"/>
      <c r="F40" s="1136"/>
      <c r="G40" s="1136"/>
    </row>
    <row r="41" spans="1:7">
      <c r="A41" s="1140">
        <f t="shared" si="0"/>
        <v>35</v>
      </c>
      <c r="B41" s="1135" t="s">
        <v>2907</v>
      </c>
      <c r="C41" s="1135" t="s">
        <v>76</v>
      </c>
      <c r="D41" s="1135" t="s">
        <v>22</v>
      </c>
      <c r="E41" s="1136"/>
      <c r="F41" s="1136"/>
      <c r="G41" s="1136"/>
    </row>
    <row r="42" spans="1:7">
      <c r="A42" s="1140">
        <f t="shared" si="0"/>
        <v>36</v>
      </c>
      <c r="B42" s="1135" t="s">
        <v>3309</v>
      </c>
      <c r="C42" s="1135" t="s">
        <v>76</v>
      </c>
      <c r="D42" s="1135" t="s">
        <v>1009</v>
      </c>
      <c r="E42" s="1136"/>
      <c r="F42" s="1136"/>
      <c r="G42" s="1136"/>
    </row>
    <row r="43" spans="1:7">
      <c r="A43" s="1140">
        <f t="shared" si="0"/>
        <v>37</v>
      </c>
      <c r="B43" s="1135" t="s">
        <v>2910</v>
      </c>
      <c r="C43" s="1135" t="s">
        <v>1269</v>
      </c>
      <c r="D43" s="1135" t="s">
        <v>1009</v>
      </c>
      <c r="E43" s="1136" t="s">
        <v>2671</v>
      </c>
      <c r="F43" s="1136" t="s">
        <v>2671</v>
      </c>
      <c r="G43" s="1136"/>
    </row>
    <row r="44" spans="1:7">
      <c r="A44" s="1140">
        <f t="shared" si="0"/>
        <v>38</v>
      </c>
      <c r="B44" s="1135" t="s">
        <v>2912</v>
      </c>
      <c r="C44" s="1135" t="s">
        <v>1269</v>
      </c>
      <c r="D44" s="1135" t="s">
        <v>1009</v>
      </c>
      <c r="E44" s="1136"/>
      <c r="F44" s="1136"/>
      <c r="G44" s="1136"/>
    </row>
    <row r="45" spans="1:7">
      <c r="A45" s="1140">
        <f t="shared" si="0"/>
        <v>39</v>
      </c>
      <c r="B45" s="1135" t="s">
        <v>394</v>
      </c>
      <c r="C45" s="1135" t="s">
        <v>76</v>
      </c>
      <c r="D45" s="1135" t="s">
        <v>1009</v>
      </c>
      <c r="E45" s="1136" t="s">
        <v>2671</v>
      </c>
      <c r="F45" s="1136" t="s">
        <v>2671</v>
      </c>
      <c r="G45" s="1136"/>
    </row>
    <row r="46" spans="1:7">
      <c r="A46" s="1140">
        <f t="shared" si="0"/>
        <v>40</v>
      </c>
      <c r="B46" s="1135" t="s">
        <v>850</v>
      </c>
      <c r="C46" s="1135" t="s">
        <v>76</v>
      </c>
      <c r="D46" s="1135" t="s">
        <v>1009</v>
      </c>
      <c r="E46" s="1136" t="s">
        <v>2671</v>
      </c>
      <c r="F46" s="1136" t="s">
        <v>2671</v>
      </c>
      <c r="G46" s="1136"/>
    </row>
    <row r="47" spans="1:7">
      <c r="A47" s="1140">
        <f t="shared" si="0"/>
        <v>41</v>
      </c>
      <c r="B47" s="1135" t="s">
        <v>853</v>
      </c>
      <c r="C47" s="1135" t="s">
        <v>76</v>
      </c>
      <c r="D47" s="1135" t="s">
        <v>1009</v>
      </c>
      <c r="E47" s="1136" t="s">
        <v>2671</v>
      </c>
      <c r="F47" s="1136" t="s">
        <v>2671</v>
      </c>
      <c r="G47" s="1136"/>
    </row>
    <row r="48" spans="1:7">
      <c r="A48" s="1140">
        <f t="shared" si="0"/>
        <v>42</v>
      </c>
      <c r="B48" s="1135" t="s">
        <v>2915</v>
      </c>
      <c r="C48" s="1135" t="s">
        <v>1361</v>
      </c>
      <c r="D48" s="1135" t="s">
        <v>1009</v>
      </c>
      <c r="E48" s="1136" t="s">
        <v>3318</v>
      </c>
      <c r="F48" s="1136" t="s">
        <v>3318</v>
      </c>
      <c r="G48" s="1136"/>
    </row>
    <row r="49" spans="1:7">
      <c r="A49" s="1140">
        <f t="shared" si="0"/>
        <v>43</v>
      </c>
      <c r="B49" s="1135" t="s">
        <v>538</v>
      </c>
      <c r="C49" s="1135" t="s">
        <v>249</v>
      </c>
      <c r="D49" s="1135" t="s">
        <v>1009</v>
      </c>
      <c r="E49" s="1136" t="s">
        <v>3318</v>
      </c>
      <c r="F49" s="1136"/>
      <c r="G49" s="1136"/>
    </row>
    <row r="50" spans="1:7">
      <c r="A50" s="1140">
        <f t="shared" si="0"/>
        <v>44</v>
      </c>
      <c r="B50" s="1135" t="s">
        <v>529</v>
      </c>
      <c r="C50" s="1135" t="s">
        <v>76</v>
      </c>
      <c r="D50" s="1135" t="s">
        <v>1009</v>
      </c>
      <c r="E50" s="1136" t="s">
        <v>3318</v>
      </c>
      <c r="F50" s="1136"/>
      <c r="G50" s="1136"/>
    </row>
    <row r="51" spans="1:7">
      <c r="A51" s="1140">
        <f t="shared" si="0"/>
        <v>45</v>
      </c>
      <c r="B51" s="1135" t="s">
        <v>2917</v>
      </c>
      <c r="C51" s="1135" t="s">
        <v>2197</v>
      </c>
      <c r="D51" s="1135"/>
      <c r="E51" s="1136"/>
      <c r="F51" s="1136"/>
      <c r="G51" s="1136"/>
    </row>
    <row r="52" spans="1:7">
      <c r="A52" s="1140">
        <f t="shared" si="0"/>
        <v>46</v>
      </c>
      <c r="B52" s="1135" t="s">
        <v>2918</v>
      </c>
      <c r="C52" s="1135" t="s">
        <v>1953</v>
      </c>
      <c r="D52" s="1135" t="s">
        <v>22</v>
      </c>
      <c r="E52" s="1136"/>
      <c r="F52" s="1136"/>
      <c r="G52" s="1136"/>
    </row>
    <row r="53" spans="1:7">
      <c r="A53" s="1140">
        <f t="shared" si="0"/>
        <v>47</v>
      </c>
      <c r="B53" s="1135" t="s">
        <v>497</v>
      </c>
      <c r="C53" s="1135" t="s">
        <v>62</v>
      </c>
      <c r="D53" s="1135"/>
      <c r="E53" s="1136" t="s">
        <v>2671</v>
      </c>
      <c r="F53" s="1136" t="s">
        <v>2671</v>
      </c>
      <c r="G53" s="1136"/>
    </row>
    <row r="54" spans="1:7">
      <c r="A54" s="1140">
        <f t="shared" si="0"/>
        <v>48</v>
      </c>
      <c r="B54" s="1135" t="s">
        <v>495</v>
      </c>
      <c r="C54" s="1137" t="s">
        <v>249</v>
      </c>
      <c r="D54" s="1137" t="s">
        <v>1009</v>
      </c>
      <c r="E54" s="1136"/>
      <c r="F54" s="1136"/>
      <c r="G54" s="1136"/>
    </row>
    <row r="55" spans="1:7">
      <c r="A55" s="1140">
        <f t="shared" si="0"/>
        <v>49</v>
      </c>
      <c r="B55" s="1135" t="s">
        <v>490</v>
      </c>
      <c r="C55" s="1135" t="s">
        <v>53</v>
      </c>
      <c r="D55" s="1135" t="s">
        <v>1009</v>
      </c>
      <c r="E55" s="1136" t="s">
        <v>2671</v>
      </c>
      <c r="F55" s="1136"/>
      <c r="G55" s="1136"/>
    </row>
    <row r="56" spans="1:7">
      <c r="A56" s="1140">
        <f t="shared" si="0"/>
        <v>50</v>
      </c>
      <c r="B56" s="1135" t="s">
        <v>2920</v>
      </c>
      <c r="C56" s="1135" t="s">
        <v>90</v>
      </c>
      <c r="D56" s="1135" t="s">
        <v>1009</v>
      </c>
      <c r="E56" s="1136" t="s">
        <v>2671</v>
      </c>
      <c r="F56" s="1136" t="s">
        <v>2671</v>
      </c>
      <c r="G56" s="1136"/>
    </row>
    <row r="57" spans="1:7">
      <c r="A57" s="1140">
        <f t="shared" si="0"/>
        <v>51</v>
      </c>
      <c r="B57" s="1135" t="s">
        <v>458</v>
      </c>
      <c r="C57" s="1135" t="s">
        <v>62</v>
      </c>
      <c r="D57" s="1135" t="s">
        <v>1009</v>
      </c>
      <c r="E57" s="1136" t="s">
        <v>2671</v>
      </c>
      <c r="F57" s="1136" t="s">
        <v>2671</v>
      </c>
      <c r="G57" s="1136"/>
    </row>
    <row r="58" spans="1:7">
      <c r="A58" s="1140">
        <f t="shared" si="0"/>
        <v>52</v>
      </c>
      <c r="B58" s="1135" t="s">
        <v>402</v>
      </c>
      <c r="C58" s="1135" t="s">
        <v>53</v>
      </c>
      <c r="D58" s="1135" t="s">
        <v>1009</v>
      </c>
      <c r="E58" s="1136" t="s">
        <v>2671</v>
      </c>
      <c r="F58" s="1136"/>
      <c r="G58" s="1136"/>
    </row>
    <row r="59" spans="1:7">
      <c r="A59" s="1140">
        <f t="shared" si="0"/>
        <v>53</v>
      </c>
      <c r="B59" s="1135" t="s">
        <v>2922</v>
      </c>
      <c r="C59" s="1135" t="s">
        <v>1269</v>
      </c>
      <c r="D59" s="1135" t="s">
        <v>1009</v>
      </c>
      <c r="E59" s="1136" t="s">
        <v>2671</v>
      </c>
      <c r="F59" s="1136" t="s">
        <v>2671</v>
      </c>
      <c r="G59" s="1136"/>
    </row>
    <row r="60" spans="1:7">
      <c r="A60" s="1140">
        <f t="shared" si="0"/>
        <v>54</v>
      </c>
      <c r="B60" s="1135" t="s">
        <v>2924</v>
      </c>
      <c r="C60" s="1135" t="s">
        <v>1977</v>
      </c>
      <c r="D60" s="1135" t="s">
        <v>1009</v>
      </c>
      <c r="E60" s="1136" t="s">
        <v>2671</v>
      </c>
      <c r="F60" s="1136" t="s">
        <v>2671</v>
      </c>
      <c r="G60" s="1136"/>
    </row>
    <row r="61" spans="1:7">
      <c r="A61" s="1140">
        <f t="shared" si="0"/>
        <v>55</v>
      </c>
      <c r="B61" s="1135" t="s">
        <v>2926</v>
      </c>
      <c r="C61" s="1135" t="s">
        <v>1953</v>
      </c>
      <c r="D61" s="1135"/>
      <c r="E61" s="1136"/>
      <c r="F61" s="1136"/>
      <c r="G61" s="1136"/>
    </row>
    <row r="62" spans="1:7">
      <c r="A62" s="1140">
        <f t="shared" si="0"/>
        <v>56</v>
      </c>
      <c r="B62" s="1135" t="s">
        <v>2201</v>
      </c>
      <c r="C62" s="1135" t="s">
        <v>76</v>
      </c>
      <c r="D62" s="1135" t="s">
        <v>1009</v>
      </c>
      <c r="E62" s="1136" t="s">
        <v>2671</v>
      </c>
      <c r="F62" s="1136" t="s">
        <v>2671</v>
      </c>
      <c r="G62" s="1136"/>
    </row>
    <row r="63" spans="1:7">
      <c r="A63" s="1140">
        <f t="shared" si="0"/>
        <v>57</v>
      </c>
      <c r="B63" s="1135" t="s">
        <v>2202</v>
      </c>
      <c r="C63" s="1135" t="s">
        <v>62</v>
      </c>
      <c r="D63" s="1135" t="s">
        <v>1009</v>
      </c>
      <c r="E63" s="1136" t="s">
        <v>2671</v>
      </c>
      <c r="F63" s="1136" t="s">
        <v>2671</v>
      </c>
      <c r="G63" s="1136"/>
    </row>
    <row r="64" spans="1:7">
      <c r="A64" s="1140">
        <f t="shared" si="0"/>
        <v>58</v>
      </c>
      <c r="B64" s="1135" t="s">
        <v>2203</v>
      </c>
      <c r="C64" s="1135" t="s">
        <v>62</v>
      </c>
      <c r="D64" s="1135" t="s">
        <v>1009</v>
      </c>
      <c r="E64" s="1136" t="s">
        <v>2671</v>
      </c>
      <c r="F64" s="1136" t="s">
        <v>2671</v>
      </c>
      <c r="G64" s="1136"/>
    </row>
    <row r="65" spans="1:7">
      <c r="A65" s="1141">
        <f t="shared" si="0"/>
        <v>59</v>
      </c>
      <c r="B65" s="1135" t="s">
        <v>2927</v>
      </c>
      <c r="C65" s="1135" t="s">
        <v>90</v>
      </c>
      <c r="D65" s="1135" t="s">
        <v>1009</v>
      </c>
      <c r="E65" s="1136" t="s">
        <v>2671</v>
      </c>
      <c r="F65" s="1136" t="s">
        <v>2671</v>
      </c>
      <c r="G65" s="1136"/>
    </row>
    <row r="66" spans="1:7">
      <c r="A66" s="1140">
        <f t="shared" si="0"/>
        <v>60</v>
      </c>
      <c r="B66" s="1135" t="s">
        <v>2206</v>
      </c>
      <c r="C66" s="1135" t="s">
        <v>62</v>
      </c>
      <c r="D66" s="1135" t="s">
        <v>1009</v>
      </c>
      <c r="E66" s="1136" t="s">
        <v>2671</v>
      </c>
      <c r="F66" s="1136" t="s">
        <v>2671</v>
      </c>
      <c r="G66" s="1136"/>
    </row>
    <row r="67" spans="1:7">
      <c r="A67" s="1140">
        <f t="shared" si="0"/>
        <v>61</v>
      </c>
      <c r="B67" s="1135" t="s">
        <v>2207</v>
      </c>
      <c r="C67" s="1135" t="s">
        <v>1269</v>
      </c>
      <c r="D67" s="1135" t="s">
        <v>1009</v>
      </c>
      <c r="E67" s="1136" t="s">
        <v>2671</v>
      </c>
      <c r="F67" s="1136" t="s">
        <v>2671</v>
      </c>
      <c r="G67" s="1136"/>
    </row>
    <row r="68" spans="1:7">
      <c r="A68" s="1140">
        <f t="shared" si="0"/>
        <v>62</v>
      </c>
      <c r="B68" s="1135" t="s">
        <v>2208</v>
      </c>
      <c r="C68" s="1135" t="s">
        <v>76</v>
      </c>
      <c r="D68" s="1135"/>
      <c r="E68" s="1136"/>
      <c r="F68" s="1136"/>
      <c r="G68" s="1136"/>
    </row>
    <row r="69" spans="1:7">
      <c r="A69" s="1140">
        <f t="shared" si="0"/>
        <v>63</v>
      </c>
      <c r="B69" s="1135" t="s">
        <v>2928</v>
      </c>
      <c r="C69" s="1135" t="s">
        <v>1977</v>
      </c>
      <c r="D69" s="1135"/>
      <c r="E69" s="1136"/>
      <c r="F69" s="1136"/>
      <c r="G69" s="1136"/>
    </row>
    <row r="70" spans="1:7">
      <c r="A70" s="1140">
        <f t="shared" si="0"/>
        <v>64</v>
      </c>
      <c r="B70" s="1135" t="s">
        <v>2930</v>
      </c>
      <c r="C70" s="1138" t="s">
        <v>2212</v>
      </c>
      <c r="D70" s="1138" t="s">
        <v>1009</v>
      </c>
      <c r="E70" s="1136" t="s">
        <v>2671</v>
      </c>
      <c r="F70" s="1136" t="s">
        <v>2671</v>
      </c>
      <c r="G70" s="1136"/>
    </row>
    <row r="71" spans="1:7">
      <c r="A71" s="1140">
        <f t="shared" si="0"/>
        <v>65</v>
      </c>
      <c r="B71" s="1135" t="s">
        <v>2933</v>
      </c>
      <c r="C71" s="1135" t="s">
        <v>1319</v>
      </c>
      <c r="D71" s="1135" t="s">
        <v>1009</v>
      </c>
      <c r="E71" s="1136" t="s">
        <v>2671</v>
      </c>
      <c r="F71" s="1136" t="s">
        <v>2671</v>
      </c>
      <c r="G71" s="1136"/>
    </row>
    <row r="72" spans="1:7">
      <c r="A72" s="1140">
        <f t="shared" ref="A72:A135" si="1">A71+1</f>
        <v>66</v>
      </c>
      <c r="B72" s="1135" t="s">
        <v>2216</v>
      </c>
      <c r="C72" s="1135" t="s">
        <v>90</v>
      </c>
      <c r="D72" s="1135" t="s">
        <v>1009</v>
      </c>
      <c r="E72" s="1136" t="s">
        <v>3318</v>
      </c>
      <c r="F72" s="1136"/>
      <c r="G72" s="1136" t="s">
        <v>3321</v>
      </c>
    </row>
    <row r="73" spans="1:7">
      <c r="A73" s="1140">
        <f t="shared" si="1"/>
        <v>67</v>
      </c>
      <c r="B73" s="1135" t="s">
        <v>2935</v>
      </c>
      <c r="C73" s="1135" t="s">
        <v>2212</v>
      </c>
      <c r="D73" s="1135"/>
      <c r="E73" s="1136"/>
      <c r="F73" s="1136"/>
      <c r="G73" s="1136"/>
    </row>
    <row r="74" spans="1:7">
      <c r="A74" s="1140">
        <f t="shared" si="1"/>
        <v>68</v>
      </c>
      <c r="B74" s="1135" t="s">
        <v>2938</v>
      </c>
      <c r="C74" s="1135" t="s">
        <v>1995</v>
      </c>
      <c r="D74" s="1135"/>
      <c r="E74" s="1136"/>
      <c r="F74" s="1136"/>
      <c r="G74" s="1136"/>
    </row>
    <row r="75" spans="1:7">
      <c r="A75" s="1140">
        <f t="shared" si="1"/>
        <v>69</v>
      </c>
      <c r="B75" s="1135" t="s">
        <v>2221</v>
      </c>
      <c r="C75" s="1135" t="s">
        <v>76</v>
      </c>
      <c r="D75" s="1135" t="s">
        <v>1009</v>
      </c>
      <c r="E75" s="1136" t="s">
        <v>2671</v>
      </c>
      <c r="F75" s="1136" t="s">
        <v>2671</v>
      </c>
      <c r="G75" s="1136"/>
    </row>
    <row r="76" spans="1:7">
      <c r="A76" s="1140">
        <f t="shared" si="1"/>
        <v>70</v>
      </c>
      <c r="B76" s="1135" t="s">
        <v>2222</v>
      </c>
      <c r="C76" s="1135" t="s">
        <v>62</v>
      </c>
      <c r="D76" s="1135" t="s">
        <v>1009</v>
      </c>
      <c r="E76" s="1136" t="s">
        <v>2671</v>
      </c>
      <c r="F76" s="1136" t="s">
        <v>2671</v>
      </c>
      <c r="G76" s="1136"/>
    </row>
    <row r="77" spans="1:7">
      <c r="A77" s="1140">
        <f t="shared" si="1"/>
        <v>71</v>
      </c>
      <c r="B77" s="1135" t="s">
        <v>2939</v>
      </c>
      <c r="C77" s="1135" t="s">
        <v>1988</v>
      </c>
      <c r="D77" s="1135"/>
      <c r="E77" s="1136"/>
      <c r="F77" s="1136"/>
      <c r="G77" s="1136"/>
    </row>
    <row r="78" spans="1:7">
      <c r="A78" s="1140">
        <f t="shared" si="1"/>
        <v>72</v>
      </c>
      <c r="B78" s="1135" t="s">
        <v>2941</v>
      </c>
      <c r="C78" s="1135" t="s">
        <v>2197</v>
      </c>
      <c r="D78" s="1135"/>
      <c r="E78" s="1136"/>
      <c r="F78" s="1136"/>
      <c r="G78" s="1136"/>
    </row>
    <row r="79" spans="1:7">
      <c r="A79" s="1141">
        <f t="shared" si="1"/>
        <v>73</v>
      </c>
      <c r="B79" s="1135" t="s">
        <v>2942</v>
      </c>
      <c r="C79" s="1135" t="s">
        <v>1269</v>
      </c>
      <c r="D79" s="1135" t="s">
        <v>1009</v>
      </c>
      <c r="E79" s="1136" t="s">
        <v>2671</v>
      </c>
      <c r="F79" s="1136" t="s">
        <v>2671</v>
      </c>
      <c r="G79" s="1136"/>
    </row>
    <row r="80" spans="1:7">
      <c r="A80" s="1141">
        <f t="shared" si="1"/>
        <v>74</v>
      </c>
      <c r="B80" s="1139" t="s">
        <v>3140</v>
      </c>
      <c r="C80" s="1135" t="s">
        <v>249</v>
      </c>
      <c r="D80" s="1135" t="s">
        <v>1009</v>
      </c>
      <c r="E80" s="1136" t="s">
        <v>2671</v>
      </c>
      <c r="F80" s="1136" t="s">
        <v>2671</v>
      </c>
      <c r="G80" s="1136"/>
    </row>
    <row r="81" spans="1:7">
      <c r="A81" s="1140">
        <f t="shared" si="1"/>
        <v>75</v>
      </c>
      <c r="B81" s="1135" t="s">
        <v>2944</v>
      </c>
      <c r="C81" s="1135" t="s">
        <v>1277</v>
      </c>
      <c r="D81" s="1135"/>
      <c r="E81" s="1136"/>
      <c r="F81" s="1136"/>
      <c r="G81" s="1136"/>
    </row>
    <row r="82" spans="1:7">
      <c r="A82" s="1141">
        <f t="shared" si="1"/>
        <v>76</v>
      </c>
      <c r="B82" s="1139" t="s">
        <v>3236</v>
      </c>
      <c r="C82" s="1135" t="s">
        <v>62</v>
      </c>
      <c r="D82" s="1135" t="s">
        <v>1009</v>
      </c>
      <c r="E82" s="1136" t="s">
        <v>3318</v>
      </c>
      <c r="F82" s="1136" t="s">
        <v>3318</v>
      </c>
      <c r="G82" s="1136"/>
    </row>
    <row r="83" spans="1:7">
      <c r="A83" s="1140">
        <f t="shared" si="1"/>
        <v>77</v>
      </c>
      <c r="B83" s="1135" t="s">
        <v>2946</v>
      </c>
      <c r="C83" s="1135" t="s">
        <v>1977</v>
      </c>
      <c r="D83" s="1135" t="s">
        <v>1009</v>
      </c>
      <c r="E83" s="1136"/>
      <c r="F83" s="1136"/>
      <c r="G83" s="1136"/>
    </row>
    <row r="84" spans="1:7">
      <c r="A84" s="1140">
        <f t="shared" si="1"/>
        <v>78</v>
      </c>
      <c r="B84" s="1135" t="s">
        <v>2272</v>
      </c>
      <c r="C84" s="1135" t="s">
        <v>62</v>
      </c>
      <c r="D84" s="1135"/>
      <c r="E84" s="1136"/>
      <c r="F84" s="1136"/>
      <c r="G84" s="1136"/>
    </row>
    <row r="85" spans="1:7">
      <c r="A85" s="1140">
        <f t="shared" si="1"/>
        <v>79</v>
      </c>
      <c r="B85" s="1135" t="s">
        <v>2273</v>
      </c>
      <c r="C85" s="1135" t="s">
        <v>62</v>
      </c>
      <c r="D85" s="1135" t="s">
        <v>1009</v>
      </c>
      <c r="E85" s="1136" t="s">
        <v>2671</v>
      </c>
      <c r="F85" s="1136" t="s">
        <v>2671</v>
      </c>
      <c r="G85" s="1136"/>
    </row>
    <row r="86" spans="1:7">
      <c r="A86" s="1140">
        <f t="shared" si="1"/>
        <v>80</v>
      </c>
      <c r="B86" s="1135" t="s">
        <v>2948</v>
      </c>
      <c r="C86" s="1135" t="s">
        <v>2197</v>
      </c>
      <c r="D86" s="1135"/>
      <c r="E86" s="1136"/>
      <c r="F86" s="1136"/>
      <c r="G86" s="1136"/>
    </row>
    <row r="87" spans="1:7">
      <c r="A87" s="1140">
        <f t="shared" si="1"/>
        <v>81</v>
      </c>
      <c r="B87" s="1135" t="s">
        <v>2951</v>
      </c>
      <c r="C87" s="1135" t="s">
        <v>2197</v>
      </c>
      <c r="D87" s="1135"/>
      <c r="E87" s="1136"/>
      <c r="F87" s="1136"/>
      <c r="G87" s="1136"/>
    </row>
    <row r="88" spans="1:7">
      <c r="A88" s="1140">
        <f t="shared" si="1"/>
        <v>82</v>
      </c>
      <c r="B88" s="1139" t="s">
        <v>2851</v>
      </c>
      <c r="C88" s="1135" t="s">
        <v>62</v>
      </c>
      <c r="D88" s="1135" t="s">
        <v>1009</v>
      </c>
      <c r="E88" s="1136" t="s">
        <v>2671</v>
      </c>
      <c r="F88" s="1136" t="s">
        <v>2671</v>
      </c>
      <c r="G88" s="1136"/>
    </row>
    <row r="89" spans="1:7">
      <c r="A89" s="1140">
        <f t="shared" si="1"/>
        <v>83</v>
      </c>
      <c r="B89" s="1135" t="s">
        <v>2867</v>
      </c>
      <c r="C89" s="1135" t="s">
        <v>1319</v>
      </c>
      <c r="D89" s="1135" t="s">
        <v>1009</v>
      </c>
      <c r="E89" s="1136" t="s">
        <v>2671</v>
      </c>
      <c r="F89" s="1136" t="s">
        <v>2671</v>
      </c>
      <c r="G89" s="1136"/>
    </row>
    <row r="90" spans="1:7">
      <c r="A90" s="1141">
        <f t="shared" si="1"/>
        <v>84</v>
      </c>
      <c r="B90" s="1135" t="s">
        <v>2281</v>
      </c>
      <c r="C90" s="1135" t="s">
        <v>62</v>
      </c>
      <c r="D90" s="1135" t="s">
        <v>1009</v>
      </c>
      <c r="E90" s="1136" t="s">
        <v>2671</v>
      </c>
      <c r="F90" s="1136" t="s">
        <v>2671</v>
      </c>
      <c r="G90" s="1136"/>
    </row>
    <row r="91" spans="1:7">
      <c r="A91" s="1140">
        <f t="shared" si="1"/>
        <v>85</v>
      </c>
      <c r="B91" s="1135" t="s">
        <v>2282</v>
      </c>
      <c r="C91" s="1135" t="s">
        <v>76</v>
      </c>
      <c r="D91" s="1135" t="s">
        <v>1009</v>
      </c>
      <c r="E91" s="1136" t="s">
        <v>2671</v>
      </c>
      <c r="F91" s="1136" t="s">
        <v>2671</v>
      </c>
      <c r="G91" s="1136"/>
    </row>
    <row r="92" spans="1:7">
      <c r="A92" s="1140">
        <f t="shared" si="1"/>
        <v>86</v>
      </c>
      <c r="B92" s="1135" t="s">
        <v>2952</v>
      </c>
      <c r="C92" s="1135" t="s">
        <v>1988</v>
      </c>
      <c r="D92" s="1135" t="s">
        <v>1009</v>
      </c>
      <c r="E92" s="1136" t="s">
        <v>3318</v>
      </c>
      <c r="F92" s="1136"/>
      <c r="G92" s="1136"/>
    </row>
    <row r="93" spans="1:7">
      <c r="A93" s="1140">
        <f t="shared" si="1"/>
        <v>87</v>
      </c>
      <c r="B93" s="1135" t="s">
        <v>2954</v>
      </c>
      <c r="C93" s="1135" t="s">
        <v>1988</v>
      </c>
      <c r="D93" s="1135" t="s">
        <v>1009</v>
      </c>
      <c r="E93" s="1136" t="s">
        <v>2671</v>
      </c>
      <c r="F93" s="1136" t="s">
        <v>2671</v>
      </c>
      <c r="G93" s="1136"/>
    </row>
    <row r="94" spans="1:7">
      <c r="A94" s="1140">
        <f t="shared" si="1"/>
        <v>88</v>
      </c>
      <c r="B94" s="1139" t="s">
        <v>2871</v>
      </c>
      <c r="C94" s="1135" t="s">
        <v>62</v>
      </c>
      <c r="D94" s="1135" t="s">
        <v>1009</v>
      </c>
      <c r="E94" s="1136" t="s">
        <v>2671</v>
      </c>
      <c r="F94" s="1136" t="s">
        <v>2671</v>
      </c>
      <c r="G94" s="1136"/>
    </row>
    <row r="95" spans="1:7">
      <c r="A95" s="1140">
        <f t="shared" si="1"/>
        <v>89</v>
      </c>
      <c r="B95" s="1135" t="s">
        <v>2288</v>
      </c>
      <c r="C95" s="1135" t="s">
        <v>53</v>
      </c>
      <c r="D95" s="1135" t="s">
        <v>1009</v>
      </c>
      <c r="E95" s="1136" t="s">
        <v>2671</v>
      </c>
      <c r="F95" s="1136" t="s">
        <v>2671</v>
      </c>
      <c r="G95" s="1136"/>
    </row>
    <row r="96" spans="1:7">
      <c r="A96" s="1140">
        <f t="shared" si="1"/>
        <v>90</v>
      </c>
      <c r="B96" s="1135" t="s">
        <v>2289</v>
      </c>
      <c r="C96" s="1135" t="s">
        <v>76</v>
      </c>
      <c r="D96" s="1135" t="s">
        <v>1009</v>
      </c>
      <c r="E96" s="1136" t="s">
        <v>2671</v>
      </c>
      <c r="F96" s="1136" t="s">
        <v>2671</v>
      </c>
      <c r="G96" s="1136"/>
    </row>
    <row r="97" spans="1:7">
      <c r="A97" s="1140">
        <f t="shared" si="1"/>
        <v>91</v>
      </c>
      <c r="B97" s="1135" t="s">
        <v>2955</v>
      </c>
      <c r="C97" s="1135" t="s">
        <v>1277</v>
      </c>
      <c r="D97" s="1135" t="s">
        <v>1009</v>
      </c>
      <c r="E97" s="1136" t="s">
        <v>2671</v>
      </c>
      <c r="F97" s="1136" t="s">
        <v>2671</v>
      </c>
      <c r="G97" s="1136"/>
    </row>
    <row r="98" spans="1:7">
      <c r="A98" s="1140">
        <f t="shared" si="1"/>
        <v>92</v>
      </c>
      <c r="B98" s="1139" t="s">
        <v>2852</v>
      </c>
      <c r="C98" s="1135" t="s">
        <v>76</v>
      </c>
      <c r="D98" s="1135" t="s">
        <v>1009</v>
      </c>
      <c r="E98" s="1136" t="s">
        <v>2671</v>
      </c>
      <c r="F98" s="1136" t="s">
        <v>2671</v>
      </c>
      <c r="G98" s="1136"/>
    </row>
    <row r="99" spans="1:7">
      <c r="A99" s="1140">
        <f t="shared" si="1"/>
        <v>93</v>
      </c>
      <c r="B99" s="1135" t="s">
        <v>2859</v>
      </c>
      <c r="C99" s="1135" t="s">
        <v>76</v>
      </c>
      <c r="D99" s="1135" t="s">
        <v>1009</v>
      </c>
      <c r="E99" s="1136" t="s">
        <v>2671</v>
      </c>
      <c r="F99" s="1136" t="s">
        <v>2671</v>
      </c>
      <c r="G99" s="1136"/>
    </row>
    <row r="100" spans="1:7">
      <c r="A100" s="1140">
        <f t="shared" si="1"/>
        <v>94</v>
      </c>
      <c r="B100" s="1135" t="s">
        <v>2957</v>
      </c>
      <c r="C100" s="1135" t="s">
        <v>1269</v>
      </c>
      <c r="D100" s="1135" t="s">
        <v>1009</v>
      </c>
      <c r="E100" s="1136" t="s">
        <v>2671</v>
      </c>
      <c r="F100" s="1136" t="s">
        <v>2671</v>
      </c>
      <c r="G100" s="1136"/>
    </row>
    <row r="101" spans="1:7">
      <c r="A101" s="1140">
        <f t="shared" si="1"/>
        <v>95</v>
      </c>
      <c r="B101" s="1135" t="s">
        <v>2958</v>
      </c>
      <c r="C101" s="1135" t="s">
        <v>1361</v>
      </c>
      <c r="D101" s="1135" t="s">
        <v>1009</v>
      </c>
      <c r="E101" s="1136" t="s">
        <v>2671</v>
      </c>
      <c r="F101" s="1136" t="s">
        <v>2671</v>
      </c>
      <c r="G101" s="1136"/>
    </row>
    <row r="102" spans="1:7">
      <c r="A102" s="1140">
        <f t="shared" si="1"/>
        <v>96</v>
      </c>
      <c r="B102" s="1139" t="s">
        <v>3091</v>
      </c>
      <c r="C102" s="1135" t="s">
        <v>76</v>
      </c>
      <c r="D102" s="1135" t="s">
        <v>1009</v>
      </c>
      <c r="E102" s="1136" t="s">
        <v>2671</v>
      </c>
      <c r="F102" s="1136" t="s">
        <v>2671</v>
      </c>
      <c r="G102" s="1136"/>
    </row>
    <row r="103" spans="1:7">
      <c r="A103" s="1140">
        <f t="shared" si="1"/>
        <v>97</v>
      </c>
      <c r="B103" s="1139" t="s">
        <v>2858</v>
      </c>
      <c r="C103" s="1135" t="s">
        <v>76</v>
      </c>
      <c r="D103" s="1135" t="s">
        <v>1009</v>
      </c>
      <c r="E103" s="1136" t="s">
        <v>2671</v>
      </c>
      <c r="F103" s="1136" t="s">
        <v>2671</v>
      </c>
      <c r="G103" s="1136"/>
    </row>
    <row r="104" spans="1:7">
      <c r="A104" s="1140">
        <f t="shared" si="1"/>
        <v>98</v>
      </c>
      <c r="B104" s="1139" t="s">
        <v>2869</v>
      </c>
      <c r="C104" s="1135" t="s">
        <v>76</v>
      </c>
      <c r="D104" s="1135" t="s">
        <v>1009</v>
      </c>
      <c r="E104" s="1136" t="s">
        <v>2671</v>
      </c>
      <c r="F104" s="1136" t="s">
        <v>2671</v>
      </c>
      <c r="G104" s="1136"/>
    </row>
    <row r="105" spans="1:7">
      <c r="A105" s="1140">
        <f t="shared" si="1"/>
        <v>99</v>
      </c>
      <c r="B105" s="1139" t="s">
        <v>3094</v>
      </c>
      <c r="C105" s="1135" t="s">
        <v>76</v>
      </c>
      <c r="D105" s="1135" t="s">
        <v>1009</v>
      </c>
      <c r="E105" s="1136" t="s">
        <v>2671</v>
      </c>
      <c r="F105" s="1136" t="s">
        <v>2671</v>
      </c>
      <c r="G105" s="1136"/>
    </row>
    <row r="106" spans="1:7">
      <c r="A106" s="1140">
        <f t="shared" si="1"/>
        <v>100</v>
      </c>
      <c r="B106" s="1135" t="s">
        <v>2960</v>
      </c>
      <c r="C106" s="1135" t="s">
        <v>1277</v>
      </c>
      <c r="D106" s="1135" t="s">
        <v>1009</v>
      </c>
      <c r="E106" s="1136" t="s">
        <v>2671</v>
      </c>
      <c r="F106" s="1136" t="s">
        <v>2671</v>
      </c>
      <c r="G106" s="1136"/>
    </row>
    <row r="107" spans="1:7">
      <c r="A107" s="1140">
        <f t="shared" si="1"/>
        <v>101</v>
      </c>
      <c r="B107" s="1135" t="s">
        <v>2389</v>
      </c>
      <c r="C107" s="1135" t="s">
        <v>1995</v>
      </c>
      <c r="D107" s="1135" t="s">
        <v>1009</v>
      </c>
      <c r="E107" s="1136" t="s">
        <v>2671</v>
      </c>
      <c r="F107" s="1136" t="s">
        <v>2671</v>
      </c>
      <c r="G107" s="1136"/>
    </row>
    <row r="108" spans="1:7">
      <c r="A108" s="1140">
        <f t="shared" si="1"/>
        <v>102</v>
      </c>
      <c r="B108" s="1139" t="s">
        <v>2870</v>
      </c>
      <c r="C108" s="1135" t="s">
        <v>76</v>
      </c>
      <c r="D108" s="1135" t="s">
        <v>1009</v>
      </c>
      <c r="E108" s="1136" t="s">
        <v>2671</v>
      </c>
      <c r="F108" s="1136"/>
      <c r="G108" s="1136" t="s">
        <v>3322</v>
      </c>
    </row>
    <row r="109" spans="1:7">
      <c r="A109" s="1140">
        <f t="shared" si="1"/>
        <v>103</v>
      </c>
      <c r="B109" s="1139" t="s">
        <v>2860</v>
      </c>
      <c r="C109" s="1135" t="s">
        <v>76</v>
      </c>
      <c r="D109" s="1135" t="s">
        <v>1009</v>
      </c>
      <c r="E109" s="1136" t="s">
        <v>2671</v>
      </c>
      <c r="F109" s="1136" t="s">
        <v>2671</v>
      </c>
      <c r="G109" s="1136"/>
    </row>
    <row r="110" spans="1:7">
      <c r="A110" s="1140">
        <f t="shared" si="1"/>
        <v>104</v>
      </c>
      <c r="B110" s="1139" t="s">
        <v>3093</v>
      </c>
      <c r="C110" s="1135" t="s">
        <v>62</v>
      </c>
      <c r="D110" s="1135" t="s">
        <v>1009</v>
      </c>
      <c r="E110" s="1136" t="s">
        <v>2671</v>
      </c>
      <c r="F110" s="1136" t="s">
        <v>2671</v>
      </c>
      <c r="G110" s="1136"/>
    </row>
    <row r="111" spans="1:7">
      <c r="A111" s="1140">
        <f t="shared" si="1"/>
        <v>105</v>
      </c>
      <c r="B111" s="1135" t="s">
        <v>2963</v>
      </c>
      <c r="C111" s="1135" t="s">
        <v>90</v>
      </c>
      <c r="D111" s="1135" t="s">
        <v>1009</v>
      </c>
      <c r="E111" s="1136" t="s">
        <v>2671</v>
      </c>
      <c r="F111" s="1136" t="s">
        <v>2671</v>
      </c>
      <c r="G111" s="1136"/>
    </row>
    <row r="112" spans="1:7">
      <c r="A112" s="1140">
        <f t="shared" si="1"/>
        <v>106</v>
      </c>
      <c r="B112" s="1139" t="s">
        <v>3108</v>
      </c>
      <c r="C112" s="1135" t="s">
        <v>62</v>
      </c>
      <c r="D112" s="1135" t="s">
        <v>1009</v>
      </c>
      <c r="E112" s="1136" t="s">
        <v>2671</v>
      </c>
      <c r="F112" s="1136" t="s">
        <v>2671</v>
      </c>
      <c r="G112" s="1136"/>
    </row>
    <row r="113" spans="1:7">
      <c r="A113" s="1140">
        <f t="shared" si="1"/>
        <v>107</v>
      </c>
      <c r="B113" s="1135" t="s">
        <v>2965</v>
      </c>
      <c r="C113" s="1135" t="s">
        <v>1269</v>
      </c>
      <c r="D113" s="1135" t="s">
        <v>1009</v>
      </c>
      <c r="E113" s="1136" t="s">
        <v>2671</v>
      </c>
      <c r="F113" s="1136" t="s">
        <v>2671</v>
      </c>
      <c r="G113" s="1136"/>
    </row>
    <row r="114" spans="1:7">
      <c r="A114" s="1140">
        <f t="shared" si="1"/>
        <v>108</v>
      </c>
      <c r="B114" s="1139" t="s">
        <v>3135</v>
      </c>
      <c r="C114" s="1135" t="s">
        <v>249</v>
      </c>
      <c r="D114" s="1135" t="s">
        <v>1009</v>
      </c>
      <c r="E114" s="1136" t="s">
        <v>2671</v>
      </c>
      <c r="F114" s="1136" t="s">
        <v>2671</v>
      </c>
      <c r="G114" s="1136"/>
    </row>
    <row r="115" spans="1:7">
      <c r="A115" s="1140">
        <f t="shared" si="1"/>
        <v>109</v>
      </c>
      <c r="B115" s="1135" t="s">
        <v>2967</v>
      </c>
      <c r="C115" s="1135" t="s">
        <v>1361</v>
      </c>
      <c r="D115" s="1135" t="s">
        <v>1009</v>
      </c>
      <c r="E115" s="1136" t="s">
        <v>3318</v>
      </c>
      <c r="F115" s="1136" t="s">
        <v>3318</v>
      </c>
      <c r="G115" s="1136"/>
    </row>
    <row r="116" spans="1:7">
      <c r="A116" s="1140">
        <f t="shared" si="1"/>
        <v>110</v>
      </c>
      <c r="B116" s="1135" t="s">
        <v>2969</v>
      </c>
      <c r="C116" s="1135" t="s">
        <v>1277</v>
      </c>
      <c r="D116" s="1135"/>
      <c r="E116" s="1136"/>
      <c r="F116" s="1136"/>
      <c r="G116" s="1136"/>
    </row>
    <row r="117" spans="1:7">
      <c r="A117" s="1141">
        <f t="shared" si="1"/>
        <v>111</v>
      </c>
      <c r="B117" s="1135" t="s">
        <v>2971</v>
      </c>
      <c r="C117" s="1135" t="s">
        <v>1269</v>
      </c>
      <c r="D117" s="1135" t="s">
        <v>1009</v>
      </c>
      <c r="E117" s="1136" t="s">
        <v>2671</v>
      </c>
      <c r="F117" s="1136" t="s">
        <v>2671</v>
      </c>
      <c r="G117" s="1136"/>
    </row>
    <row r="118" spans="1:7">
      <c r="A118" s="1141">
        <f t="shared" si="1"/>
        <v>112</v>
      </c>
      <c r="B118" s="1135" t="s">
        <v>2973</v>
      </c>
      <c r="C118" s="1135" t="s">
        <v>53</v>
      </c>
      <c r="D118" s="1135" t="s">
        <v>1009</v>
      </c>
      <c r="E118" s="1136" t="s">
        <v>2671</v>
      </c>
      <c r="F118" s="1136" t="s">
        <v>2671</v>
      </c>
      <c r="G118" s="1136" t="s">
        <v>3320</v>
      </c>
    </row>
    <row r="119" spans="1:7">
      <c r="A119" s="1141">
        <f t="shared" si="1"/>
        <v>113</v>
      </c>
      <c r="B119" s="1135" t="s">
        <v>2974</v>
      </c>
      <c r="C119" s="1135" t="s">
        <v>1319</v>
      </c>
      <c r="D119" s="1135" t="s">
        <v>1009</v>
      </c>
      <c r="E119" s="1136" t="s">
        <v>2671</v>
      </c>
      <c r="F119" s="1136" t="s">
        <v>2671</v>
      </c>
      <c r="G119" s="1136"/>
    </row>
    <row r="120" spans="1:7">
      <c r="A120" s="1140">
        <f t="shared" si="1"/>
        <v>114</v>
      </c>
      <c r="B120" s="1139" t="s">
        <v>3109</v>
      </c>
      <c r="C120" s="1135" t="s">
        <v>76</v>
      </c>
      <c r="D120" s="1135" t="s">
        <v>1009</v>
      </c>
      <c r="E120" s="1136" t="s">
        <v>2671</v>
      </c>
      <c r="F120" s="1136" t="s">
        <v>2671</v>
      </c>
      <c r="G120" s="1136"/>
    </row>
    <row r="121" spans="1:7">
      <c r="A121" s="1141">
        <f t="shared" si="1"/>
        <v>115</v>
      </c>
      <c r="B121" s="1135" t="s">
        <v>2976</v>
      </c>
      <c r="C121" s="1135" t="s">
        <v>1269</v>
      </c>
      <c r="D121" s="1135" t="s">
        <v>1009</v>
      </c>
      <c r="E121" s="1136" t="s">
        <v>2671</v>
      </c>
      <c r="F121" s="1136" t="s">
        <v>2671</v>
      </c>
      <c r="G121" s="1136"/>
    </row>
    <row r="122" spans="1:7">
      <c r="A122" s="1140">
        <f t="shared" si="1"/>
        <v>116</v>
      </c>
      <c r="B122" s="1139" t="s">
        <v>3134</v>
      </c>
      <c r="C122" s="1135" t="s">
        <v>62</v>
      </c>
      <c r="D122" s="1135" t="s">
        <v>1009</v>
      </c>
      <c r="E122" s="1136" t="s">
        <v>2671</v>
      </c>
      <c r="F122" s="1136" t="s">
        <v>2671</v>
      </c>
      <c r="G122" s="1136"/>
    </row>
    <row r="123" spans="1:7">
      <c r="A123" s="1140">
        <f t="shared" si="1"/>
        <v>117</v>
      </c>
      <c r="B123" s="1135" t="s">
        <v>2978</v>
      </c>
      <c r="C123" s="1135" t="s">
        <v>1995</v>
      </c>
      <c r="D123" s="1135"/>
      <c r="E123" s="1136"/>
      <c r="F123" s="1136"/>
      <c r="G123" s="1136"/>
    </row>
    <row r="124" spans="1:7">
      <c r="A124" s="1141">
        <f t="shared" si="1"/>
        <v>118</v>
      </c>
      <c r="B124" s="1135" t="s">
        <v>2387</v>
      </c>
      <c r="C124" s="1135" t="s">
        <v>1935</v>
      </c>
      <c r="D124" s="1135" t="s">
        <v>1009</v>
      </c>
      <c r="E124" s="1136" t="s">
        <v>2671</v>
      </c>
      <c r="F124" s="1136" t="s">
        <v>2671</v>
      </c>
      <c r="G124" s="1136"/>
    </row>
    <row r="125" spans="1:7">
      <c r="A125" s="1141">
        <f t="shared" si="1"/>
        <v>119</v>
      </c>
      <c r="B125" s="1139" t="s">
        <v>3197</v>
      </c>
      <c r="C125" s="1135" t="s">
        <v>76</v>
      </c>
      <c r="D125" s="1135" t="s">
        <v>1009</v>
      </c>
      <c r="E125" s="1136" t="s">
        <v>3318</v>
      </c>
      <c r="F125" s="1136"/>
      <c r="G125" s="1136" t="s">
        <v>3316</v>
      </c>
    </row>
    <row r="126" spans="1:7">
      <c r="A126" s="1140">
        <f t="shared" si="1"/>
        <v>120</v>
      </c>
      <c r="B126" s="1135" t="s">
        <v>2388</v>
      </c>
      <c r="C126" s="1135" t="s">
        <v>1269</v>
      </c>
      <c r="D126" s="1135"/>
      <c r="E126" s="1136"/>
      <c r="F126" s="1136"/>
      <c r="G126" s="1136"/>
    </row>
    <row r="127" spans="1:7">
      <c r="A127" s="1140">
        <f t="shared" si="1"/>
        <v>121</v>
      </c>
      <c r="B127" s="1135" t="s">
        <v>2981</v>
      </c>
      <c r="C127" s="1135" t="s">
        <v>1988</v>
      </c>
      <c r="D127" s="1135" t="s">
        <v>22</v>
      </c>
      <c r="E127" s="1136"/>
      <c r="F127" s="1136"/>
      <c r="G127" s="1136"/>
    </row>
    <row r="128" spans="1:7">
      <c r="A128" s="1140">
        <f t="shared" si="1"/>
        <v>122</v>
      </c>
      <c r="B128" s="1135" t="s">
        <v>2984</v>
      </c>
      <c r="C128" s="1135" t="s">
        <v>2023</v>
      </c>
      <c r="D128" s="1135"/>
      <c r="E128" s="1136"/>
      <c r="F128" s="1136"/>
      <c r="G128" s="1136"/>
    </row>
    <row r="129" spans="1:7">
      <c r="A129" s="1140">
        <f t="shared" si="1"/>
        <v>123</v>
      </c>
      <c r="B129" s="1135" t="s">
        <v>2986</v>
      </c>
      <c r="C129" s="1135" t="s">
        <v>1319</v>
      </c>
      <c r="D129" s="1135"/>
      <c r="E129" s="1136"/>
      <c r="F129" s="1136"/>
      <c r="G129" s="1136"/>
    </row>
    <row r="130" spans="1:7">
      <c r="A130" s="1140">
        <f t="shared" si="1"/>
        <v>124</v>
      </c>
      <c r="B130" s="1135" t="s">
        <v>2988</v>
      </c>
      <c r="C130" s="1135" t="s">
        <v>1277</v>
      </c>
      <c r="D130" s="1135" t="s">
        <v>1009</v>
      </c>
      <c r="E130" s="1136" t="s">
        <v>2671</v>
      </c>
      <c r="F130" s="1136"/>
      <c r="G130" s="1136" t="s">
        <v>3317</v>
      </c>
    </row>
    <row r="131" spans="1:7">
      <c r="A131" s="1140">
        <f t="shared" si="1"/>
        <v>125</v>
      </c>
      <c r="B131" s="1135" t="s">
        <v>2990</v>
      </c>
      <c r="C131" s="1135" t="s">
        <v>2023</v>
      </c>
      <c r="D131" s="1135"/>
      <c r="E131" s="1136"/>
      <c r="F131" s="1136"/>
      <c r="G131" s="1136"/>
    </row>
    <row r="132" spans="1:7">
      <c r="A132" s="1140">
        <f t="shared" si="1"/>
        <v>126</v>
      </c>
      <c r="B132" s="1135" t="s">
        <v>2992</v>
      </c>
      <c r="C132" s="1135" t="s">
        <v>1988</v>
      </c>
      <c r="D132" s="1135"/>
      <c r="E132" s="1136"/>
      <c r="F132" s="1136"/>
      <c r="G132" s="1136"/>
    </row>
    <row r="133" spans="1:7">
      <c r="A133" s="1140">
        <f t="shared" si="1"/>
        <v>127</v>
      </c>
      <c r="B133" s="1135" t="s">
        <v>2994</v>
      </c>
      <c r="C133" s="1135" t="s">
        <v>1269</v>
      </c>
      <c r="D133" s="1135" t="s">
        <v>1009</v>
      </c>
      <c r="E133" s="1136"/>
      <c r="F133" s="1136"/>
      <c r="G133" s="1136"/>
    </row>
    <row r="134" spans="1:7">
      <c r="A134" s="1140">
        <f t="shared" si="1"/>
        <v>128</v>
      </c>
      <c r="B134" s="1135" t="s">
        <v>2995</v>
      </c>
      <c r="C134" s="1135" t="s">
        <v>1269</v>
      </c>
      <c r="D134" s="1135" t="s">
        <v>1009</v>
      </c>
      <c r="E134" s="1136" t="s">
        <v>2671</v>
      </c>
      <c r="F134" s="1136" t="s">
        <v>2671</v>
      </c>
      <c r="G134" s="1136"/>
    </row>
    <row r="135" spans="1:7">
      <c r="A135" s="1140">
        <f t="shared" si="1"/>
        <v>129</v>
      </c>
      <c r="B135" s="1135" t="s">
        <v>2447</v>
      </c>
      <c r="C135" s="1135" t="s">
        <v>53</v>
      </c>
      <c r="D135" s="1135" t="s">
        <v>1009</v>
      </c>
      <c r="E135" s="1136"/>
      <c r="F135" s="1136"/>
      <c r="G135" s="1136"/>
    </row>
    <row r="136" spans="1:7">
      <c r="A136" s="1140">
        <f t="shared" ref="A136:A199" si="2">A135+1</f>
        <v>130</v>
      </c>
      <c r="B136" s="1135" t="s">
        <v>2996</v>
      </c>
      <c r="C136" s="1135" t="s">
        <v>915</v>
      </c>
      <c r="D136" s="1135" t="s">
        <v>1009</v>
      </c>
      <c r="E136" s="1136" t="s">
        <v>2671</v>
      </c>
      <c r="F136" s="1136" t="s">
        <v>2671</v>
      </c>
      <c r="G136" s="1136"/>
    </row>
    <row r="137" spans="1:7">
      <c r="A137" s="1140">
        <f t="shared" si="2"/>
        <v>131</v>
      </c>
      <c r="B137" s="1135" t="s">
        <v>2450</v>
      </c>
      <c r="C137" s="1135" t="s">
        <v>76</v>
      </c>
      <c r="D137" s="1135" t="s">
        <v>1009</v>
      </c>
      <c r="E137" s="1136" t="s">
        <v>2671</v>
      </c>
      <c r="F137" s="1136" t="s">
        <v>2671</v>
      </c>
      <c r="G137" s="1136"/>
    </row>
    <row r="138" spans="1:7">
      <c r="A138" s="1140">
        <f t="shared" si="2"/>
        <v>132</v>
      </c>
      <c r="B138" s="1135" t="s">
        <v>2997</v>
      </c>
      <c r="C138" s="1135" t="s">
        <v>1269</v>
      </c>
      <c r="D138" s="1135" t="s">
        <v>1009</v>
      </c>
      <c r="E138" s="1136" t="s">
        <v>2671</v>
      </c>
      <c r="F138" s="1136" t="s">
        <v>2671</v>
      </c>
      <c r="G138" s="1136"/>
    </row>
    <row r="139" spans="1:7">
      <c r="A139" s="1140">
        <f t="shared" si="2"/>
        <v>133</v>
      </c>
      <c r="B139" s="1135" t="s">
        <v>2378</v>
      </c>
      <c r="C139" s="1135" t="s">
        <v>76</v>
      </c>
      <c r="D139" s="1135" t="s">
        <v>1009</v>
      </c>
      <c r="E139" s="1136" t="s">
        <v>2671</v>
      </c>
      <c r="F139" s="1136" t="s">
        <v>2671</v>
      </c>
      <c r="G139" s="1136"/>
    </row>
    <row r="140" spans="1:7">
      <c r="A140" s="1140">
        <f t="shared" si="2"/>
        <v>134</v>
      </c>
      <c r="B140" s="1135" t="s">
        <v>2453</v>
      </c>
      <c r="C140" s="1135" t="s">
        <v>62</v>
      </c>
      <c r="D140" s="1135" t="s">
        <v>1009</v>
      </c>
      <c r="E140" s="1136" t="s">
        <v>2671</v>
      </c>
      <c r="F140" s="1136" t="s">
        <v>2671</v>
      </c>
      <c r="G140" s="1136"/>
    </row>
    <row r="141" spans="1:7">
      <c r="A141" s="1140">
        <f t="shared" si="2"/>
        <v>135</v>
      </c>
      <c r="B141" s="1135" t="s">
        <v>2379</v>
      </c>
      <c r="C141" s="1135" t="s">
        <v>76</v>
      </c>
      <c r="D141" s="1135" t="s">
        <v>1009</v>
      </c>
      <c r="E141" s="1136" t="s">
        <v>2671</v>
      </c>
      <c r="F141" s="1136" t="s">
        <v>2671</v>
      </c>
      <c r="G141" s="1136"/>
    </row>
    <row r="142" spans="1:7">
      <c r="A142" s="1140">
        <f t="shared" si="2"/>
        <v>136</v>
      </c>
      <c r="B142" s="1135" t="s">
        <v>2998</v>
      </c>
      <c r="C142" s="1135" t="s">
        <v>1277</v>
      </c>
      <c r="D142" s="1135" t="s">
        <v>1009</v>
      </c>
      <c r="E142" s="1136" t="s">
        <v>2671</v>
      </c>
      <c r="F142" s="1136" t="s">
        <v>2671</v>
      </c>
      <c r="G142" s="1136"/>
    </row>
    <row r="143" spans="1:7">
      <c r="A143" s="1140">
        <f t="shared" si="2"/>
        <v>137</v>
      </c>
      <c r="B143" s="1135" t="s">
        <v>2377</v>
      </c>
      <c r="C143" s="1135" t="s">
        <v>76</v>
      </c>
      <c r="D143" s="1135" t="s">
        <v>1009</v>
      </c>
      <c r="E143" s="1136" t="s">
        <v>2671</v>
      </c>
      <c r="F143" s="1136" t="s">
        <v>2671</v>
      </c>
      <c r="G143" s="1136"/>
    </row>
    <row r="144" spans="1:7">
      <c r="A144" s="1140">
        <f t="shared" si="2"/>
        <v>138</v>
      </c>
      <c r="B144" s="1135" t="s">
        <v>2999</v>
      </c>
      <c r="C144" s="1135" t="s">
        <v>1277</v>
      </c>
      <c r="D144" s="1135"/>
      <c r="E144" s="1136"/>
      <c r="F144" s="1136"/>
      <c r="G144" s="1136"/>
    </row>
    <row r="145" spans="1:7">
      <c r="A145" s="1140">
        <f t="shared" si="2"/>
        <v>139</v>
      </c>
      <c r="B145" s="1135" t="s">
        <v>2458</v>
      </c>
      <c r="C145" s="1135" t="s">
        <v>76</v>
      </c>
      <c r="D145" s="1135"/>
      <c r="E145" s="1136"/>
      <c r="F145" s="1136"/>
      <c r="G145" s="1136"/>
    </row>
    <row r="146" spans="1:7">
      <c r="A146" s="1140">
        <f t="shared" si="2"/>
        <v>140</v>
      </c>
      <c r="B146" s="1135" t="s">
        <v>3000</v>
      </c>
      <c r="C146" s="1135" t="s">
        <v>1319</v>
      </c>
      <c r="D146" s="1135"/>
      <c r="E146" s="1136"/>
      <c r="F146" s="1136"/>
      <c r="G146" s="1136"/>
    </row>
    <row r="147" spans="1:7">
      <c r="A147" s="1140">
        <f t="shared" si="2"/>
        <v>141</v>
      </c>
      <c r="B147" s="1135" t="s">
        <v>2461</v>
      </c>
      <c r="C147" s="1135" t="s">
        <v>62</v>
      </c>
      <c r="D147" s="1135"/>
      <c r="E147" s="1136"/>
      <c r="F147" s="1136"/>
      <c r="G147" s="1136"/>
    </row>
    <row r="148" spans="1:7">
      <c r="A148" s="1140">
        <f t="shared" si="2"/>
        <v>142</v>
      </c>
      <c r="B148" s="1135" t="s">
        <v>2462</v>
      </c>
      <c r="C148" s="1135" t="s">
        <v>53</v>
      </c>
      <c r="D148" s="1135"/>
      <c r="E148" s="1136"/>
      <c r="F148" s="1136"/>
      <c r="G148" s="1136"/>
    </row>
    <row r="149" spans="1:7">
      <c r="A149" s="1140">
        <f t="shared" si="2"/>
        <v>143</v>
      </c>
      <c r="B149" s="1135" t="s">
        <v>3001</v>
      </c>
      <c r="C149" s="1135" t="s">
        <v>1361</v>
      </c>
      <c r="D149" s="1135"/>
      <c r="E149" s="1136"/>
      <c r="F149" s="1136"/>
      <c r="G149" s="1136"/>
    </row>
    <row r="150" spans="1:7">
      <c r="A150" s="1140">
        <f t="shared" si="2"/>
        <v>144</v>
      </c>
      <c r="B150" s="1135" t="s">
        <v>2464</v>
      </c>
      <c r="C150" s="1135" t="s">
        <v>76</v>
      </c>
      <c r="D150" s="1135"/>
      <c r="E150" s="1136"/>
      <c r="F150" s="1136"/>
      <c r="G150" s="1136"/>
    </row>
    <row r="151" spans="1:7">
      <c r="A151" s="1140">
        <f t="shared" si="2"/>
        <v>145</v>
      </c>
      <c r="B151" s="1135" t="s">
        <v>2465</v>
      </c>
      <c r="C151" s="1135" t="s">
        <v>76</v>
      </c>
      <c r="D151" s="1135"/>
      <c r="E151" s="1136"/>
      <c r="F151" s="1136"/>
      <c r="G151" s="1136"/>
    </row>
    <row r="152" spans="1:7">
      <c r="A152" s="1140">
        <f t="shared" si="2"/>
        <v>146</v>
      </c>
      <c r="B152" s="1135" t="s">
        <v>3002</v>
      </c>
      <c r="C152" s="1135" t="s">
        <v>1269</v>
      </c>
      <c r="D152" s="1135"/>
      <c r="E152" s="1136"/>
      <c r="F152" s="1136"/>
      <c r="G152" s="1136"/>
    </row>
    <row r="153" spans="1:7">
      <c r="A153" s="1140">
        <f t="shared" si="2"/>
        <v>147</v>
      </c>
      <c r="B153" s="1135" t="s">
        <v>2467</v>
      </c>
      <c r="C153" s="1135" t="s">
        <v>62</v>
      </c>
      <c r="D153" s="1135"/>
      <c r="E153" s="1136"/>
      <c r="F153" s="1136"/>
      <c r="G153" s="1136"/>
    </row>
    <row r="154" spans="1:7">
      <c r="A154" s="1140">
        <f t="shared" si="2"/>
        <v>148</v>
      </c>
      <c r="B154" s="1135" t="s">
        <v>3003</v>
      </c>
      <c r="C154" s="1138" t="s">
        <v>1277</v>
      </c>
      <c r="D154" s="1138"/>
      <c r="E154" s="1136"/>
      <c r="F154" s="1136"/>
      <c r="G154" s="1136"/>
    </row>
    <row r="155" spans="1:7">
      <c r="A155" s="1140">
        <f t="shared" si="2"/>
        <v>149</v>
      </c>
      <c r="B155" s="1135" t="s">
        <v>3119</v>
      </c>
      <c r="C155" s="1138" t="s">
        <v>1977</v>
      </c>
      <c r="D155" s="1138"/>
      <c r="E155" s="1136"/>
      <c r="F155" s="1136"/>
      <c r="G155" s="1136"/>
    </row>
    <row r="156" spans="1:7">
      <c r="A156" s="1140">
        <f t="shared" si="2"/>
        <v>150</v>
      </c>
      <c r="B156" s="1135" t="s">
        <v>3120</v>
      </c>
      <c r="C156" s="1135" t="s">
        <v>2197</v>
      </c>
      <c r="D156" s="1135"/>
      <c r="E156" s="1136"/>
      <c r="F156" s="1136"/>
      <c r="G156" s="1136"/>
    </row>
    <row r="157" spans="1:7">
      <c r="A157" s="1140">
        <f t="shared" si="2"/>
        <v>151</v>
      </c>
      <c r="B157" s="1135" t="s">
        <v>3121</v>
      </c>
      <c r="C157" s="1135" t="s">
        <v>3222</v>
      </c>
      <c r="D157" s="1135"/>
      <c r="E157" s="1136"/>
      <c r="F157" s="1136"/>
      <c r="G157" s="1136"/>
    </row>
    <row r="158" spans="1:7">
      <c r="A158" s="1140">
        <f t="shared" si="2"/>
        <v>152</v>
      </c>
      <c r="B158" s="1135" t="s">
        <v>3122</v>
      </c>
      <c r="C158" s="1135" t="s">
        <v>2023</v>
      </c>
      <c r="D158" s="1135" t="s">
        <v>22</v>
      </c>
      <c r="E158" s="1136"/>
      <c r="F158" s="1136"/>
      <c r="G158" s="1136"/>
    </row>
    <row r="159" spans="1:7">
      <c r="A159" s="1140">
        <f t="shared" si="2"/>
        <v>153</v>
      </c>
      <c r="B159" s="1135" t="s">
        <v>3123</v>
      </c>
      <c r="C159" s="1135" t="s">
        <v>3223</v>
      </c>
      <c r="D159" s="1135"/>
      <c r="E159" s="1136"/>
      <c r="F159" s="1136"/>
      <c r="G159" s="1136"/>
    </row>
    <row r="160" spans="1:7">
      <c r="A160" s="1140">
        <f t="shared" si="2"/>
        <v>154</v>
      </c>
      <c r="B160" s="1135" t="s">
        <v>3124</v>
      </c>
      <c r="C160" s="1138" t="s">
        <v>1977</v>
      </c>
      <c r="D160" s="1138" t="s">
        <v>1009</v>
      </c>
      <c r="E160" s="1136" t="s">
        <v>2671</v>
      </c>
      <c r="F160" s="1136" t="s">
        <v>2671</v>
      </c>
      <c r="G160" s="1136"/>
    </row>
    <row r="161" spans="1:7">
      <c r="A161" s="1140">
        <f t="shared" si="2"/>
        <v>155</v>
      </c>
      <c r="B161" s="1135" t="s">
        <v>3125</v>
      </c>
      <c r="C161" s="1135" t="s">
        <v>2197</v>
      </c>
      <c r="D161" s="1135" t="s">
        <v>1009</v>
      </c>
      <c r="E161" s="1136" t="s">
        <v>2671</v>
      </c>
      <c r="F161" s="1136" t="s">
        <v>2671</v>
      </c>
      <c r="G161" s="1136"/>
    </row>
    <row r="162" spans="1:7">
      <c r="A162" s="1140">
        <f t="shared" si="2"/>
        <v>156</v>
      </c>
      <c r="B162" s="1135" t="s">
        <v>3117</v>
      </c>
      <c r="C162" s="1135" t="s">
        <v>3151</v>
      </c>
      <c r="D162" s="1135" t="s">
        <v>1009</v>
      </c>
      <c r="E162" s="1136" t="s">
        <v>2671</v>
      </c>
      <c r="F162" s="1136" t="s">
        <v>2671</v>
      </c>
      <c r="G162" s="1136"/>
    </row>
    <row r="163" spans="1:7">
      <c r="A163" s="1140">
        <f t="shared" si="2"/>
        <v>157</v>
      </c>
      <c r="B163" s="1135" t="s">
        <v>3118</v>
      </c>
      <c r="C163" s="1135" t="s">
        <v>76</v>
      </c>
      <c r="D163" s="1135" t="s">
        <v>1009</v>
      </c>
      <c r="E163" s="1136" t="s">
        <v>2671</v>
      </c>
      <c r="F163" s="1136" t="s">
        <v>2671</v>
      </c>
      <c r="G163" s="1136"/>
    </row>
    <row r="164" spans="1:7">
      <c r="A164" s="1140">
        <f t="shared" si="2"/>
        <v>158</v>
      </c>
      <c r="B164" s="1135" t="s">
        <v>3004</v>
      </c>
      <c r="C164" s="1135" t="s">
        <v>3132</v>
      </c>
      <c r="D164" s="1135" t="s">
        <v>1009</v>
      </c>
      <c r="E164" s="1136" t="s">
        <v>2671</v>
      </c>
      <c r="F164" s="1136" t="s">
        <v>2671</v>
      </c>
      <c r="G164" s="1136"/>
    </row>
    <row r="165" spans="1:7">
      <c r="A165" s="1140">
        <f t="shared" si="2"/>
        <v>159</v>
      </c>
      <c r="B165" s="1135" t="s">
        <v>2500</v>
      </c>
      <c r="C165" s="1135" t="s">
        <v>62</v>
      </c>
      <c r="D165" s="1135" t="s">
        <v>1009</v>
      </c>
      <c r="E165" s="1136" t="s">
        <v>2671</v>
      </c>
      <c r="F165" s="1136" t="s">
        <v>2671</v>
      </c>
      <c r="G165" s="1136"/>
    </row>
    <row r="166" spans="1:7">
      <c r="A166" s="1140">
        <f t="shared" si="2"/>
        <v>160</v>
      </c>
      <c r="B166" s="1135" t="s">
        <v>2501</v>
      </c>
      <c r="C166" s="1135" t="s">
        <v>62</v>
      </c>
      <c r="D166" s="1135" t="s">
        <v>1009</v>
      </c>
      <c r="E166" s="1136" t="s">
        <v>2671</v>
      </c>
      <c r="F166" s="1136" t="s">
        <v>2671</v>
      </c>
      <c r="G166" s="1136"/>
    </row>
    <row r="167" spans="1:7">
      <c r="A167" s="1140">
        <f t="shared" si="2"/>
        <v>161</v>
      </c>
      <c r="B167" s="1135" t="s">
        <v>2502</v>
      </c>
      <c r="C167" s="1135" t="s">
        <v>62</v>
      </c>
      <c r="D167" s="1135" t="s">
        <v>1009</v>
      </c>
      <c r="E167" s="1136" t="s">
        <v>2671</v>
      </c>
      <c r="F167" s="1136" t="s">
        <v>2671</v>
      </c>
      <c r="G167" s="1136"/>
    </row>
    <row r="168" spans="1:7">
      <c r="A168" s="1140">
        <f t="shared" si="2"/>
        <v>162</v>
      </c>
      <c r="B168" s="1135" t="s">
        <v>2503</v>
      </c>
      <c r="C168" s="1135" t="s">
        <v>76</v>
      </c>
      <c r="D168" s="1135" t="s">
        <v>1009</v>
      </c>
      <c r="E168" s="1136" t="s">
        <v>2671</v>
      </c>
      <c r="F168" s="1136" t="s">
        <v>2671</v>
      </c>
      <c r="G168" s="1136"/>
    </row>
    <row r="169" spans="1:7">
      <c r="A169" s="1140">
        <f t="shared" si="2"/>
        <v>163</v>
      </c>
      <c r="B169" s="1135" t="s">
        <v>2504</v>
      </c>
      <c r="C169" s="1135" t="s">
        <v>62</v>
      </c>
      <c r="D169" s="1135" t="s">
        <v>1009</v>
      </c>
      <c r="E169" s="1136" t="s">
        <v>2671</v>
      </c>
      <c r="F169" s="1136" t="s">
        <v>2671</v>
      </c>
      <c r="G169" s="1136"/>
    </row>
    <row r="170" spans="1:7">
      <c r="A170" s="1140">
        <f t="shared" si="2"/>
        <v>164</v>
      </c>
      <c r="B170" s="1135" t="s">
        <v>2505</v>
      </c>
      <c r="C170" s="1137" t="s">
        <v>249</v>
      </c>
      <c r="D170" s="1137" t="s">
        <v>1009</v>
      </c>
      <c r="E170" s="1136" t="s">
        <v>2671</v>
      </c>
      <c r="F170" s="1136" t="s">
        <v>2671</v>
      </c>
      <c r="G170" s="1136"/>
    </row>
    <row r="171" spans="1:7">
      <c r="A171" s="1140">
        <f t="shared" si="2"/>
        <v>165</v>
      </c>
      <c r="B171" s="1135" t="s">
        <v>3005</v>
      </c>
      <c r="C171" s="1135" t="s">
        <v>1953</v>
      </c>
      <c r="D171" s="1135" t="s">
        <v>1009</v>
      </c>
      <c r="E171" s="1136"/>
      <c r="F171" s="1136"/>
      <c r="G171" s="1136"/>
    </row>
    <row r="172" spans="1:7">
      <c r="A172" s="1140">
        <f t="shared" si="2"/>
        <v>166</v>
      </c>
      <c r="B172" s="1135" t="s">
        <v>2508</v>
      </c>
      <c r="C172" s="1135" t="s">
        <v>62</v>
      </c>
      <c r="D172" s="1135" t="s">
        <v>1009</v>
      </c>
      <c r="E172" s="1136" t="s">
        <v>2671</v>
      </c>
      <c r="F172" s="1136"/>
      <c r="G172" s="1136"/>
    </row>
    <row r="173" spans="1:7">
      <c r="A173" s="1140">
        <f t="shared" si="2"/>
        <v>167</v>
      </c>
      <c r="B173" s="1135" t="s">
        <v>3006</v>
      </c>
      <c r="C173" s="1135" t="s">
        <v>1402</v>
      </c>
      <c r="D173" s="1135"/>
      <c r="E173" s="1136"/>
      <c r="F173" s="1136"/>
      <c r="G173" s="1136"/>
    </row>
    <row r="174" spans="1:7">
      <c r="A174" s="1140">
        <f t="shared" si="2"/>
        <v>168</v>
      </c>
      <c r="B174" s="1135" t="s">
        <v>3007</v>
      </c>
      <c r="C174" s="1135" t="s">
        <v>90</v>
      </c>
      <c r="D174" s="1135"/>
      <c r="E174" s="1136"/>
      <c r="F174" s="1136"/>
      <c r="G174" s="1136"/>
    </row>
    <row r="175" spans="1:7">
      <c r="A175" s="1140">
        <f t="shared" si="2"/>
        <v>169</v>
      </c>
      <c r="B175" s="1135" t="s">
        <v>3008</v>
      </c>
      <c r="C175" s="1135" t="s">
        <v>90</v>
      </c>
      <c r="D175" s="1135" t="s">
        <v>1009</v>
      </c>
      <c r="E175" s="1136" t="s">
        <v>2671</v>
      </c>
      <c r="F175" s="1136" t="s">
        <v>2671</v>
      </c>
      <c r="G175" s="1136"/>
    </row>
    <row r="176" spans="1:7">
      <c r="A176" s="1140">
        <f t="shared" si="2"/>
        <v>170</v>
      </c>
      <c r="B176" s="1135" t="s">
        <v>2515</v>
      </c>
      <c r="C176" s="1135" t="s">
        <v>53</v>
      </c>
      <c r="D176" s="1135" t="s">
        <v>1009</v>
      </c>
      <c r="E176" s="1136" t="s">
        <v>2671</v>
      </c>
      <c r="F176" s="1136"/>
      <c r="G176" s="1136" t="s">
        <v>3319</v>
      </c>
    </row>
    <row r="177" spans="1:7">
      <c r="A177" s="1140">
        <f t="shared" si="2"/>
        <v>171</v>
      </c>
      <c r="B177" s="1135" t="s">
        <v>2516</v>
      </c>
      <c r="C177" s="1135" t="s">
        <v>62</v>
      </c>
      <c r="D177" s="1135" t="s">
        <v>1009</v>
      </c>
      <c r="E177" s="1136" t="s">
        <v>2671</v>
      </c>
      <c r="F177" s="1136" t="s">
        <v>3318</v>
      </c>
      <c r="G177" s="1136"/>
    </row>
    <row r="178" spans="1:7">
      <c r="A178" s="1140">
        <f t="shared" si="2"/>
        <v>172</v>
      </c>
      <c r="B178" s="1135" t="s">
        <v>3009</v>
      </c>
      <c r="C178" s="1135" t="s">
        <v>1361</v>
      </c>
      <c r="D178" s="1135" t="s">
        <v>22</v>
      </c>
      <c r="E178" s="1136"/>
      <c r="F178" s="1136"/>
      <c r="G178" s="1136"/>
    </row>
    <row r="179" spans="1:7">
      <c r="A179" s="1140">
        <f t="shared" si="2"/>
        <v>173</v>
      </c>
      <c r="B179" s="1135" t="s">
        <v>2519</v>
      </c>
      <c r="C179" s="1135" t="s">
        <v>62</v>
      </c>
      <c r="D179" s="1135" t="s">
        <v>1009</v>
      </c>
      <c r="E179" s="1136" t="s">
        <v>2671</v>
      </c>
      <c r="F179" s="1136"/>
      <c r="G179" s="1136"/>
    </row>
    <row r="180" spans="1:7">
      <c r="A180" s="1140">
        <f t="shared" si="2"/>
        <v>174</v>
      </c>
      <c r="B180" s="1135" t="s">
        <v>2520</v>
      </c>
      <c r="C180" s="1135" t="s">
        <v>62</v>
      </c>
      <c r="D180" s="1135" t="s">
        <v>1009</v>
      </c>
      <c r="E180" s="1136" t="s">
        <v>3318</v>
      </c>
      <c r="F180" s="1136"/>
      <c r="G180" s="1136"/>
    </row>
    <row r="181" spans="1:7">
      <c r="A181" s="1140">
        <f t="shared" si="2"/>
        <v>175</v>
      </c>
      <c r="B181" s="1135" t="s">
        <v>2521</v>
      </c>
      <c r="C181" s="1135" t="s">
        <v>76</v>
      </c>
      <c r="D181" s="1135" t="s">
        <v>1009</v>
      </c>
      <c r="E181" s="1136" t="s">
        <v>3318</v>
      </c>
      <c r="F181" s="1136"/>
      <c r="G181" s="1136"/>
    </row>
    <row r="182" spans="1:7">
      <c r="A182" s="1140">
        <f t="shared" si="2"/>
        <v>176</v>
      </c>
      <c r="B182" s="1135" t="s">
        <v>2522</v>
      </c>
      <c r="C182" s="1135" t="s">
        <v>62</v>
      </c>
      <c r="D182" s="1135" t="s">
        <v>1009</v>
      </c>
      <c r="E182" s="1136"/>
      <c r="F182" s="1136"/>
      <c r="G182" s="1136"/>
    </row>
    <row r="183" spans="1:7">
      <c r="A183" s="1140">
        <f t="shared" si="2"/>
        <v>177</v>
      </c>
      <c r="B183" s="1135" t="s">
        <v>3010</v>
      </c>
      <c r="C183" s="1135" t="s">
        <v>1361</v>
      </c>
      <c r="D183" s="1135" t="s">
        <v>1009</v>
      </c>
      <c r="E183" s="1136"/>
      <c r="F183" s="1136"/>
      <c r="G183" s="1136"/>
    </row>
    <row r="184" spans="1:7">
      <c r="A184" s="1140">
        <f t="shared" si="2"/>
        <v>178</v>
      </c>
      <c r="B184" s="1135" t="s">
        <v>2525</v>
      </c>
      <c r="C184" s="1135" t="s">
        <v>76</v>
      </c>
      <c r="D184" s="1135" t="s">
        <v>1009</v>
      </c>
      <c r="E184" s="1136" t="s">
        <v>2671</v>
      </c>
      <c r="F184" s="1136"/>
      <c r="G184" s="1136"/>
    </row>
    <row r="185" spans="1:7">
      <c r="A185" s="1140">
        <f t="shared" si="2"/>
        <v>179</v>
      </c>
      <c r="B185" s="1135" t="s">
        <v>2526</v>
      </c>
      <c r="C185" s="1135" t="s">
        <v>76</v>
      </c>
      <c r="D185" s="1135" t="s">
        <v>1009</v>
      </c>
      <c r="E185" s="1136" t="s">
        <v>2671</v>
      </c>
      <c r="F185" s="1136"/>
      <c r="G185" s="1136"/>
    </row>
    <row r="186" spans="1:7">
      <c r="A186" s="1140">
        <f t="shared" si="2"/>
        <v>180</v>
      </c>
      <c r="B186" s="1135" t="s">
        <v>3011</v>
      </c>
      <c r="C186" s="1135" t="s">
        <v>1319</v>
      </c>
      <c r="D186" s="1135" t="s">
        <v>1009</v>
      </c>
      <c r="E186" s="1136" t="s">
        <v>2671</v>
      </c>
      <c r="F186" s="1136" t="s">
        <v>3318</v>
      </c>
      <c r="G186" s="1136"/>
    </row>
    <row r="187" spans="1:7">
      <c r="A187" s="1140">
        <f t="shared" si="2"/>
        <v>181</v>
      </c>
      <c r="B187" s="1135" t="s">
        <v>2531</v>
      </c>
      <c r="C187" s="1135" t="s">
        <v>76</v>
      </c>
      <c r="D187" s="1135" t="s">
        <v>1009</v>
      </c>
      <c r="E187" s="1136" t="s">
        <v>2671</v>
      </c>
      <c r="F187" s="1136" t="s">
        <v>3318</v>
      </c>
      <c r="G187" s="1136"/>
    </row>
    <row r="188" spans="1:7">
      <c r="A188" s="1140">
        <f t="shared" si="2"/>
        <v>182</v>
      </c>
      <c r="B188" s="1135" t="s">
        <v>2532</v>
      </c>
      <c r="C188" s="1135" t="s">
        <v>76</v>
      </c>
      <c r="D188" s="1135" t="s">
        <v>1009</v>
      </c>
      <c r="E188" s="1136" t="s">
        <v>2671</v>
      </c>
      <c r="F188" s="1136" t="s">
        <v>3318</v>
      </c>
      <c r="G188" s="1136"/>
    </row>
    <row r="189" spans="1:7">
      <c r="A189" s="1140">
        <f t="shared" si="2"/>
        <v>183</v>
      </c>
      <c r="B189" s="1135" t="s">
        <v>3012</v>
      </c>
      <c r="C189" s="1135" t="s">
        <v>1269</v>
      </c>
      <c r="D189" s="1135" t="s">
        <v>1009</v>
      </c>
      <c r="E189" s="1136"/>
      <c r="F189" s="1136"/>
      <c r="G189" s="1136"/>
    </row>
    <row r="190" spans="1:7">
      <c r="A190" s="1140">
        <f t="shared" si="2"/>
        <v>184</v>
      </c>
      <c r="B190" s="1135" t="s">
        <v>2534</v>
      </c>
      <c r="C190" s="1135" t="s">
        <v>62</v>
      </c>
      <c r="D190" s="1135" t="s">
        <v>1009</v>
      </c>
      <c r="E190" s="1136" t="s">
        <v>2671</v>
      </c>
      <c r="F190" s="1136" t="s">
        <v>3318</v>
      </c>
      <c r="G190" s="1136"/>
    </row>
    <row r="191" spans="1:7">
      <c r="A191" s="1140">
        <f t="shared" si="2"/>
        <v>185</v>
      </c>
      <c r="B191" s="1135" t="s">
        <v>3013</v>
      </c>
      <c r="C191" s="1135" t="s">
        <v>2197</v>
      </c>
      <c r="D191" s="1135"/>
      <c r="E191" s="1136"/>
      <c r="F191" s="1136"/>
      <c r="G191" s="1136"/>
    </row>
    <row r="192" spans="1:7">
      <c r="A192" s="1140">
        <f t="shared" si="2"/>
        <v>186</v>
      </c>
      <c r="B192" s="1135" t="s">
        <v>3180</v>
      </c>
      <c r="C192" s="1135" t="s">
        <v>1319</v>
      </c>
      <c r="D192" s="1135"/>
      <c r="E192" s="1136"/>
      <c r="F192" s="1136"/>
      <c r="G192" s="1136"/>
    </row>
    <row r="193" spans="1:7">
      <c r="A193" s="1140">
        <f t="shared" si="2"/>
        <v>187</v>
      </c>
      <c r="B193" s="1135" t="s">
        <v>3143</v>
      </c>
      <c r="C193" s="1135" t="s">
        <v>76</v>
      </c>
      <c r="D193" s="1135"/>
      <c r="E193" s="1136"/>
      <c r="F193" s="1136"/>
      <c r="G193" s="1136"/>
    </row>
    <row r="194" spans="1:7">
      <c r="A194" s="1140">
        <f t="shared" si="2"/>
        <v>188</v>
      </c>
      <c r="B194" s="1135" t="s">
        <v>3181</v>
      </c>
      <c r="C194" s="1135" t="s">
        <v>1269</v>
      </c>
      <c r="D194" s="1135"/>
      <c r="E194" s="1136"/>
      <c r="F194" s="1136"/>
      <c r="G194" s="1136"/>
    </row>
    <row r="195" spans="1:7">
      <c r="A195" s="1140">
        <f t="shared" si="2"/>
        <v>189</v>
      </c>
      <c r="B195" s="1135" t="s">
        <v>3144</v>
      </c>
      <c r="C195" s="1135" t="s">
        <v>76</v>
      </c>
      <c r="D195" s="1135"/>
      <c r="E195" s="1136"/>
      <c r="F195" s="1136"/>
      <c r="G195" s="1136"/>
    </row>
    <row r="196" spans="1:7">
      <c r="A196" s="1140">
        <f t="shared" si="2"/>
        <v>190</v>
      </c>
      <c r="B196" s="1135" t="s">
        <v>3145</v>
      </c>
      <c r="C196" s="1135" t="s">
        <v>76</v>
      </c>
      <c r="D196" s="1135"/>
      <c r="E196" s="1136"/>
      <c r="F196" s="1136"/>
      <c r="G196" s="1136"/>
    </row>
    <row r="197" spans="1:7">
      <c r="A197" s="1140">
        <f t="shared" si="2"/>
        <v>191</v>
      </c>
      <c r="B197" s="1135" t="s">
        <v>3182</v>
      </c>
      <c r="C197" s="1135" t="s">
        <v>3146</v>
      </c>
      <c r="D197" s="1135"/>
      <c r="E197" s="1136"/>
      <c r="F197" s="1136"/>
      <c r="G197" s="1136"/>
    </row>
    <row r="198" spans="1:7">
      <c r="A198" s="1140">
        <f t="shared" si="2"/>
        <v>192</v>
      </c>
      <c r="B198" s="1135" t="s">
        <v>3147</v>
      </c>
      <c r="C198" s="1135" t="s">
        <v>62</v>
      </c>
      <c r="D198" s="1135"/>
      <c r="E198" s="1136"/>
      <c r="F198" s="1136"/>
      <c r="G198" s="1136"/>
    </row>
    <row r="199" spans="1:7">
      <c r="A199" s="1140">
        <f t="shared" si="2"/>
        <v>193</v>
      </c>
      <c r="B199" s="1135" t="s">
        <v>3148</v>
      </c>
      <c r="C199" s="1135" t="s">
        <v>76</v>
      </c>
      <c r="D199" s="1135"/>
      <c r="E199" s="1136"/>
      <c r="F199" s="1136"/>
      <c r="G199" s="1136"/>
    </row>
    <row r="200" spans="1:7">
      <c r="A200" s="1140">
        <f t="shared" ref="A200:A247" si="3">A199+1</f>
        <v>194</v>
      </c>
      <c r="B200" s="1135" t="s">
        <v>3149</v>
      </c>
      <c r="C200" s="1135" t="s">
        <v>53</v>
      </c>
      <c r="D200" s="1135"/>
      <c r="E200" s="1136"/>
      <c r="F200" s="1136"/>
      <c r="G200" s="1136"/>
    </row>
    <row r="201" spans="1:7">
      <c r="A201" s="1140">
        <f t="shared" si="3"/>
        <v>195</v>
      </c>
      <c r="B201" s="1135" t="s">
        <v>3150</v>
      </c>
      <c r="C201" s="1135" t="s">
        <v>76</v>
      </c>
      <c r="D201" s="1135"/>
      <c r="E201" s="1136"/>
      <c r="F201" s="1136"/>
      <c r="G201" s="1136"/>
    </row>
    <row r="202" spans="1:7">
      <c r="A202" s="1140">
        <f t="shared" si="3"/>
        <v>196</v>
      </c>
      <c r="B202" s="1135" t="s">
        <v>3014</v>
      </c>
      <c r="C202" s="1135" t="s">
        <v>1269</v>
      </c>
      <c r="D202" s="1135" t="s">
        <v>22</v>
      </c>
      <c r="E202" s="1136"/>
      <c r="F202" s="1136"/>
      <c r="G202" s="1136"/>
    </row>
    <row r="203" spans="1:7">
      <c r="A203" s="1140">
        <f t="shared" si="3"/>
        <v>197</v>
      </c>
      <c r="B203" s="1135" t="s">
        <v>2558</v>
      </c>
      <c r="C203" s="1135" t="s">
        <v>76</v>
      </c>
      <c r="D203" s="1135" t="s">
        <v>1009</v>
      </c>
      <c r="E203" s="1136"/>
      <c r="F203" s="1136"/>
      <c r="G203" s="1136"/>
    </row>
    <row r="204" spans="1:7">
      <c r="A204" s="1140">
        <f t="shared" si="3"/>
        <v>198</v>
      </c>
      <c r="B204" s="1135" t="s">
        <v>2559</v>
      </c>
      <c r="C204" s="1135" t="s">
        <v>62</v>
      </c>
      <c r="D204" s="1135" t="s">
        <v>1009</v>
      </c>
      <c r="E204" s="1136" t="s">
        <v>2671</v>
      </c>
      <c r="F204" s="1136"/>
      <c r="G204" s="1136"/>
    </row>
    <row r="205" spans="1:7">
      <c r="A205" s="1140">
        <f t="shared" si="3"/>
        <v>199</v>
      </c>
      <c r="B205" s="1135" t="s">
        <v>3015</v>
      </c>
      <c r="C205" s="1135" t="s">
        <v>1277</v>
      </c>
      <c r="D205" s="1135" t="s">
        <v>1009</v>
      </c>
      <c r="E205" s="1136" t="s">
        <v>2671</v>
      </c>
      <c r="F205" s="1136"/>
      <c r="G205" s="1136"/>
    </row>
    <row r="206" spans="1:7">
      <c r="A206" s="1140">
        <f t="shared" si="3"/>
        <v>200</v>
      </c>
      <c r="B206" s="1135" t="s">
        <v>3016</v>
      </c>
      <c r="C206" s="1135" t="s">
        <v>1269</v>
      </c>
      <c r="D206" s="1135" t="s">
        <v>1009</v>
      </c>
      <c r="E206" s="1136" t="s">
        <v>2671</v>
      </c>
      <c r="F206" s="1136"/>
      <c r="G206" s="1136"/>
    </row>
    <row r="207" spans="1:7">
      <c r="A207" s="1140">
        <f t="shared" si="3"/>
        <v>201</v>
      </c>
      <c r="B207" s="1135" t="s">
        <v>3017</v>
      </c>
      <c r="C207" s="1135" t="s">
        <v>1988</v>
      </c>
      <c r="D207" s="1135" t="s">
        <v>22</v>
      </c>
      <c r="E207" s="1136"/>
      <c r="F207" s="1136"/>
      <c r="G207" s="1136"/>
    </row>
    <row r="208" spans="1:7">
      <c r="A208" s="1140">
        <f t="shared" si="3"/>
        <v>202</v>
      </c>
      <c r="B208" s="1135" t="s">
        <v>3018</v>
      </c>
      <c r="C208" s="1135" t="s">
        <v>1988</v>
      </c>
      <c r="D208" s="1135" t="s">
        <v>22</v>
      </c>
      <c r="E208" s="1136"/>
      <c r="F208" s="1136"/>
      <c r="G208" s="1136"/>
    </row>
    <row r="209" spans="1:7">
      <c r="A209" s="1140">
        <f t="shared" si="3"/>
        <v>203</v>
      </c>
      <c r="B209" s="1135" t="s">
        <v>3019</v>
      </c>
      <c r="C209" s="1135" t="s">
        <v>1277</v>
      </c>
      <c r="D209" s="1135" t="s">
        <v>1009</v>
      </c>
      <c r="E209" s="1136"/>
      <c r="F209" s="1136"/>
      <c r="G209" s="1136"/>
    </row>
    <row r="210" spans="1:7">
      <c r="A210" s="1140">
        <f t="shared" si="3"/>
        <v>204</v>
      </c>
      <c r="B210" s="1135" t="s">
        <v>2569</v>
      </c>
      <c r="C210" s="1135" t="s">
        <v>76</v>
      </c>
      <c r="D210" s="1135" t="s">
        <v>1009</v>
      </c>
      <c r="E210" s="1136" t="s">
        <v>2671</v>
      </c>
      <c r="F210" s="1136" t="s">
        <v>2671</v>
      </c>
      <c r="G210" s="1136"/>
    </row>
    <row r="211" spans="1:7">
      <c r="A211" s="1140">
        <f t="shared" si="3"/>
        <v>205</v>
      </c>
      <c r="B211" s="1135" t="s">
        <v>2570</v>
      </c>
      <c r="C211" s="1135" t="s">
        <v>76</v>
      </c>
      <c r="D211" s="1135" t="s">
        <v>1009</v>
      </c>
      <c r="E211" s="1136" t="s">
        <v>2671</v>
      </c>
      <c r="F211" s="1136"/>
      <c r="G211" s="1136"/>
    </row>
    <row r="212" spans="1:7">
      <c r="A212" s="1140">
        <f t="shared" si="3"/>
        <v>206</v>
      </c>
      <c r="B212" s="1135" t="s">
        <v>3020</v>
      </c>
      <c r="C212" s="1135" t="s">
        <v>1277</v>
      </c>
      <c r="D212" s="1135"/>
      <c r="E212" s="1136"/>
      <c r="F212" s="1136"/>
      <c r="G212" s="1136"/>
    </row>
    <row r="213" spans="1:7">
      <c r="A213" s="1140">
        <f t="shared" si="3"/>
        <v>207</v>
      </c>
      <c r="B213" s="1135" t="s">
        <v>2573</v>
      </c>
      <c r="C213" s="1135" t="s">
        <v>76</v>
      </c>
      <c r="D213" s="1135" t="s">
        <v>1009</v>
      </c>
      <c r="E213" s="1136" t="s">
        <v>2671</v>
      </c>
      <c r="F213" s="1136"/>
      <c r="G213" s="1136"/>
    </row>
    <row r="214" spans="1:7">
      <c r="A214" s="1140">
        <f t="shared" si="3"/>
        <v>208</v>
      </c>
      <c r="B214" s="1135" t="s">
        <v>2574</v>
      </c>
      <c r="C214" s="1135" t="s">
        <v>62</v>
      </c>
      <c r="D214" s="1135" t="s">
        <v>1009</v>
      </c>
      <c r="E214" s="1136"/>
      <c r="F214" s="1136"/>
      <c r="G214" s="1136"/>
    </row>
    <row r="215" spans="1:7">
      <c r="A215" s="1140">
        <f t="shared" si="3"/>
        <v>209</v>
      </c>
      <c r="B215" s="1135" t="s">
        <v>3021</v>
      </c>
      <c r="C215" s="1135" t="s">
        <v>1319</v>
      </c>
      <c r="D215" s="1135" t="s">
        <v>22</v>
      </c>
      <c r="E215" s="1136"/>
      <c r="F215" s="1136"/>
      <c r="G215" s="1136"/>
    </row>
    <row r="216" spans="1:7">
      <c r="A216" s="1140">
        <f t="shared" si="3"/>
        <v>210</v>
      </c>
      <c r="B216" s="1135" t="s">
        <v>2577</v>
      </c>
      <c r="C216" s="1135" t="s">
        <v>62</v>
      </c>
      <c r="D216" s="1135" t="s">
        <v>1009</v>
      </c>
      <c r="E216" s="1136" t="s">
        <v>2671</v>
      </c>
      <c r="F216" s="1136" t="s">
        <v>2671</v>
      </c>
      <c r="G216" s="1136"/>
    </row>
    <row r="217" spans="1:7">
      <c r="A217" s="1140">
        <f t="shared" si="3"/>
        <v>211</v>
      </c>
      <c r="B217" s="1135" t="s">
        <v>2578</v>
      </c>
      <c r="C217" s="1135" t="s">
        <v>76</v>
      </c>
      <c r="D217" s="1135" t="s">
        <v>1009</v>
      </c>
      <c r="E217" s="1136"/>
      <c r="F217" s="1136"/>
      <c r="G217" s="1136"/>
    </row>
    <row r="218" spans="1:7">
      <c r="A218" s="1140">
        <f t="shared" si="3"/>
        <v>212</v>
      </c>
      <c r="B218" s="1135" t="s">
        <v>2579</v>
      </c>
      <c r="C218" s="1135" t="s">
        <v>76</v>
      </c>
      <c r="D218" s="1135"/>
      <c r="E218" s="1136"/>
      <c r="F218" s="1136"/>
      <c r="G218" s="1136"/>
    </row>
    <row r="219" spans="1:7">
      <c r="A219" s="1140">
        <f t="shared" si="3"/>
        <v>213</v>
      </c>
      <c r="B219" s="1135" t="s">
        <v>2580</v>
      </c>
      <c r="C219" s="1135" t="s">
        <v>76</v>
      </c>
      <c r="D219" s="1135" t="s">
        <v>1009</v>
      </c>
      <c r="E219" s="1136" t="s">
        <v>2671</v>
      </c>
      <c r="F219" s="1136" t="s">
        <v>2671</v>
      </c>
      <c r="G219" s="1136"/>
    </row>
    <row r="220" spans="1:7">
      <c r="A220" s="1140">
        <f t="shared" si="3"/>
        <v>214</v>
      </c>
      <c r="B220" s="1135" t="s">
        <v>3022</v>
      </c>
      <c r="C220" s="1135" t="s">
        <v>1277</v>
      </c>
      <c r="D220" s="1135" t="s">
        <v>1009</v>
      </c>
      <c r="E220" s="1136" t="s">
        <v>2671</v>
      </c>
      <c r="F220" s="1136" t="s">
        <v>2671</v>
      </c>
      <c r="G220" s="1136"/>
    </row>
    <row r="221" spans="1:7">
      <c r="A221" s="1140">
        <f t="shared" si="3"/>
        <v>215</v>
      </c>
      <c r="B221" s="1135" t="s">
        <v>3152</v>
      </c>
      <c r="C221" s="1135" t="s">
        <v>76</v>
      </c>
      <c r="D221" s="1135" t="s">
        <v>1009</v>
      </c>
      <c r="E221" s="1136" t="s">
        <v>2671</v>
      </c>
      <c r="F221" s="1136" t="s">
        <v>2671</v>
      </c>
      <c r="G221" s="1136"/>
    </row>
    <row r="222" spans="1:7">
      <c r="A222" s="1140">
        <f t="shared" si="3"/>
        <v>216</v>
      </c>
      <c r="B222" s="1135" t="s">
        <v>3153</v>
      </c>
      <c r="C222" s="1135" t="s">
        <v>62</v>
      </c>
      <c r="D222" s="1135" t="s">
        <v>1009</v>
      </c>
      <c r="E222" s="1136" t="s">
        <v>2671</v>
      </c>
      <c r="F222" s="1136" t="s">
        <v>2671</v>
      </c>
      <c r="G222" s="1136"/>
    </row>
    <row r="223" spans="1:7">
      <c r="A223" s="1140">
        <f t="shared" si="3"/>
        <v>217</v>
      </c>
      <c r="B223" s="1135" t="s">
        <v>3183</v>
      </c>
      <c r="C223" s="1135" t="s">
        <v>1277</v>
      </c>
      <c r="D223" s="1135" t="s">
        <v>1009</v>
      </c>
      <c r="E223" s="1136" t="s">
        <v>2671</v>
      </c>
      <c r="F223" s="1136" t="s">
        <v>2671</v>
      </c>
      <c r="G223" s="1136"/>
    </row>
    <row r="224" spans="1:7">
      <c r="A224" s="1140">
        <f t="shared" si="3"/>
        <v>218</v>
      </c>
      <c r="B224" s="1135" t="s">
        <v>3184</v>
      </c>
      <c r="C224" s="1135" t="s">
        <v>1319</v>
      </c>
      <c r="D224" s="1135" t="s">
        <v>1009</v>
      </c>
      <c r="E224" s="1136" t="s">
        <v>2671</v>
      </c>
      <c r="F224" s="1136" t="s">
        <v>2671</v>
      </c>
      <c r="G224" s="1136"/>
    </row>
    <row r="225" spans="1:7">
      <c r="A225" s="1140">
        <f t="shared" si="3"/>
        <v>219</v>
      </c>
      <c r="B225" s="1135" t="s">
        <v>3154</v>
      </c>
      <c r="C225" s="1135" t="s">
        <v>76</v>
      </c>
      <c r="D225" s="1135" t="s">
        <v>1009</v>
      </c>
      <c r="E225" s="1136" t="s">
        <v>2671</v>
      </c>
      <c r="F225" s="1136" t="s">
        <v>2671</v>
      </c>
      <c r="G225" s="1136"/>
    </row>
    <row r="226" spans="1:7">
      <c r="A226" s="1140">
        <f t="shared" si="3"/>
        <v>220</v>
      </c>
      <c r="B226" s="1135" t="s">
        <v>3155</v>
      </c>
      <c r="C226" s="1135" t="s">
        <v>76</v>
      </c>
      <c r="D226" s="1135" t="s">
        <v>1009</v>
      </c>
      <c r="E226" s="1136"/>
      <c r="F226" s="1136"/>
      <c r="G226" s="1136"/>
    </row>
    <row r="227" spans="1:7">
      <c r="A227" s="1140">
        <f t="shared" si="3"/>
        <v>221</v>
      </c>
      <c r="B227" s="1135" t="s">
        <v>3156</v>
      </c>
      <c r="C227" s="1135" t="s">
        <v>76</v>
      </c>
      <c r="D227" s="1135" t="s">
        <v>1009</v>
      </c>
      <c r="E227" s="1136" t="s">
        <v>2671</v>
      </c>
      <c r="F227" s="1136" t="s">
        <v>2671</v>
      </c>
      <c r="G227" s="1136"/>
    </row>
    <row r="228" spans="1:7">
      <c r="A228" s="1140">
        <f t="shared" si="3"/>
        <v>222</v>
      </c>
      <c r="B228" s="1135" t="s">
        <v>3185</v>
      </c>
      <c r="C228" s="1135" t="s">
        <v>1277</v>
      </c>
      <c r="D228" s="1135" t="s">
        <v>1009</v>
      </c>
      <c r="E228" s="1136"/>
      <c r="F228" s="1136"/>
      <c r="G228" s="1136"/>
    </row>
    <row r="229" spans="1:7">
      <c r="A229" s="1140">
        <f t="shared" si="3"/>
        <v>223</v>
      </c>
      <c r="B229" s="1135" t="s">
        <v>3157</v>
      </c>
      <c r="C229" s="1135" t="s">
        <v>53</v>
      </c>
      <c r="D229" s="1135" t="s">
        <v>1009</v>
      </c>
      <c r="E229" s="1136"/>
      <c r="F229" s="1136"/>
      <c r="G229" s="1136"/>
    </row>
    <row r="230" spans="1:7">
      <c r="A230" s="1140">
        <f t="shared" si="3"/>
        <v>224</v>
      </c>
      <c r="B230" s="1135" t="s">
        <v>3158</v>
      </c>
      <c r="C230" s="1135" t="s">
        <v>76</v>
      </c>
      <c r="D230" s="1135" t="s">
        <v>1009</v>
      </c>
      <c r="E230" s="1136" t="s">
        <v>2671</v>
      </c>
      <c r="F230" s="1136" t="s">
        <v>2671</v>
      </c>
      <c r="G230" s="1136"/>
    </row>
    <row r="231" spans="1:7">
      <c r="A231" s="1140">
        <f t="shared" si="3"/>
        <v>225</v>
      </c>
      <c r="B231" s="1135" t="s">
        <v>3159</v>
      </c>
      <c r="C231" s="1135" t="s">
        <v>76</v>
      </c>
      <c r="D231" s="1135" t="s">
        <v>1009</v>
      </c>
      <c r="E231" s="1136" t="s">
        <v>2671</v>
      </c>
      <c r="F231" s="1136" t="s">
        <v>2671</v>
      </c>
      <c r="G231" s="1136"/>
    </row>
    <row r="232" spans="1:7">
      <c r="A232" s="1140">
        <f t="shared" si="3"/>
        <v>226</v>
      </c>
      <c r="B232" s="1135" t="s">
        <v>3160</v>
      </c>
      <c r="C232" s="1135" t="s">
        <v>76</v>
      </c>
      <c r="D232" s="1135" t="s">
        <v>1009</v>
      </c>
      <c r="E232" s="1136" t="s">
        <v>2671</v>
      </c>
      <c r="F232" s="1136" t="s">
        <v>2671</v>
      </c>
      <c r="G232" s="1136"/>
    </row>
    <row r="233" spans="1:7">
      <c r="A233" s="1140">
        <f t="shared" si="3"/>
        <v>227</v>
      </c>
      <c r="B233" s="1135" t="s">
        <v>3186</v>
      </c>
      <c r="C233" s="1135" t="s">
        <v>1269</v>
      </c>
      <c r="D233" s="1135" t="s">
        <v>1009</v>
      </c>
      <c r="E233" s="1136" t="s">
        <v>2671</v>
      </c>
      <c r="F233" s="1136" t="s">
        <v>2671</v>
      </c>
      <c r="G233" s="1136"/>
    </row>
    <row r="234" spans="1:7">
      <c r="A234" s="1140">
        <f t="shared" si="3"/>
        <v>228</v>
      </c>
      <c r="B234" s="1135" t="s">
        <v>3161</v>
      </c>
      <c r="C234" s="1135" t="s">
        <v>76</v>
      </c>
      <c r="D234" s="1135" t="s">
        <v>1009</v>
      </c>
      <c r="E234" s="1136" t="s">
        <v>2671</v>
      </c>
      <c r="F234" s="1136" t="s">
        <v>2671</v>
      </c>
      <c r="G234" s="1136"/>
    </row>
    <row r="235" spans="1:7">
      <c r="A235" s="1140">
        <f t="shared" si="3"/>
        <v>229</v>
      </c>
      <c r="B235" s="1135" t="s">
        <v>3187</v>
      </c>
      <c r="C235" s="1135" t="s">
        <v>2212</v>
      </c>
      <c r="D235" s="1135"/>
      <c r="E235" s="1136"/>
      <c r="F235" s="1136"/>
      <c r="G235" s="1136"/>
    </row>
    <row r="236" spans="1:7">
      <c r="A236" s="1140">
        <f t="shared" si="3"/>
        <v>230</v>
      </c>
      <c r="B236" s="1135" t="s">
        <v>3188</v>
      </c>
      <c r="C236" s="1135" t="s">
        <v>2197</v>
      </c>
      <c r="D236" s="1135" t="s">
        <v>1009</v>
      </c>
      <c r="E236" s="1136"/>
      <c r="F236" s="1136"/>
      <c r="G236" s="1136"/>
    </row>
    <row r="237" spans="1:7">
      <c r="A237" s="1140">
        <f t="shared" si="3"/>
        <v>231</v>
      </c>
      <c r="B237" s="1135" t="s">
        <v>3261</v>
      </c>
      <c r="C237" s="1135" t="s">
        <v>76</v>
      </c>
      <c r="D237" s="1135"/>
      <c r="E237" s="1136"/>
      <c r="F237" s="1136"/>
      <c r="G237" s="1136"/>
    </row>
    <row r="238" spans="1:7">
      <c r="A238" s="1140">
        <f t="shared" si="3"/>
        <v>232</v>
      </c>
      <c r="B238" s="1135" t="s">
        <v>3262</v>
      </c>
      <c r="C238" s="1135" t="s">
        <v>76</v>
      </c>
      <c r="D238" s="1135"/>
      <c r="E238" s="1136"/>
      <c r="F238" s="1136"/>
      <c r="G238" s="1136"/>
    </row>
    <row r="239" spans="1:7">
      <c r="A239" s="1140">
        <f t="shared" si="3"/>
        <v>233</v>
      </c>
      <c r="B239" s="1135" t="s">
        <v>3263</v>
      </c>
      <c r="C239" s="1135" t="s">
        <v>76</v>
      </c>
      <c r="D239" s="1135"/>
      <c r="E239" s="1136"/>
      <c r="F239" s="1136"/>
      <c r="G239" s="1136"/>
    </row>
    <row r="240" spans="1:7">
      <c r="A240" s="1140">
        <f t="shared" si="3"/>
        <v>234</v>
      </c>
      <c r="B240" s="1135" t="s">
        <v>3189</v>
      </c>
      <c r="C240" s="1135" t="s">
        <v>2212</v>
      </c>
      <c r="D240" s="1135"/>
      <c r="E240" s="1136"/>
      <c r="F240" s="1136"/>
      <c r="G240" s="1136"/>
    </row>
    <row r="241" spans="1:7">
      <c r="A241" s="1140">
        <f t="shared" si="3"/>
        <v>235</v>
      </c>
      <c r="B241" s="1135" t="s">
        <v>3190</v>
      </c>
      <c r="C241" s="1135" t="s">
        <v>2197</v>
      </c>
      <c r="D241" s="1135"/>
      <c r="E241" s="1136"/>
      <c r="F241" s="1136"/>
      <c r="G241" s="1136"/>
    </row>
    <row r="242" spans="1:7">
      <c r="A242" s="1140">
        <f t="shared" si="3"/>
        <v>236</v>
      </c>
      <c r="B242" s="1135" t="s">
        <v>3191</v>
      </c>
      <c r="C242" s="1135" t="s">
        <v>1977</v>
      </c>
      <c r="D242" s="1135"/>
      <c r="E242" s="1136"/>
      <c r="F242" s="1136"/>
      <c r="G242" s="1136"/>
    </row>
    <row r="243" spans="1:7">
      <c r="A243" s="1140">
        <f t="shared" si="3"/>
        <v>237</v>
      </c>
      <c r="B243" s="1135" t="s">
        <v>3192</v>
      </c>
      <c r="C243" s="1135" t="s">
        <v>90</v>
      </c>
      <c r="D243" s="1135"/>
      <c r="E243" s="1136"/>
      <c r="F243" s="1136"/>
      <c r="G243" s="1136"/>
    </row>
    <row r="244" spans="1:7">
      <c r="A244" s="1140">
        <f t="shared" si="3"/>
        <v>238</v>
      </c>
      <c r="B244" s="1135" t="s">
        <v>3193</v>
      </c>
      <c r="C244" s="1135" t="s">
        <v>1934</v>
      </c>
      <c r="D244" s="1135"/>
      <c r="E244" s="1136"/>
      <c r="F244" s="1136"/>
      <c r="G244" s="1136"/>
    </row>
    <row r="245" spans="1:7">
      <c r="A245" s="1140">
        <f t="shared" si="3"/>
        <v>239</v>
      </c>
      <c r="B245" s="1135" t="s">
        <v>3194</v>
      </c>
      <c r="C245" s="1135" t="s">
        <v>1934</v>
      </c>
      <c r="D245" s="1135"/>
      <c r="E245" s="1136"/>
      <c r="F245" s="1136"/>
      <c r="G245" s="1136"/>
    </row>
    <row r="246" spans="1:7">
      <c r="A246" s="1140">
        <f t="shared" si="3"/>
        <v>240</v>
      </c>
      <c r="B246" s="1135" t="s">
        <v>3195</v>
      </c>
      <c r="C246" s="1135" t="s">
        <v>2212</v>
      </c>
      <c r="D246" s="1135"/>
      <c r="E246" s="1136"/>
      <c r="F246" s="1136"/>
      <c r="G246" s="1136"/>
    </row>
    <row r="247" spans="1:7">
      <c r="A247" s="1140">
        <f t="shared" si="3"/>
        <v>241</v>
      </c>
      <c r="B247" s="1135" t="s">
        <v>3196</v>
      </c>
      <c r="C247" s="1135" t="s">
        <v>2212</v>
      </c>
      <c r="D247" s="1135"/>
      <c r="E247" s="1136"/>
      <c r="F247" s="1136"/>
      <c r="G247" s="1136"/>
    </row>
  </sheetData>
  <autoFilter ref="A6:G247" xr:uid="{72B9F5E0-830F-4B9C-8C57-D683B31BACA9}"/>
  <conditionalFormatting sqref="A1:XFD1048576">
    <cfRule type="cellIs" dxfId="3603" priority="6" operator="equal">
      <formula>"WIP"</formula>
    </cfRule>
    <cfRule type="cellIs" dxfId="3602" priority="7" operator="equal">
      <formula>"C"</formula>
    </cfRule>
  </conditionalFormatting>
  <conditionalFormatting sqref="B1:B1048576">
    <cfRule type="duplicateValues" dxfId="3601" priority="3"/>
  </conditionalFormatting>
  <conditionalFormatting sqref="E1:F1048576">
    <cfRule type="cellIs" dxfId="3600" priority="1" operator="equal">
      <formula>"File Ready"</formula>
    </cfRule>
    <cfRule type="cellIs" dxfId="3599"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E361C-8B78-431A-B106-831682B1040E}">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3387</v>
      </c>
      <c r="E2" s="12" t="s">
        <v>3388</v>
      </c>
    </row>
    <row r="3" spans="3:5">
      <c r="C3" s="12" t="s">
        <v>3382</v>
      </c>
      <c r="D3" s="12" t="s">
        <v>3389</v>
      </c>
      <c r="E3" s="12" t="s">
        <v>3390</v>
      </c>
    </row>
    <row r="4" spans="3:5">
      <c r="D4" s="1172">
        <f>137/173</f>
        <v>0.79190751445086704</v>
      </c>
      <c r="E4" s="1172">
        <f>36/173</f>
        <v>0.20809248554913296</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70C0"/>
  </sheetPr>
  <dimension ref="A1:W75"/>
  <sheetViews>
    <sheetView showZeros="0" tabSelected="1" zoomScale="90" zoomScaleNormal="90" workbookViewId="0">
      <selection activeCell="L10" sqref="L10"/>
    </sheetView>
  </sheetViews>
  <sheetFormatPr defaultColWidth="9.1796875" defaultRowHeight="14.5"/>
  <cols>
    <col min="1" max="1" width="20.9062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customWidth="1"/>
    <col min="7" max="7" width="9.6328125" style="643" customWidth="1"/>
    <col min="8" max="8" width="15.1796875" style="643" customWidth="1"/>
    <col min="9" max="9" width="15.26953125" style="643" bestFit="1" customWidth="1"/>
    <col min="10" max="10" width="15.36328125" style="643" bestFit="1" customWidth="1"/>
    <col min="11" max="11" width="8" style="643" bestFit="1" customWidth="1"/>
    <col min="12" max="12" width="8.453125" style="643" bestFit="1" customWidth="1"/>
    <col min="13" max="13" width="9.6328125" style="643" customWidth="1"/>
    <col min="14" max="14" width="13.1796875" style="643" customWidth="1"/>
    <col min="15" max="15" width="21.08984375" style="643" customWidth="1"/>
    <col min="16" max="16" width="12.26953125" style="643" customWidth="1"/>
    <col min="17" max="17" width="12.54296875" style="643" customWidth="1"/>
    <col min="18" max="19" width="9.1796875" style="1240"/>
    <col min="20" max="16384" width="9.1796875" style="643"/>
  </cols>
  <sheetData>
    <row r="1" spans="1:19" ht="22" customHeight="1">
      <c r="A1" s="1446"/>
      <c r="B1" s="662" t="s">
        <v>569</v>
      </c>
      <c r="C1" s="663" t="s">
        <v>1766</v>
      </c>
      <c r="D1" s="662" t="s">
        <v>570</v>
      </c>
      <c r="E1" s="670">
        <v>46219</v>
      </c>
      <c r="F1" s="662"/>
      <c r="G1" s="663"/>
      <c r="H1" s="662" t="s">
        <v>1755</v>
      </c>
      <c r="I1" s="1297" t="s">
        <v>1767</v>
      </c>
      <c r="J1" s="1425"/>
      <c r="K1" s="1426"/>
      <c r="L1" s="1426"/>
      <c r="M1" s="1426"/>
      <c r="N1" s="1426"/>
      <c r="O1" s="1427"/>
    </row>
    <row r="2" spans="1:19" ht="53" customHeight="1">
      <c r="A2" s="1446"/>
      <c r="B2" s="662" t="s">
        <v>574</v>
      </c>
      <c r="C2" s="1447" t="s">
        <v>1768</v>
      </c>
      <c r="D2" s="1448"/>
      <c r="E2" s="1449"/>
      <c r="F2" s="662" t="s">
        <v>571</v>
      </c>
      <c r="G2" s="670">
        <v>45793</v>
      </c>
      <c r="H2" s="662" t="s">
        <v>1771</v>
      </c>
      <c r="I2" s="663" t="s">
        <v>573</v>
      </c>
      <c r="J2" s="1425"/>
      <c r="K2" s="1426"/>
      <c r="L2" s="1426"/>
      <c r="M2" s="1426"/>
      <c r="N2" s="1426"/>
      <c r="O2" s="1427"/>
    </row>
    <row r="3" spans="1:19" ht="29.25" customHeight="1">
      <c r="A3" s="1446"/>
      <c r="B3" s="662" t="s">
        <v>578</v>
      </c>
      <c r="C3" s="1450" t="s">
        <v>1769</v>
      </c>
      <c r="D3" s="1450"/>
      <c r="E3" s="1450"/>
      <c r="F3" s="662" t="s">
        <v>575</v>
      </c>
      <c r="G3" s="670">
        <v>46461</v>
      </c>
      <c r="H3" s="662" t="s">
        <v>576</v>
      </c>
      <c r="I3" s="663" t="s">
        <v>3487</v>
      </c>
      <c r="J3" s="1425"/>
      <c r="K3" s="1426"/>
      <c r="L3" s="1426"/>
      <c r="M3" s="1426"/>
      <c r="N3" s="1426"/>
      <c r="O3" s="1427"/>
    </row>
    <row r="4" spans="1:19" ht="30" customHeight="1">
      <c r="A4" s="1446"/>
      <c r="B4" s="662" t="s">
        <v>1756</v>
      </c>
      <c r="C4" s="1450"/>
      <c r="D4" s="1450"/>
      <c r="E4" s="1450"/>
      <c r="F4" s="662" t="s">
        <v>1832</v>
      </c>
      <c r="G4" s="663" t="s">
        <v>3430</v>
      </c>
      <c r="H4" s="662" t="s">
        <v>587</v>
      </c>
      <c r="I4" s="663" t="s">
        <v>1770</v>
      </c>
      <c r="J4" s="1428"/>
      <c r="K4" s="1429"/>
      <c r="L4" s="1429"/>
      <c r="M4" s="1429"/>
      <c r="N4" s="1429"/>
      <c r="O4" s="1430"/>
      <c r="P4" s="1335"/>
    </row>
    <row r="5" spans="1:19">
      <c r="A5" s="1439" t="s">
        <v>3335</v>
      </c>
      <c r="B5" s="1439"/>
      <c r="C5" s="1439"/>
      <c r="D5" s="1439"/>
      <c r="E5" s="1439"/>
      <c r="F5" s="1439"/>
      <c r="G5" s="1439"/>
      <c r="H5" s="1439"/>
      <c r="I5" s="1439"/>
      <c r="J5" s="1439"/>
      <c r="K5" s="1439"/>
      <c r="L5" s="1439"/>
      <c r="M5" s="1439"/>
      <c r="N5" s="1439"/>
      <c r="O5" s="1439"/>
    </row>
    <row r="6" spans="1:19" ht="62.5">
      <c r="A6" s="662" t="s">
        <v>10</v>
      </c>
      <c r="B6" s="662" t="s">
        <v>2826</v>
      </c>
      <c r="C6" s="662" t="s">
        <v>1757</v>
      </c>
      <c r="D6" s="662" t="s">
        <v>1758</v>
      </c>
      <c r="E6" s="662" t="s">
        <v>3670</v>
      </c>
      <c r="F6" s="662" t="s">
        <v>1759</v>
      </c>
      <c r="G6" s="662" t="s">
        <v>596</v>
      </c>
      <c r="H6" s="662" t="s">
        <v>1760</v>
      </c>
      <c r="I6" s="662" t="s">
        <v>1781</v>
      </c>
      <c r="J6" s="662" t="s">
        <v>1779</v>
      </c>
      <c r="K6" s="662" t="s">
        <v>1777</v>
      </c>
      <c r="L6" s="662" t="s">
        <v>1775</v>
      </c>
      <c r="M6" s="662" t="s">
        <v>598</v>
      </c>
      <c r="N6" s="1434" t="s">
        <v>19</v>
      </c>
      <c r="O6" s="1434"/>
      <c r="P6" s="662" t="s">
        <v>3671</v>
      </c>
      <c r="Q6" s="662" t="s">
        <v>3672</v>
      </c>
    </row>
    <row r="7" spans="1:19">
      <c r="A7" s="663" t="s">
        <v>27</v>
      </c>
      <c r="B7" s="664">
        <f t="shared" ref="B7:H13" si="0">B17+B26+B35+B44</f>
        <v>175.71900000000002</v>
      </c>
      <c r="C7" s="664">
        <f t="shared" si="0"/>
        <v>179.203</v>
      </c>
      <c r="D7" s="664">
        <f t="shared" si="0"/>
        <v>175.71900000000002</v>
      </c>
      <c r="E7" s="664">
        <f t="shared" si="0"/>
        <v>0</v>
      </c>
      <c r="F7" s="664">
        <f t="shared" si="0"/>
        <v>0</v>
      </c>
      <c r="G7" s="932">
        <f>G17+G26+G35+G44</f>
        <v>0</v>
      </c>
      <c r="H7" s="1006">
        <f t="shared" si="0"/>
        <v>0</v>
      </c>
      <c r="I7" s="664">
        <f t="shared" ref="I7" si="1">+C7+E7</f>
        <v>179.203</v>
      </c>
      <c r="J7" s="664">
        <f t="shared" ref="J7:J9" si="2">+H7+D7</f>
        <v>175.71900000000002</v>
      </c>
      <c r="K7" s="664"/>
      <c r="L7" s="663">
        <f t="shared" ref="L7:M11" si="3">L17+L26+L35+L44</f>
        <v>0</v>
      </c>
      <c r="M7" s="663">
        <f t="shared" si="3"/>
        <v>3</v>
      </c>
      <c r="N7" s="1432"/>
      <c r="O7" s="1432"/>
      <c r="P7" s="663"/>
      <c r="Q7" s="663"/>
    </row>
    <row r="8" spans="1:19" s="1238" customFormat="1" ht="15.5">
      <c r="A8" s="1235" t="s">
        <v>28</v>
      </c>
      <c r="B8" s="1236">
        <f t="shared" si="0"/>
        <v>523</v>
      </c>
      <c r="C8" s="1236">
        <f t="shared" si="0"/>
        <v>477</v>
      </c>
      <c r="D8" s="1236">
        <f t="shared" si="0"/>
        <v>418</v>
      </c>
      <c r="E8" s="1236">
        <f t="shared" si="0"/>
        <v>45</v>
      </c>
      <c r="F8" s="1236">
        <f t="shared" si="0"/>
        <v>46</v>
      </c>
      <c r="G8" s="1237">
        <f t="shared" si="0"/>
        <v>0</v>
      </c>
      <c r="H8" s="1237">
        <f t="shared" si="0"/>
        <v>5</v>
      </c>
      <c r="I8" s="1236">
        <f>+C8+E8</f>
        <v>522</v>
      </c>
      <c r="J8" s="1236">
        <f>+H8+D8</f>
        <v>423</v>
      </c>
      <c r="K8" s="1236">
        <f t="shared" ref="K8:K13" si="4">+B8-J8</f>
        <v>100</v>
      </c>
      <c r="L8" s="1235">
        <f t="shared" si="3"/>
        <v>24</v>
      </c>
      <c r="M8" s="1235">
        <f t="shared" si="3"/>
        <v>20</v>
      </c>
      <c r="N8" s="1440"/>
      <c r="O8" s="1440"/>
      <c r="P8" s="1236">
        <f t="shared" ref="P8:Q13" si="5">P18+P27+P36+P45</f>
        <v>99</v>
      </c>
      <c r="Q8" s="1236">
        <f t="shared" si="5"/>
        <v>41</v>
      </c>
      <c r="R8" s="1242"/>
      <c r="S8" s="1243"/>
    </row>
    <row r="9" spans="1:19">
      <c r="A9" s="663" t="s">
        <v>609</v>
      </c>
      <c r="B9" s="664">
        <f t="shared" si="0"/>
        <v>523</v>
      </c>
      <c r="C9" s="664">
        <f t="shared" si="0"/>
        <v>477</v>
      </c>
      <c r="D9" s="664">
        <f t="shared" si="0"/>
        <v>363</v>
      </c>
      <c r="E9" s="664">
        <f t="shared" si="0"/>
        <v>45</v>
      </c>
      <c r="F9" s="664">
        <f t="shared" si="0"/>
        <v>46</v>
      </c>
      <c r="G9" s="1006">
        <f t="shared" si="0"/>
        <v>0</v>
      </c>
      <c r="H9" s="1006">
        <f t="shared" si="0"/>
        <v>3</v>
      </c>
      <c r="I9" s="664">
        <f t="shared" ref="I9:I13" si="6">+C9+E9</f>
        <v>522</v>
      </c>
      <c r="J9" s="664">
        <f t="shared" si="2"/>
        <v>366</v>
      </c>
      <c r="K9" s="664">
        <f t="shared" si="4"/>
        <v>157</v>
      </c>
      <c r="L9" s="663">
        <f t="shared" si="3"/>
        <v>0</v>
      </c>
      <c r="M9" s="663">
        <f t="shared" si="3"/>
        <v>0</v>
      </c>
      <c r="N9" s="1432"/>
      <c r="O9" s="1432"/>
      <c r="P9" s="664">
        <f t="shared" si="5"/>
        <v>156</v>
      </c>
      <c r="Q9" s="664">
        <f t="shared" si="5"/>
        <v>43</v>
      </c>
    </row>
    <row r="10" spans="1:19" s="1238" customFormat="1" ht="15.5">
      <c r="A10" s="1235" t="s">
        <v>610</v>
      </c>
      <c r="B10" s="1236">
        <f t="shared" si="0"/>
        <v>523</v>
      </c>
      <c r="C10" s="1236">
        <f t="shared" si="0"/>
        <v>367</v>
      </c>
      <c r="D10" s="1236">
        <f t="shared" si="0"/>
        <v>248</v>
      </c>
      <c r="E10" s="1236">
        <f t="shared" si="0"/>
        <v>53</v>
      </c>
      <c r="F10" s="1236">
        <f t="shared" si="0"/>
        <v>41</v>
      </c>
      <c r="G10" s="1237">
        <f t="shared" si="0"/>
        <v>1</v>
      </c>
      <c r="H10" s="1237">
        <f t="shared" si="0"/>
        <v>11</v>
      </c>
      <c r="I10" s="1236">
        <f t="shared" si="6"/>
        <v>420</v>
      </c>
      <c r="J10" s="1236">
        <f>+H10+D10</f>
        <v>259</v>
      </c>
      <c r="K10" s="1236">
        <f t="shared" si="4"/>
        <v>264</v>
      </c>
      <c r="L10" s="1235">
        <f t="shared" si="3"/>
        <v>13</v>
      </c>
      <c r="M10" s="1235">
        <f t="shared" si="3"/>
        <v>14</v>
      </c>
      <c r="N10" s="1440"/>
      <c r="O10" s="1440"/>
      <c r="P10" s="1236">
        <f t="shared" si="5"/>
        <v>161</v>
      </c>
      <c r="Q10" s="1236">
        <f t="shared" si="5"/>
        <v>30</v>
      </c>
      <c r="R10" s="1242"/>
      <c r="S10" s="1243"/>
    </row>
    <row r="11" spans="1:19">
      <c r="A11" s="663" t="s">
        <v>612</v>
      </c>
      <c r="B11" s="664">
        <f t="shared" si="0"/>
        <v>523</v>
      </c>
      <c r="C11" s="664">
        <f t="shared" si="0"/>
        <v>367</v>
      </c>
      <c r="D11" s="664">
        <f t="shared" si="0"/>
        <v>0</v>
      </c>
      <c r="E11" s="664">
        <f t="shared" si="0"/>
        <v>53</v>
      </c>
      <c r="F11" s="664">
        <f t="shared" si="0"/>
        <v>41</v>
      </c>
      <c r="G11" s="932">
        <f t="shared" si="0"/>
        <v>0</v>
      </c>
      <c r="H11" s="1006">
        <f t="shared" si="0"/>
        <v>0</v>
      </c>
      <c r="I11" s="664">
        <f t="shared" si="6"/>
        <v>420</v>
      </c>
      <c r="J11" s="664">
        <f t="shared" ref="J11:J13" si="7">+H11+D11</f>
        <v>0</v>
      </c>
      <c r="K11" s="664">
        <f t="shared" si="4"/>
        <v>523</v>
      </c>
      <c r="L11" s="663">
        <f t="shared" si="3"/>
        <v>0</v>
      </c>
      <c r="M11" s="663">
        <f t="shared" si="3"/>
        <v>0</v>
      </c>
      <c r="N11" s="1432"/>
      <c r="O11" s="1432"/>
      <c r="P11" s="664">
        <f t="shared" si="5"/>
        <v>420</v>
      </c>
      <c r="Q11" s="664">
        <f t="shared" si="5"/>
        <v>41</v>
      </c>
    </row>
    <row r="12" spans="1:19" s="1238" customFormat="1" ht="45.5" customHeight="1">
      <c r="A12" s="1235" t="s">
        <v>3646</v>
      </c>
      <c r="B12" s="1236">
        <f t="shared" si="0"/>
        <v>175.71900000000002</v>
      </c>
      <c r="C12" s="1236">
        <f t="shared" si="0"/>
        <v>32</v>
      </c>
      <c r="D12" s="1300">
        <f t="shared" si="0"/>
        <v>1.47</v>
      </c>
      <c r="E12" s="1236">
        <f t="shared" si="0"/>
        <v>16</v>
      </c>
      <c r="F12" s="1236">
        <f t="shared" si="0"/>
        <v>9.6</v>
      </c>
      <c r="G12" s="1310">
        <f t="shared" si="0"/>
        <v>0</v>
      </c>
      <c r="H12" s="1310">
        <f t="shared" si="0"/>
        <v>2.65</v>
      </c>
      <c r="I12" s="1236">
        <f t="shared" si="6"/>
        <v>48</v>
      </c>
      <c r="J12" s="1300">
        <f t="shared" si="7"/>
        <v>4.12</v>
      </c>
      <c r="K12" s="1236">
        <f t="shared" si="4"/>
        <v>171.59900000000002</v>
      </c>
      <c r="L12" s="1300">
        <f>L22</f>
        <v>1.54</v>
      </c>
      <c r="M12" s="1444">
        <v>4</v>
      </c>
      <c r="N12" s="1432" t="s">
        <v>3688</v>
      </c>
      <c r="O12" s="1432"/>
      <c r="P12" s="1236">
        <f t="shared" si="5"/>
        <v>43.879999999999995</v>
      </c>
      <c r="Q12" s="1236">
        <f t="shared" si="5"/>
        <v>6.9499999999999993</v>
      </c>
      <c r="R12" s="1242"/>
      <c r="S12" s="1243"/>
    </row>
    <row r="13" spans="1:19" s="1238" customFormat="1" ht="29.5" customHeight="1">
      <c r="A13" s="1235" t="s">
        <v>3645</v>
      </c>
      <c r="B13" s="1236">
        <f>B23+B32+B41+B50</f>
        <v>175.71900000000002</v>
      </c>
      <c r="C13" s="1236">
        <f>C23+C32+C41+C50</f>
        <v>32</v>
      </c>
      <c r="D13" s="1300">
        <f t="shared" si="0"/>
        <v>1.47</v>
      </c>
      <c r="E13" s="1236">
        <f>E23+E32+E41+E50</f>
        <v>16</v>
      </c>
      <c r="F13" s="1236">
        <f>F23+F32+F41+F50</f>
        <v>9.6</v>
      </c>
      <c r="G13" s="1237">
        <f t="shared" si="0"/>
        <v>0</v>
      </c>
      <c r="H13" s="1310">
        <f>H23+H32+H41+H50</f>
        <v>0.36599999999999999</v>
      </c>
      <c r="I13" s="1236">
        <f t="shared" si="6"/>
        <v>48</v>
      </c>
      <c r="J13" s="1300">
        <f t="shared" si="7"/>
        <v>1.8359999999999999</v>
      </c>
      <c r="K13" s="1236">
        <f t="shared" si="4"/>
        <v>173.88300000000001</v>
      </c>
      <c r="L13" s="1300">
        <f>L23</f>
        <v>2.29</v>
      </c>
      <c r="M13" s="1445"/>
      <c r="N13" s="1440"/>
      <c r="O13" s="1440"/>
      <c r="P13" s="1236">
        <f t="shared" si="5"/>
        <v>46.164000000000001</v>
      </c>
      <c r="Q13" s="1236">
        <f t="shared" si="5"/>
        <v>9.234</v>
      </c>
      <c r="R13" s="1242"/>
      <c r="S13" s="1243"/>
    </row>
    <row r="14" spans="1:19">
      <c r="A14" s="1439" t="s">
        <v>3336</v>
      </c>
      <c r="B14" s="1439"/>
      <c r="C14" s="1439"/>
      <c r="D14" s="1439"/>
      <c r="E14" s="1439"/>
      <c r="F14" s="1439"/>
      <c r="G14" s="1439"/>
      <c r="H14" s="1439"/>
      <c r="I14" s="1439"/>
      <c r="J14" s="1439"/>
      <c r="K14" s="1439"/>
      <c r="L14" s="1439"/>
      <c r="M14" s="1439"/>
      <c r="N14" s="1439"/>
      <c r="O14" s="1439"/>
    </row>
    <row r="15" spans="1:19">
      <c r="A15" s="1439" t="s">
        <v>2739</v>
      </c>
      <c r="B15" s="1439"/>
      <c r="C15" s="1439"/>
      <c r="D15" s="1439"/>
      <c r="E15" s="1439"/>
      <c r="F15" s="1439"/>
      <c r="G15" s="1439"/>
      <c r="H15" s="1439"/>
      <c r="I15" s="1439"/>
      <c r="J15" s="1439"/>
      <c r="K15" s="1439"/>
      <c r="L15" s="1439"/>
      <c r="M15" s="1439"/>
      <c r="N15" s="1439"/>
      <c r="O15" s="1439"/>
    </row>
    <row r="16" spans="1:19" ht="62.5">
      <c r="A16" s="662" t="s">
        <v>10</v>
      </c>
      <c r="B16" s="662" t="s">
        <v>2826</v>
      </c>
      <c r="C16" s="662" t="s">
        <v>1757</v>
      </c>
      <c r="D16" s="662" t="s">
        <v>1758</v>
      </c>
      <c r="E16" s="662" t="s">
        <v>3670</v>
      </c>
      <c r="F16" s="662" t="s">
        <v>1759</v>
      </c>
      <c r="G16" s="662" t="s">
        <v>596</v>
      </c>
      <c r="H16" s="662" t="s">
        <v>1760</v>
      </c>
      <c r="I16" s="662" t="s">
        <v>1781</v>
      </c>
      <c r="J16" s="662" t="s">
        <v>1779</v>
      </c>
      <c r="K16" s="662" t="s">
        <v>1777</v>
      </c>
      <c r="L16" s="662" t="s">
        <v>1775</v>
      </c>
      <c r="M16" s="662" t="s">
        <v>598</v>
      </c>
      <c r="N16" s="1434" t="s">
        <v>19</v>
      </c>
      <c r="O16" s="1434"/>
      <c r="P16" s="662" t="s">
        <v>3639</v>
      </c>
      <c r="Q16" s="662" t="s">
        <v>3640</v>
      </c>
    </row>
    <row r="17" spans="1:23" ht="26" customHeight="1">
      <c r="A17" s="663" t="s">
        <v>27</v>
      </c>
      <c r="B17" s="664">
        <v>46.92</v>
      </c>
      <c r="C17" s="663">
        <v>49</v>
      </c>
      <c r="D17" s="664">
        <v>46.92</v>
      </c>
      <c r="E17" s="663"/>
      <c r="F17" s="663"/>
      <c r="G17" s="665"/>
      <c r="H17" s="793"/>
      <c r="I17" s="663">
        <f t="shared" ref="I17:I23" si="8">+C17+E17</f>
        <v>49</v>
      </c>
      <c r="J17" s="664">
        <f t="shared" ref="J17:J23" si="9">+H17+D17</f>
        <v>46.92</v>
      </c>
      <c r="K17" s="1028">
        <f t="shared" ref="K17:K23" si="10">+B17-J17</f>
        <v>0</v>
      </c>
      <c r="L17" s="663"/>
      <c r="M17" s="663"/>
      <c r="N17" s="1432"/>
      <c r="O17" s="1432"/>
      <c r="P17" s="663"/>
      <c r="Q17" s="663"/>
    </row>
    <row r="18" spans="1:23">
      <c r="A18" s="663" t="s">
        <v>28</v>
      </c>
      <c r="B18" s="663">
        <v>126</v>
      </c>
      <c r="C18" s="663">
        <v>129</v>
      </c>
      <c r="D18" s="664">
        <v>115</v>
      </c>
      <c r="E18" s="663">
        <v>12</v>
      </c>
      <c r="F18" s="663">
        <v>9</v>
      </c>
      <c r="G18" s="665"/>
      <c r="H18" s="665">
        <v>2</v>
      </c>
      <c r="I18" s="663">
        <f>+C18+E18</f>
        <v>141</v>
      </c>
      <c r="J18" s="663">
        <f t="shared" si="9"/>
        <v>117</v>
      </c>
      <c r="K18" s="663">
        <f t="shared" si="10"/>
        <v>9</v>
      </c>
      <c r="L18" s="663">
        <v>2</v>
      </c>
      <c r="M18" s="663">
        <v>2</v>
      </c>
      <c r="N18" s="1432"/>
      <c r="O18" s="1432"/>
      <c r="P18" s="663">
        <f t="shared" ref="P18:P23" si="11">I18-J18</f>
        <v>24</v>
      </c>
      <c r="Q18" s="663">
        <f t="shared" ref="Q18:Q23" si="12">F18-H18</f>
        <v>7</v>
      </c>
      <c r="R18" s="1244"/>
    </row>
    <row r="19" spans="1:23" s="644" customFormat="1">
      <c r="A19" s="666" t="s">
        <v>609</v>
      </c>
      <c r="B19" s="663">
        <v>126</v>
      </c>
      <c r="C19" s="663">
        <v>129</v>
      </c>
      <c r="D19" s="948">
        <v>98</v>
      </c>
      <c r="E19" s="663">
        <v>12</v>
      </c>
      <c r="F19" s="663">
        <v>9</v>
      </c>
      <c r="G19" s="667"/>
      <c r="H19" s="667"/>
      <c r="I19" s="663">
        <f t="shared" si="8"/>
        <v>141</v>
      </c>
      <c r="J19" s="663">
        <f t="shared" si="9"/>
        <v>98</v>
      </c>
      <c r="K19" s="663">
        <f t="shared" si="10"/>
        <v>28</v>
      </c>
      <c r="L19" s="666"/>
      <c r="M19" s="666"/>
      <c r="N19" s="1431"/>
      <c r="O19" s="1432"/>
      <c r="P19" s="663">
        <f t="shared" si="11"/>
        <v>43</v>
      </c>
      <c r="Q19" s="663">
        <f t="shared" si="12"/>
        <v>9</v>
      </c>
      <c r="R19" s="1245"/>
      <c r="S19" s="1246"/>
    </row>
    <row r="20" spans="1:23" s="1313" customFormat="1">
      <c r="A20" s="666" t="s">
        <v>610</v>
      </c>
      <c r="B20" s="663">
        <v>126</v>
      </c>
      <c r="C20" s="663">
        <v>103</v>
      </c>
      <c r="D20" s="948">
        <v>92</v>
      </c>
      <c r="E20" s="663">
        <v>15</v>
      </c>
      <c r="F20" s="663">
        <v>10</v>
      </c>
      <c r="G20" s="667">
        <v>1</v>
      </c>
      <c r="H20" s="667">
        <v>4</v>
      </c>
      <c r="I20" s="663">
        <f t="shared" si="8"/>
        <v>118</v>
      </c>
      <c r="J20" s="663">
        <f>+H20+D20</f>
        <v>96</v>
      </c>
      <c r="K20" s="663">
        <f t="shared" si="10"/>
        <v>30</v>
      </c>
      <c r="L20" s="666">
        <v>4</v>
      </c>
      <c r="M20" s="666">
        <v>4</v>
      </c>
      <c r="N20" s="1435" t="s">
        <v>3706</v>
      </c>
      <c r="O20" s="1436"/>
      <c r="P20" s="663">
        <f t="shared" si="11"/>
        <v>22</v>
      </c>
      <c r="Q20" s="663">
        <f t="shared" si="12"/>
        <v>6</v>
      </c>
      <c r="R20" s="1311"/>
      <c r="S20" s="1312"/>
    </row>
    <row r="21" spans="1:23">
      <c r="A21" s="668" t="s">
        <v>612</v>
      </c>
      <c r="B21" s="663">
        <v>126</v>
      </c>
      <c r="C21" s="668">
        <v>103</v>
      </c>
      <c r="D21" s="791">
        <v>0</v>
      </c>
      <c r="E21" s="663">
        <v>15</v>
      </c>
      <c r="F21" s="663">
        <v>10</v>
      </c>
      <c r="G21" s="669"/>
      <c r="H21" s="669"/>
      <c r="I21" s="663">
        <f t="shared" si="8"/>
        <v>118</v>
      </c>
      <c r="J21" s="663">
        <f t="shared" si="9"/>
        <v>0</v>
      </c>
      <c r="K21" s="663">
        <f t="shared" si="10"/>
        <v>126</v>
      </c>
      <c r="L21" s="668">
        <v>0</v>
      </c>
      <c r="M21" s="668">
        <v>0</v>
      </c>
      <c r="N21" s="1433"/>
      <c r="O21" s="1433"/>
      <c r="P21" s="663">
        <f t="shared" si="11"/>
        <v>118</v>
      </c>
      <c r="Q21" s="663">
        <f t="shared" si="12"/>
        <v>10</v>
      </c>
    </row>
    <row r="22" spans="1:23">
      <c r="A22" s="668" t="s">
        <v>3646</v>
      </c>
      <c r="B22" s="664">
        <v>46.92</v>
      </c>
      <c r="C22" s="668">
        <v>15</v>
      </c>
      <c r="D22" s="791">
        <v>1.47</v>
      </c>
      <c r="E22" s="668">
        <v>8</v>
      </c>
      <c r="F22" s="1066">
        <v>8.6999999999999993</v>
      </c>
      <c r="G22" s="1309"/>
      <c r="H22" s="1309">
        <v>2.65</v>
      </c>
      <c r="I22" s="663">
        <f t="shared" si="8"/>
        <v>23</v>
      </c>
      <c r="J22" s="1028">
        <f t="shared" si="9"/>
        <v>4.12</v>
      </c>
      <c r="K22" s="664">
        <f t="shared" si="10"/>
        <v>42.800000000000004</v>
      </c>
      <c r="L22" s="791">
        <v>1.54</v>
      </c>
      <c r="M22" s="1441">
        <v>4</v>
      </c>
      <c r="N22" s="1443"/>
      <c r="O22" s="1443"/>
      <c r="P22" s="1239">
        <f t="shared" si="11"/>
        <v>18.88</v>
      </c>
      <c r="Q22" s="1239">
        <f t="shared" si="12"/>
        <v>6.0499999999999989</v>
      </c>
    </row>
    <row r="23" spans="1:23">
      <c r="A23" s="668" t="s">
        <v>3644</v>
      </c>
      <c r="B23" s="664">
        <v>46.92</v>
      </c>
      <c r="C23" s="668">
        <v>15</v>
      </c>
      <c r="D23" s="791">
        <v>1.47</v>
      </c>
      <c r="E23" s="668">
        <v>8</v>
      </c>
      <c r="F23" s="1066">
        <v>8.6999999999999993</v>
      </c>
      <c r="G23" s="1309"/>
      <c r="H23" s="1309">
        <v>0.36599999999999999</v>
      </c>
      <c r="I23" s="663">
        <f t="shared" si="8"/>
        <v>23</v>
      </c>
      <c r="J23" s="1028">
        <f t="shared" si="9"/>
        <v>1.8359999999999999</v>
      </c>
      <c r="K23" s="664">
        <f t="shared" si="10"/>
        <v>45.084000000000003</v>
      </c>
      <c r="L23" s="791">
        <v>2.29</v>
      </c>
      <c r="M23" s="1442"/>
      <c r="N23" s="1443"/>
      <c r="O23" s="1443"/>
      <c r="P23" s="1239">
        <f t="shared" si="11"/>
        <v>21.164000000000001</v>
      </c>
      <c r="Q23" s="1239">
        <f t="shared" si="12"/>
        <v>8.3339999999999996</v>
      </c>
    </row>
    <row r="24" spans="1:23">
      <c r="A24" s="1439" t="s">
        <v>2740</v>
      </c>
      <c r="B24" s="1439"/>
      <c r="C24" s="1439"/>
      <c r="D24" s="1439"/>
      <c r="E24" s="1439"/>
      <c r="F24" s="1439"/>
      <c r="G24" s="1439"/>
      <c r="H24" s="1439"/>
      <c r="I24" s="1439"/>
      <c r="J24" s="1439"/>
      <c r="K24" s="1439"/>
      <c r="L24" s="1439"/>
      <c r="M24" s="1439"/>
      <c r="N24" s="1439"/>
      <c r="O24" s="1439"/>
    </row>
    <row r="25" spans="1:23" ht="62.5">
      <c r="A25" s="662" t="s">
        <v>10</v>
      </c>
      <c r="B25" s="662" t="s">
        <v>2826</v>
      </c>
      <c r="C25" s="662" t="s">
        <v>1757</v>
      </c>
      <c r="D25" s="662" t="s">
        <v>1758</v>
      </c>
      <c r="E25" s="662" t="s">
        <v>3670</v>
      </c>
      <c r="F25" s="662" t="s">
        <v>1759</v>
      </c>
      <c r="G25" s="662" t="s">
        <v>596</v>
      </c>
      <c r="H25" s="662" t="s">
        <v>1760</v>
      </c>
      <c r="I25" s="662" t="s">
        <v>1781</v>
      </c>
      <c r="J25" s="662" t="s">
        <v>1779</v>
      </c>
      <c r="K25" s="662" t="s">
        <v>1777</v>
      </c>
      <c r="L25" s="662" t="s">
        <v>1775</v>
      </c>
      <c r="M25" s="662" t="s">
        <v>598</v>
      </c>
      <c r="N25" s="1434" t="s">
        <v>19</v>
      </c>
      <c r="O25" s="1434"/>
      <c r="P25" s="662" t="s">
        <v>3639</v>
      </c>
      <c r="Q25" s="662" t="s">
        <v>3640</v>
      </c>
    </row>
    <row r="26" spans="1:23">
      <c r="A26" s="663" t="s">
        <v>27</v>
      </c>
      <c r="B26" s="664">
        <v>92.281000000000006</v>
      </c>
      <c r="C26" s="663">
        <v>95</v>
      </c>
      <c r="D26" s="664">
        <v>92.281000000000006</v>
      </c>
      <c r="E26" s="663"/>
      <c r="F26" s="663"/>
      <c r="G26" s="932"/>
      <c r="H26" s="1006"/>
      <c r="I26" s="663">
        <f t="shared" ref="I26:I32" si="13">+C26+E26</f>
        <v>95</v>
      </c>
      <c r="J26" s="664">
        <f t="shared" ref="J26:J31" si="14">+H26+D26</f>
        <v>92.281000000000006</v>
      </c>
      <c r="K26" s="664">
        <f t="shared" ref="K26:K32" si="15">+B26-J26</f>
        <v>0</v>
      </c>
      <c r="L26" s="663"/>
      <c r="M26" s="663">
        <v>2</v>
      </c>
      <c r="N26" s="1451"/>
      <c r="O26" s="1452"/>
      <c r="P26" s="663"/>
      <c r="Q26" s="663"/>
      <c r="R26" s="1084"/>
      <c r="S26" s="1084"/>
      <c r="T26" s="1084"/>
      <c r="U26" s="1084"/>
      <c r="V26" s="1083"/>
      <c r="W26" s="1083"/>
    </row>
    <row r="27" spans="1:23">
      <c r="A27" s="666" t="s">
        <v>28</v>
      </c>
      <c r="B27" s="663">
        <v>263</v>
      </c>
      <c r="C27" s="663">
        <v>253</v>
      </c>
      <c r="D27" s="948">
        <v>234</v>
      </c>
      <c r="E27" s="663">
        <v>14</v>
      </c>
      <c r="F27" s="663">
        <v>10</v>
      </c>
      <c r="G27" s="667"/>
      <c r="H27" s="667">
        <v>2</v>
      </c>
      <c r="I27" s="663">
        <f>+C27+E27</f>
        <v>267</v>
      </c>
      <c r="J27" s="663">
        <f t="shared" si="14"/>
        <v>236</v>
      </c>
      <c r="K27" s="663">
        <f t="shared" si="15"/>
        <v>27</v>
      </c>
      <c r="L27" s="666">
        <v>2</v>
      </c>
      <c r="M27" s="666">
        <v>2</v>
      </c>
      <c r="N27" s="1432" t="s">
        <v>3718</v>
      </c>
      <c r="O27" s="1432"/>
      <c r="P27" s="663">
        <f t="shared" ref="P27:P32" si="16">I27-J27</f>
        <v>31</v>
      </c>
      <c r="Q27" s="663">
        <f t="shared" ref="Q27:Q32" si="17">F27-H27</f>
        <v>8</v>
      </c>
      <c r="R27" s="1247"/>
      <c r="S27" s="1241"/>
    </row>
    <row r="28" spans="1:23">
      <c r="A28" s="666" t="s">
        <v>609</v>
      </c>
      <c r="B28" s="663">
        <v>263</v>
      </c>
      <c r="C28" s="663">
        <v>253</v>
      </c>
      <c r="D28" s="948">
        <v>212</v>
      </c>
      <c r="E28" s="663">
        <v>14</v>
      </c>
      <c r="F28" s="663">
        <v>10</v>
      </c>
      <c r="G28" s="667"/>
      <c r="H28" s="667">
        <v>2</v>
      </c>
      <c r="I28" s="663">
        <f t="shared" si="13"/>
        <v>267</v>
      </c>
      <c r="J28" s="663">
        <f t="shared" si="14"/>
        <v>214</v>
      </c>
      <c r="K28" s="663">
        <f t="shared" si="15"/>
        <v>49</v>
      </c>
      <c r="L28" s="666">
        <v>0</v>
      </c>
      <c r="M28" s="666"/>
      <c r="N28" s="1431"/>
      <c r="O28" s="1432"/>
      <c r="P28" s="663">
        <f t="shared" si="16"/>
        <v>53</v>
      </c>
      <c r="Q28" s="663">
        <f t="shared" si="17"/>
        <v>8</v>
      </c>
      <c r="R28" s="1247"/>
      <c r="S28" s="1241"/>
    </row>
    <row r="29" spans="1:23" s="1189" customFormat="1">
      <c r="A29" s="663" t="s">
        <v>610</v>
      </c>
      <c r="B29" s="663">
        <v>263</v>
      </c>
      <c r="C29" s="663">
        <v>207</v>
      </c>
      <c r="D29" s="664">
        <v>150</v>
      </c>
      <c r="E29" s="663">
        <v>20</v>
      </c>
      <c r="F29" s="663">
        <v>10</v>
      </c>
      <c r="G29" s="665"/>
      <c r="H29" s="665">
        <v>3</v>
      </c>
      <c r="I29" s="663">
        <f t="shared" si="13"/>
        <v>227</v>
      </c>
      <c r="J29" s="663">
        <f t="shared" si="14"/>
        <v>153</v>
      </c>
      <c r="K29" s="663">
        <f t="shared" si="15"/>
        <v>110</v>
      </c>
      <c r="L29" s="663">
        <v>2</v>
      </c>
      <c r="M29" s="663">
        <v>2</v>
      </c>
      <c r="N29" s="1435" t="s">
        <v>3657</v>
      </c>
      <c r="O29" s="1435"/>
      <c r="P29" s="663">
        <f t="shared" si="16"/>
        <v>74</v>
      </c>
      <c r="Q29" s="663">
        <f t="shared" si="17"/>
        <v>7</v>
      </c>
      <c r="R29" s="1248"/>
      <c r="S29" s="1241"/>
    </row>
    <row r="30" spans="1:23">
      <c r="A30" s="668" t="s">
        <v>612</v>
      </c>
      <c r="B30" s="663">
        <v>263</v>
      </c>
      <c r="C30" s="668">
        <v>207</v>
      </c>
      <c r="D30" s="791">
        <v>0</v>
      </c>
      <c r="E30" s="663">
        <v>20</v>
      </c>
      <c r="F30" s="663">
        <v>10</v>
      </c>
      <c r="G30" s="669"/>
      <c r="H30" s="669"/>
      <c r="I30" s="663">
        <f t="shared" si="13"/>
        <v>227</v>
      </c>
      <c r="J30" s="663">
        <f t="shared" si="14"/>
        <v>0</v>
      </c>
      <c r="K30" s="663">
        <f t="shared" si="15"/>
        <v>263</v>
      </c>
      <c r="L30" s="668">
        <v>0</v>
      </c>
      <c r="M30" s="668">
        <v>0</v>
      </c>
      <c r="N30" s="1433"/>
      <c r="O30" s="1433"/>
      <c r="P30" s="663">
        <f t="shared" si="16"/>
        <v>227</v>
      </c>
      <c r="Q30" s="663">
        <f t="shared" si="17"/>
        <v>10</v>
      </c>
      <c r="R30" s="1247"/>
      <c r="S30" s="1241"/>
    </row>
    <row r="31" spans="1:23">
      <c r="A31" s="668" t="s">
        <v>3646</v>
      </c>
      <c r="B31" s="664">
        <v>92.281000000000006</v>
      </c>
      <c r="C31" s="668">
        <v>17</v>
      </c>
      <c r="D31" s="791">
        <v>0</v>
      </c>
      <c r="E31" s="668">
        <v>8</v>
      </c>
      <c r="F31" s="1066">
        <v>0.9</v>
      </c>
      <c r="G31" s="669"/>
      <c r="H31" s="669"/>
      <c r="I31" s="663">
        <f t="shared" si="13"/>
        <v>25</v>
      </c>
      <c r="J31" s="663">
        <f t="shared" si="14"/>
        <v>0</v>
      </c>
      <c r="K31" s="664">
        <f t="shared" si="15"/>
        <v>92.281000000000006</v>
      </c>
      <c r="L31" s="668">
        <v>0</v>
      </c>
      <c r="M31" s="668"/>
      <c r="N31" s="1433"/>
      <c r="O31" s="1433"/>
      <c r="P31" s="663">
        <f t="shared" si="16"/>
        <v>25</v>
      </c>
      <c r="Q31" s="663">
        <f t="shared" si="17"/>
        <v>0.9</v>
      </c>
      <c r="R31" s="1247"/>
      <c r="S31" s="1241"/>
    </row>
    <row r="32" spans="1:23">
      <c r="A32" s="668" t="s">
        <v>3645</v>
      </c>
      <c r="B32" s="664">
        <v>92.281000000000006</v>
      </c>
      <c r="C32" s="668">
        <v>17</v>
      </c>
      <c r="D32" s="791"/>
      <c r="E32" s="668">
        <v>8</v>
      </c>
      <c r="F32" s="1066">
        <v>0.9</v>
      </c>
      <c r="G32" s="669"/>
      <c r="H32" s="669"/>
      <c r="I32" s="663">
        <f t="shared" si="13"/>
        <v>25</v>
      </c>
      <c r="J32" s="663"/>
      <c r="K32" s="664">
        <f t="shared" si="15"/>
        <v>92.281000000000006</v>
      </c>
      <c r="L32" s="668"/>
      <c r="M32" s="668"/>
      <c r="N32" s="1433"/>
      <c r="O32" s="1433"/>
      <c r="P32" s="663">
        <f t="shared" si="16"/>
        <v>25</v>
      </c>
      <c r="Q32" s="663">
        <f t="shared" si="17"/>
        <v>0.9</v>
      </c>
      <c r="R32" s="1247"/>
      <c r="S32" s="1241"/>
    </row>
    <row r="33" spans="1:19">
      <c r="A33" s="1439" t="s">
        <v>1773</v>
      </c>
      <c r="B33" s="1439"/>
      <c r="C33" s="1439"/>
      <c r="D33" s="1439"/>
      <c r="E33" s="1439"/>
      <c r="F33" s="1439"/>
      <c r="G33" s="1439"/>
      <c r="H33" s="1439"/>
      <c r="I33" s="1439"/>
      <c r="J33" s="1439"/>
      <c r="K33" s="1439"/>
      <c r="L33" s="1439"/>
      <c r="M33" s="1439"/>
      <c r="N33" s="1439"/>
      <c r="O33" s="1439"/>
      <c r="R33" s="1247"/>
      <c r="S33" s="1241"/>
    </row>
    <row r="34" spans="1:19" ht="62.5">
      <c r="A34" s="662" t="s">
        <v>10</v>
      </c>
      <c r="B34" s="662" t="s">
        <v>2826</v>
      </c>
      <c r="C34" s="662" t="s">
        <v>1757</v>
      </c>
      <c r="D34" s="662" t="s">
        <v>1758</v>
      </c>
      <c r="E34" s="662" t="s">
        <v>3670</v>
      </c>
      <c r="F34" s="662" t="s">
        <v>1759</v>
      </c>
      <c r="G34" s="662" t="s">
        <v>596</v>
      </c>
      <c r="H34" s="662" t="s">
        <v>1760</v>
      </c>
      <c r="I34" s="662" t="s">
        <v>1781</v>
      </c>
      <c r="J34" s="662" t="s">
        <v>1779</v>
      </c>
      <c r="K34" s="662" t="s">
        <v>1777</v>
      </c>
      <c r="L34" s="662" t="s">
        <v>1776</v>
      </c>
      <c r="M34" s="662" t="s">
        <v>598</v>
      </c>
      <c r="N34" s="1434" t="s">
        <v>19</v>
      </c>
      <c r="O34" s="1434"/>
      <c r="P34" s="662" t="s">
        <v>3639</v>
      </c>
      <c r="Q34" s="662" t="s">
        <v>3640</v>
      </c>
      <c r="R34" s="1247"/>
      <c r="S34" s="1241"/>
    </row>
    <row r="35" spans="1:19" s="1189" customFormat="1" ht="17" customHeight="1">
      <c r="A35" s="663" t="s">
        <v>27</v>
      </c>
      <c r="B35" s="664">
        <v>33.103000000000002</v>
      </c>
      <c r="C35" s="664">
        <v>33.103000000000002</v>
      </c>
      <c r="D35" s="664">
        <v>33.103000000000002</v>
      </c>
      <c r="E35" s="664"/>
      <c r="F35" s="663"/>
      <c r="G35" s="793"/>
      <c r="H35" s="1006"/>
      <c r="I35" s="664">
        <f t="shared" ref="I35:I40" si="18">+C35+E35</f>
        <v>33.103000000000002</v>
      </c>
      <c r="J35" s="664">
        <f>+H35+D35</f>
        <v>33.103000000000002</v>
      </c>
      <c r="K35" s="664">
        <f t="shared" ref="K35" si="19">+B35-J35</f>
        <v>0</v>
      </c>
      <c r="L35" s="663"/>
      <c r="M35" s="663">
        <v>1</v>
      </c>
      <c r="N35" s="1432"/>
      <c r="O35" s="1432"/>
      <c r="P35" s="663"/>
      <c r="Q35" s="663"/>
      <c r="R35" s="1248"/>
      <c r="S35" s="1241"/>
    </row>
    <row r="36" spans="1:19" s="1189" customFormat="1" ht="29" customHeight="1">
      <c r="A36" s="663" t="s">
        <v>28</v>
      </c>
      <c r="B36" s="663">
        <v>116</v>
      </c>
      <c r="C36" s="663">
        <v>81</v>
      </c>
      <c r="D36" s="663">
        <v>64</v>
      </c>
      <c r="E36" s="663">
        <v>16</v>
      </c>
      <c r="F36" s="663">
        <v>22</v>
      </c>
      <c r="G36" s="665"/>
      <c r="H36" s="665">
        <v>1</v>
      </c>
      <c r="I36" s="663">
        <f t="shared" si="18"/>
        <v>97</v>
      </c>
      <c r="J36" s="663">
        <f>+H36+D36</f>
        <v>65</v>
      </c>
      <c r="K36" s="664">
        <f t="shared" ref="K36" si="20">+B36-J36</f>
        <v>51</v>
      </c>
      <c r="L36" s="663">
        <v>13</v>
      </c>
      <c r="M36" s="663">
        <v>11</v>
      </c>
      <c r="N36" s="1437"/>
      <c r="O36" s="1437"/>
      <c r="P36" s="663">
        <f t="shared" ref="P36:P41" si="21">I36-J36</f>
        <v>32</v>
      </c>
      <c r="Q36" s="663">
        <f t="shared" ref="Q36:Q41" si="22">F36-H36</f>
        <v>21</v>
      </c>
      <c r="R36" s="1241"/>
      <c r="S36" s="1241"/>
    </row>
    <row r="37" spans="1:19" s="1189" customFormat="1">
      <c r="A37" s="666" t="s">
        <v>609</v>
      </c>
      <c r="B37" s="663">
        <v>116</v>
      </c>
      <c r="C37" s="666">
        <v>81</v>
      </c>
      <c r="D37" s="666">
        <v>53</v>
      </c>
      <c r="E37" s="663">
        <v>16</v>
      </c>
      <c r="F37" s="663">
        <v>22</v>
      </c>
      <c r="G37" s="667"/>
      <c r="H37" s="667"/>
      <c r="I37" s="663">
        <f t="shared" si="18"/>
        <v>97</v>
      </c>
      <c r="J37" s="663">
        <f t="shared" ref="J37:J40" si="23">+H37+D37</f>
        <v>53</v>
      </c>
      <c r="K37" s="664">
        <f t="shared" ref="K37:K41" si="24">+B37-J37</f>
        <v>63</v>
      </c>
      <c r="L37" s="666">
        <v>0</v>
      </c>
      <c r="M37" s="666"/>
      <c r="N37" s="1431"/>
      <c r="O37" s="1432"/>
      <c r="P37" s="663">
        <f t="shared" si="21"/>
        <v>44</v>
      </c>
      <c r="Q37" s="663">
        <f t="shared" si="22"/>
        <v>22</v>
      </c>
      <c r="R37" s="1241"/>
      <c r="S37" s="1241"/>
    </row>
    <row r="38" spans="1:19" s="1189" customFormat="1">
      <c r="A38" s="663" t="s">
        <v>610</v>
      </c>
      <c r="B38" s="663">
        <v>116</v>
      </c>
      <c r="C38" s="663">
        <v>47</v>
      </c>
      <c r="D38" s="663">
        <v>6</v>
      </c>
      <c r="E38" s="663">
        <v>18</v>
      </c>
      <c r="F38" s="663">
        <v>21</v>
      </c>
      <c r="G38" s="665"/>
      <c r="H38" s="665">
        <v>4</v>
      </c>
      <c r="I38" s="663">
        <f t="shared" si="18"/>
        <v>65</v>
      </c>
      <c r="J38" s="663">
        <f t="shared" si="23"/>
        <v>10</v>
      </c>
      <c r="K38" s="664">
        <f t="shared" si="24"/>
        <v>106</v>
      </c>
      <c r="L38" s="663">
        <v>7</v>
      </c>
      <c r="M38" s="663">
        <v>8</v>
      </c>
      <c r="N38" s="1438"/>
      <c r="O38" s="1438"/>
      <c r="P38" s="663">
        <f t="shared" si="21"/>
        <v>55</v>
      </c>
      <c r="Q38" s="663">
        <f t="shared" si="22"/>
        <v>17</v>
      </c>
      <c r="R38" s="1241"/>
      <c r="S38" s="1241"/>
    </row>
    <row r="39" spans="1:19" s="1189" customFormat="1">
      <c r="A39" s="663" t="s">
        <v>612</v>
      </c>
      <c r="B39" s="663">
        <v>116</v>
      </c>
      <c r="C39" s="663">
        <v>47</v>
      </c>
      <c r="D39" s="663">
        <v>0</v>
      </c>
      <c r="E39" s="663">
        <v>18</v>
      </c>
      <c r="F39" s="663">
        <v>21</v>
      </c>
      <c r="G39" s="665"/>
      <c r="H39" s="665"/>
      <c r="I39" s="663">
        <f t="shared" si="18"/>
        <v>65</v>
      </c>
      <c r="J39" s="663">
        <f t="shared" si="23"/>
        <v>0</v>
      </c>
      <c r="K39" s="664">
        <f t="shared" si="24"/>
        <v>116</v>
      </c>
      <c r="L39" s="663">
        <v>0</v>
      </c>
      <c r="M39" s="663">
        <v>0</v>
      </c>
      <c r="N39" s="1438"/>
      <c r="O39" s="1438"/>
      <c r="P39" s="663">
        <f t="shared" si="21"/>
        <v>65</v>
      </c>
      <c r="Q39" s="663">
        <f t="shared" si="22"/>
        <v>21</v>
      </c>
      <c r="R39" s="1241"/>
      <c r="S39" s="1241"/>
    </row>
    <row r="40" spans="1:19" s="1189" customFormat="1">
      <c r="A40" s="668" t="s">
        <v>3646</v>
      </c>
      <c r="B40" s="664">
        <v>33.103000000000002</v>
      </c>
      <c r="C40" s="663">
        <v>0</v>
      </c>
      <c r="D40" s="664">
        <v>0</v>
      </c>
      <c r="E40" s="663"/>
      <c r="F40" s="663"/>
      <c r="G40" s="665"/>
      <c r="H40" s="665"/>
      <c r="I40" s="663">
        <f t="shared" si="18"/>
        <v>0</v>
      </c>
      <c r="J40" s="663">
        <f t="shared" si="23"/>
        <v>0</v>
      </c>
      <c r="K40" s="664">
        <f t="shared" si="24"/>
        <v>33.103000000000002</v>
      </c>
      <c r="L40" s="663">
        <v>0</v>
      </c>
      <c r="M40" s="663">
        <v>0</v>
      </c>
      <c r="N40" s="1438"/>
      <c r="O40" s="1438"/>
      <c r="P40" s="663">
        <f t="shared" si="21"/>
        <v>0</v>
      </c>
      <c r="Q40" s="663">
        <f t="shared" si="22"/>
        <v>0</v>
      </c>
      <c r="R40" s="1241"/>
      <c r="S40" s="1241"/>
    </row>
    <row r="41" spans="1:19" s="1189" customFormat="1">
      <c r="A41" s="663" t="s">
        <v>3645</v>
      </c>
      <c r="B41" s="664">
        <v>33.103000000000002</v>
      </c>
      <c r="C41" s="663"/>
      <c r="D41" s="664"/>
      <c r="E41" s="663"/>
      <c r="F41" s="663"/>
      <c r="G41" s="665"/>
      <c r="H41" s="665"/>
      <c r="I41" s="663"/>
      <c r="J41" s="663"/>
      <c r="K41" s="664">
        <f t="shared" si="24"/>
        <v>33.103000000000002</v>
      </c>
      <c r="L41" s="663"/>
      <c r="M41" s="663"/>
      <c r="N41" s="1438"/>
      <c r="O41" s="1438"/>
      <c r="P41" s="663">
        <f t="shared" si="21"/>
        <v>0</v>
      </c>
      <c r="Q41" s="663">
        <f t="shared" si="22"/>
        <v>0</v>
      </c>
      <c r="R41" s="1241"/>
      <c r="S41" s="1241"/>
    </row>
    <row r="42" spans="1:19">
      <c r="A42" s="1439" t="s">
        <v>1774</v>
      </c>
      <c r="B42" s="1439"/>
      <c r="C42" s="1439"/>
      <c r="D42" s="1439"/>
      <c r="E42" s="1439"/>
      <c r="F42" s="1439"/>
      <c r="G42" s="1439"/>
      <c r="H42" s="1439"/>
      <c r="I42" s="1439"/>
      <c r="J42" s="1439"/>
      <c r="K42" s="1439"/>
      <c r="L42" s="1439"/>
      <c r="M42" s="1439"/>
      <c r="N42" s="1439"/>
      <c r="O42" s="1439"/>
    </row>
    <row r="43" spans="1:19" ht="62.5">
      <c r="A43" s="662" t="s">
        <v>10</v>
      </c>
      <c r="B43" s="662" t="s">
        <v>2826</v>
      </c>
      <c r="C43" s="662" t="s">
        <v>1757</v>
      </c>
      <c r="D43" s="662" t="s">
        <v>1758</v>
      </c>
      <c r="E43" s="662" t="s">
        <v>3670</v>
      </c>
      <c r="F43" s="662" t="s">
        <v>1759</v>
      </c>
      <c r="G43" s="662" t="s">
        <v>596</v>
      </c>
      <c r="H43" s="662" t="s">
        <v>1760</v>
      </c>
      <c r="I43" s="662" t="s">
        <v>1781</v>
      </c>
      <c r="J43" s="662" t="s">
        <v>1780</v>
      </c>
      <c r="K43" s="662" t="s">
        <v>1778</v>
      </c>
      <c r="L43" s="662" t="s">
        <v>1775</v>
      </c>
      <c r="M43" s="662" t="s">
        <v>598</v>
      </c>
      <c r="N43" s="1434" t="s">
        <v>19</v>
      </c>
      <c r="O43" s="1434"/>
      <c r="P43" s="662" t="s">
        <v>3639</v>
      </c>
      <c r="Q43" s="662" t="s">
        <v>3640</v>
      </c>
    </row>
    <row r="44" spans="1:19">
      <c r="A44" s="666" t="s">
        <v>27</v>
      </c>
      <c r="B44" s="1239">
        <v>3.415</v>
      </c>
      <c r="C44" s="666">
        <v>2.1</v>
      </c>
      <c r="D44" s="1301">
        <v>3.415</v>
      </c>
      <c r="E44" s="663"/>
      <c r="F44" s="666"/>
      <c r="G44" s="667"/>
      <c r="H44" s="667"/>
      <c r="I44" s="663">
        <f>+C44+F44</f>
        <v>2.1</v>
      </c>
      <c r="J44" s="1239">
        <f t="shared" ref="J44:J49" si="25">+H44+D44</f>
        <v>3.415</v>
      </c>
      <c r="K44" s="664">
        <f t="shared" ref="K44:K50" si="26">+B44-J44</f>
        <v>0</v>
      </c>
      <c r="L44" s="666"/>
      <c r="M44" s="666"/>
      <c r="N44" s="1431"/>
      <c r="O44" s="1432"/>
      <c r="P44" s="666"/>
      <c r="Q44" s="666"/>
    </row>
    <row r="45" spans="1:19">
      <c r="A45" s="666" t="s">
        <v>28</v>
      </c>
      <c r="B45" s="663">
        <v>18</v>
      </c>
      <c r="C45" s="666">
        <v>14</v>
      </c>
      <c r="D45" s="666">
        <v>5</v>
      </c>
      <c r="E45" s="663">
        <v>3</v>
      </c>
      <c r="F45" s="666">
        <v>5</v>
      </c>
      <c r="G45" s="667"/>
      <c r="H45" s="667"/>
      <c r="I45" s="663">
        <f t="shared" ref="I45:I49" si="27">+C45+E45</f>
        <v>17</v>
      </c>
      <c r="J45" s="663">
        <f t="shared" si="25"/>
        <v>5</v>
      </c>
      <c r="K45" s="664">
        <f t="shared" si="26"/>
        <v>13</v>
      </c>
      <c r="L45" s="666">
        <v>7</v>
      </c>
      <c r="M45" s="666">
        <v>5</v>
      </c>
      <c r="N45" s="1431"/>
      <c r="O45" s="1432"/>
      <c r="P45" s="663">
        <f>I45-J45</f>
        <v>12</v>
      </c>
      <c r="Q45" s="663">
        <f>F45-H45</f>
        <v>5</v>
      </c>
    </row>
    <row r="46" spans="1:19">
      <c r="A46" s="666" t="s">
        <v>609</v>
      </c>
      <c r="B46" s="663">
        <v>18</v>
      </c>
      <c r="C46" s="666">
        <v>14</v>
      </c>
      <c r="D46" s="666">
        <v>0</v>
      </c>
      <c r="E46" s="663">
        <v>3</v>
      </c>
      <c r="F46" s="666">
        <v>5</v>
      </c>
      <c r="G46" s="667"/>
      <c r="H46" s="667">
        <v>1</v>
      </c>
      <c r="I46" s="663">
        <f t="shared" si="27"/>
        <v>17</v>
      </c>
      <c r="J46" s="663">
        <f t="shared" si="25"/>
        <v>1</v>
      </c>
      <c r="K46" s="664">
        <f t="shared" si="26"/>
        <v>17</v>
      </c>
      <c r="L46" s="666">
        <v>0</v>
      </c>
      <c r="M46" s="666"/>
      <c r="N46" s="1431"/>
      <c r="O46" s="1432"/>
      <c r="P46" s="663">
        <f t="shared" ref="P46:P49" si="28">I46-J46</f>
        <v>16</v>
      </c>
      <c r="Q46" s="663">
        <f>F46-H46</f>
        <v>4</v>
      </c>
    </row>
    <row r="47" spans="1:19">
      <c r="A47" s="666" t="s">
        <v>610</v>
      </c>
      <c r="B47" s="663">
        <v>18</v>
      </c>
      <c r="C47" s="666">
        <v>10</v>
      </c>
      <c r="D47" s="666">
        <v>0</v>
      </c>
      <c r="E47" s="663"/>
      <c r="F47" s="666"/>
      <c r="G47" s="667"/>
      <c r="H47" s="667"/>
      <c r="I47" s="663">
        <f t="shared" si="27"/>
        <v>10</v>
      </c>
      <c r="J47" s="663">
        <f t="shared" si="25"/>
        <v>0</v>
      </c>
      <c r="K47" s="664">
        <f t="shared" si="26"/>
        <v>18</v>
      </c>
      <c r="L47" s="666">
        <v>0</v>
      </c>
      <c r="M47" s="666">
        <v>0</v>
      </c>
      <c r="N47" s="1431"/>
      <c r="O47" s="1432"/>
      <c r="P47" s="663">
        <f t="shared" si="28"/>
        <v>10</v>
      </c>
      <c r="Q47" s="663">
        <f>F47-H47</f>
        <v>0</v>
      </c>
    </row>
    <row r="48" spans="1:19">
      <c r="A48" s="666" t="s">
        <v>612</v>
      </c>
      <c r="B48" s="663">
        <v>18</v>
      </c>
      <c r="C48" s="666">
        <v>10</v>
      </c>
      <c r="D48" s="666">
        <v>0</v>
      </c>
      <c r="E48" s="663"/>
      <c r="F48" s="666"/>
      <c r="G48" s="667"/>
      <c r="H48" s="667"/>
      <c r="I48" s="663">
        <f t="shared" si="27"/>
        <v>10</v>
      </c>
      <c r="J48" s="663">
        <f t="shared" si="25"/>
        <v>0</v>
      </c>
      <c r="K48" s="664">
        <f t="shared" si="26"/>
        <v>18</v>
      </c>
      <c r="L48" s="666">
        <v>0</v>
      </c>
      <c r="M48" s="666">
        <v>0</v>
      </c>
      <c r="N48" s="1431"/>
      <c r="O48" s="1432"/>
      <c r="P48" s="663">
        <f t="shared" si="28"/>
        <v>10</v>
      </c>
      <c r="Q48" s="663">
        <f>F48-H48</f>
        <v>0</v>
      </c>
    </row>
    <row r="49" spans="1:21">
      <c r="A49" s="668" t="s">
        <v>3646</v>
      </c>
      <c r="B49" s="1028">
        <v>3.415</v>
      </c>
      <c r="C49" s="666">
        <v>0</v>
      </c>
      <c r="D49" s="666">
        <v>0</v>
      </c>
      <c r="E49" s="663"/>
      <c r="F49" s="666"/>
      <c r="G49" s="667"/>
      <c r="H49" s="667"/>
      <c r="I49" s="663">
        <f t="shared" si="27"/>
        <v>0</v>
      </c>
      <c r="J49" s="663">
        <f t="shared" si="25"/>
        <v>0</v>
      </c>
      <c r="K49" s="664">
        <f t="shared" si="26"/>
        <v>3.415</v>
      </c>
      <c r="L49" s="666">
        <v>0</v>
      </c>
      <c r="M49" s="666">
        <v>0</v>
      </c>
      <c r="N49" s="1431"/>
      <c r="O49" s="1432"/>
      <c r="P49" s="663">
        <f t="shared" si="28"/>
        <v>0</v>
      </c>
      <c r="Q49" s="666"/>
    </row>
    <row r="50" spans="1:21">
      <c r="A50" s="666" t="s">
        <v>3645</v>
      </c>
      <c r="B50" s="1028">
        <v>3.415</v>
      </c>
      <c r="C50" s="666"/>
      <c r="D50" s="666"/>
      <c r="E50" s="663"/>
      <c r="F50" s="666"/>
      <c r="G50" s="667"/>
      <c r="H50" s="667"/>
      <c r="I50" s="663"/>
      <c r="J50" s="663"/>
      <c r="K50" s="664">
        <f t="shared" si="26"/>
        <v>3.415</v>
      </c>
      <c r="L50" s="666"/>
      <c r="M50" s="666"/>
      <c r="N50" s="1431"/>
      <c r="O50" s="1432"/>
      <c r="P50" s="663">
        <f t="shared" ref="P50" si="29">I50-J50</f>
        <v>0</v>
      </c>
      <c r="Q50" s="666"/>
      <c r="U50" s="643">
        <f>599+300</f>
        <v>899</v>
      </c>
    </row>
    <row r="51" spans="1:21">
      <c r="A51" s="1439" t="s">
        <v>2831</v>
      </c>
      <c r="B51" s="1439"/>
      <c r="C51" s="1439"/>
      <c r="D51" s="1439"/>
      <c r="E51" s="1439"/>
      <c r="F51" s="1439"/>
      <c r="G51" s="1439"/>
      <c r="H51" s="1439"/>
      <c r="I51" s="1439"/>
      <c r="J51" s="1439"/>
      <c r="K51" s="1439"/>
      <c r="L51" s="1439"/>
      <c r="M51" s="1439"/>
      <c r="N51" s="1439"/>
      <c r="O51" s="1439"/>
      <c r="U51" s="643">
        <f>U50+300</f>
        <v>1199</v>
      </c>
    </row>
    <row r="52" spans="1:21" ht="37.5">
      <c r="A52" s="662" t="s">
        <v>2401</v>
      </c>
      <c r="B52" s="662" t="s">
        <v>2832</v>
      </c>
      <c r="C52" s="662" t="s">
        <v>2826</v>
      </c>
      <c r="D52" s="662" t="s">
        <v>3668</v>
      </c>
      <c r="E52" s="662" t="s">
        <v>3669</v>
      </c>
      <c r="F52" s="1434" t="s">
        <v>19</v>
      </c>
      <c r="G52" s="1434"/>
      <c r="H52" s="1434"/>
      <c r="I52" s="1453"/>
      <c r="J52" s="1453"/>
      <c r="K52" s="1453"/>
      <c r="L52" s="1453"/>
      <c r="M52" s="1453"/>
      <c r="N52" s="1453"/>
      <c r="O52" s="1453"/>
    </row>
    <row r="53" spans="1:21" ht="30" customHeight="1">
      <c r="A53" s="1438" t="s">
        <v>2691</v>
      </c>
      <c r="B53" s="931" t="s">
        <v>2833</v>
      </c>
      <c r="C53" s="930">
        <f>262+127</f>
        <v>389</v>
      </c>
      <c r="D53" s="930">
        <f>100+120+150+64</f>
        <v>434</v>
      </c>
      <c r="E53" s="930">
        <v>377</v>
      </c>
      <c r="F53" s="1454"/>
      <c r="G53" s="1438"/>
      <c r="H53" s="1438"/>
      <c r="I53" s="1453"/>
      <c r="J53" s="1453"/>
      <c r="K53" s="1453"/>
      <c r="L53" s="1453"/>
      <c r="M53" s="1453"/>
      <c r="N53" s="1453"/>
      <c r="O53" s="1453"/>
    </row>
    <row r="54" spans="1:21" ht="30" customHeight="1">
      <c r="A54" s="1438"/>
      <c r="B54" s="931" t="s">
        <v>2834</v>
      </c>
      <c r="C54" s="930">
        <v>389</v>
      </c>
      <c r="D54" s="930">
        <f>101+115+107</f>
        <v>323</v>
      </c>
      <c r="E54" s="930">
        <v>337</v>
      </c>
      <c r="F54" s="1438"/>
      <c r="G54" s="1438"/>
      <c r="H54" s="1438"/>
      <c r="I54" s="1453"/>
      <c r="J54" s="1453"/>
      <c r="K54" s="1453"/>
      <c r="L54" s="1453"/>
      <c r="M54" s="1453"/>
      <c r="N54" s="1453"/>
      <c r="O54" s="1453"/>
    </row>
    <row r="55" spans="1:21" ht="30" customHeight="1">
      <c r="A55" s="1438"/>
      <c r="B55" s="931" t="s">
        <v>3607</v>
      </c>
      <c r="C55" s="930">
        <v>3016</v>
      </c>
      <c r="D55" s="930">
        <f>870+870+434</f>
        <v>2174</v>
      </c>
      <c r="E55" s="930">
        <f>350+130+70+350</f>
        <v>900</v>
      </c>
      <c r="F55" s="1438"/>
      <c r="G55" s="1438"/>
      <c r="H55" s="1438"/>
      <c r="I55" s="1453"/>
      <c r="J55" s="1453"/>
      <c r="K55" s="1453"/>
      <c r="L55" s="1453"/>
      <c r="M55" s="1453"/>
      <c r="N55" s="1453"/>
      <c r="O55" s="1453"/>
    </row>
    <row r="56" spans="1:21" ht="30" customHeight="1">
      <c r="A56" s="1438"/>
      <c r="B56" s="931" t="s">
        <v>3608</v>
      </c>
      <c r="C56" s="930">
        <v>9132</v>
      </c>
      <c r="D56" s="930">
        <f>2998+2998+1500</f>
        <v>7496</v>
      </c>
      <c r="E56" s="930">
        <v>1200</v>
      </c>
      <c r="F56" s="1438"/>
      <c r="G56" s="1438"/>
      <c r="H56" s="1438"/>
      <c r="I56" s="1453"/>
      <c r="J56" s="1453"/>
      <c r="K56" s="1453"/>
      <c r="L56" s="1453"/>
      <c r="M56" s="1453"/>
      <c r="N56" s="1453"/>
      <c r="O56" s="1453"/>
    </row>
    <row r="57" spans="1:21" ht="30" customHeight="1">
      <c r="A57" s="1438"/>
      <c r="B57" s="931" t="s">
        <v>3609</v>
      </c>
      <c r="C57" s="1291">
        <f>(47+93)*24*1.01</f>
        <v>3393.6</v>
      </c>
      <c r="D57" s="930">
        <v>3489</v>
      </c>
      <c r="E57" s="1291">
        <v>3394</v>
      </c>
      <c r="F57" s="1438"/>
      <c r="G57" s="1438"/>
      <c r="H57" s="1438"/>
      <c r="I57" s="1453"/>
      <c r="J57" s="1453"/>
      <c r="K57" s="1453"/>
      <c r="L57" s="1453"/>
      <c r="M57" s="1453"/>
      <c r="N57" s="1453"/>
      <c r="O57" s="1453"/>
    </row>
    <row r="58" spans="1:21" ht="30" customHeight="1">
      <c r="A58" s="1438"/>
      <c r="B58" s="931" t="s">
        <v>3610</v>
      </c>
      <c r="C58" s="1292">
        <v>1</v>
      </c>
      <c r="D58" s="1292">
        <v>1</v>
      </c>
      <c r="E58" s="930"/>
      <c r="F58" s="1438"/>
      <c r="G58" s="1438"/>
      <c r="H58" s="1438"/>
      <c r="I58" s="1453"/>
      <c r="J58" s="1453"/>
      <c r="K58" s="1453"/>
      <c r="L58" s="1453"/>
      <c r="M58" s="1453"/>
      <c r="N58" s="1453"/>
      <c r="O58" s="1453"/>
    </row>
    <row r="59" spans="1:21" ht="30" customHeight="1">
      <c r="A59" s="1438"/>
      <c r="B59" s="931" t="s">
        <v>3611</v>
      </c>
      <c r="C59" s="1292">
        <v>1</v>
      </c>
      <c r="D59" s="1292">
        <v>1</v>
      </c>
      <c r="E59" s="930"/>
      <c r="F59" s="1438"/>
      <c r="G59" s="1438"/>
      <c r="H59" s="1438"/>
      <c r="I59" s="1453"/>
      <c r="J59" s="1453"/>
      <c r="K59" s="1453"/>
      <c r="L59" s="1453"/>
      <c r="M59" s="1453"/>
      <c r="N59" s="1453"/>
      <c r="O59" s="1453"/>
    </row>
    <row r="60" spans="1:21" ht="30" customHeight="1">
      <c r="A60" s="1438" t="s">
        <v>2835</v>
      </c>
      <c r="B60" s="931" t="s">
        <v>2833</v>
      </c>
      <c r="C60" s="930">
        <v>116</v>
      </c>
      <c r="D60" s="930">
        <v>129</v>
      </c>
      <c r="E60" s="930">
        <v>111</v>
      </c>
      <c r="F60" s="1438"/>
      <c r="G60" s="1438"/>
      <c r="H60" s="1438"/>
      <c r="I60" s="1453"/>
      <c r="J60" s="1453"/>
      <c r="K60" s="1453"/>
      <c r="L60" s="1453"/>
      <c r="M60" s="1453"/>
      <c r="N60" s="1453"/>
      <c r="O60" s="1453"/>
    </row>
    <row r="61" spans="1:21" ht="30" customHeight="1">
      <c r="A61" s="1438"/>
      <c r="B61" s="931" t="s">
        <v>2834</v>
      </c>
      <c r="C61" s="930">
        <v>116</v>
      </c>
      <c r="D61" s="930">
        <v>129</v>
      </c>
      <c r="E61" s="930">
        <v>102</v>
      </c>
      <c r="F61" s="1438"/>
      <c r="G61" s="1438"/>
      <c r="H61" s="1438"/>
      <c r="I61" s="1453"/>
      <c r="J61" s="1453"/>
      <c r="K61" s="1453"/>
      <c r="L61" s="1453"/>
      <c r="M61" s="1453"/>
      <c r="N61" s="1453"/>
      <c r="O61" s="1453"/>
    </row>
    <row r="62" spans="1:21" ht="30" customHeight="1">
      <c r="A62" s="1438"/>
      <c r="B62" s="931" t="s">
        <v>3607</v>
      </c>
      <c r="C62" s="930">
        <v>295</v>
      </c>
      <c r="D62" s="930">
        <v>174</v>
      </c>
      <c r="E62" s="930"/>
      <c r="F62" s="1438"/>
      <c r="G62" s="1438"/>
      <c r="H62" s="1438"/>
      <c r="I62" s="1453"/>
      <c r="J62" s="1453"/>
      <c r="K62" s="1453"/>
      <c r="L62" s="1453"/>
      <c r="M62" s="1453"/>
      <c r="N62" s="1453"/>
      <c r="O62" s="1453"/>
    </row>
    <row r="63" spans="1:21" ht="30" customHeight="1">
      <c r="A63" s="1438"/>
      <c r="B63" s="931" t="s">
        <v>3608</v>
      </c>
      <c r="C63" s="930">
        <v>5606</v>
      </c>
      <c r="D63" s="930">
        <v>2940</v>
      </c>
      <c r="E63" s="930"/>
      <c r="F63" s="1438"/>
      <c r="G63" s="1438"/>
      <c r="H63" s="1438"/>
      <c r="I63" s="1453"/>
      <c r="J63" s="1453"/>
      <c r="K63" s="1453"/>
      <c r="L63" s="1453"/>
      <c r="M63" s="1453"/>
      <c r="N63" s="1453"/>
      <c r="O63" s="1453"/>
    </row>
    <row r="64" spans="1:21" ht="30" customHeight="1">
      <c r="A64" s="1438"/>
      <c r="B64" s="931" t="s">
        <v>3609</v>
      </c>
      <c r="C64" s="1291">
        <f>33.4*24*1.01</f>
        <v>809.61599999999987</v>
      </c>
      <c r="D64" s="930">
        <f>286+516</f>
        <v>802</v>
      </c>
      <c r="E64" s="1291">
        <v>224</v>
      </c>
      <c r="F64" s="1438"/>
      <c r="G64" s="1438"/>
      <c r="H64" s="1438"/>
      <c r="I64" s="1453"/>
      <c r="J64" s="1453"/>
      <c r="K64" s="1453"/>
      <c r="L64" s="1453"/>
      <c r="M64" s="1453"/>
      <c r="N64" s="1453"/>
      <c r="O64" s="1453"/>
    </row>
    <row r="65" spans="1:15" ht="30" customHeight="1">
      <c r="A65" s="1438"/>
      <c r="B65" s="931" t="s">
        <v>3610</v>
      </c>
      <c r="C65" s="1293">
        <v>1</v>
      </c>
      <c r="D65" s="1293">
        <v>1</v>
      </c>
      <c r="E65" s="930"/>
      <c r="F65" s="1438"/>
      <c r="G65" s="1438"/>
      <c r="H65" s="1438"/>
      <c r="I65" s="1453"/>
      <c r="J65" s="1453"/>
      <c r="K65" s="1453"/>
      <c r="L65" s="1453"/>
      <c r="M65" s="1453"/>
      <c r="N65" s="1453"/>
      <c r="O65" s="1453"/>
    </row>
    <row r="66" spans="1:15" ht="30" customHeight="1">
      <c r="A66" s="1438"/>
      <c r="B66" s="931" t="s">
        <v>3612</v>
      </c>
      <c r="C66" s="1293">
        <v>1</v>
      </c>
      <c r="D66" s="1293">
        <v>0.5</v>
      </c>
      <c r="E66" s="1293">
        <v>1</v>
      </c>
      <c r="F66" s="1438"/>
      <c r="G66" s="1438"/>
      <c r="H66" s="1438"/>
      <c r="I66" s="1453"/>
      <c r="J66" s="1453"/>
      <c r="K66" s="1453"/>
      <c r="L66" s="1453"/>
      <c r="M66" s="1453"/>
      <c r="N66" s="1453"/>
      <c r="O66" s="1453"/>
    </row>
    <row r="67" spans="1:15" ht="30" customHeight="1">
      <c r="A67" s="1438"/>
      <c r="B67" s="931" t="s">
        <v>3611</v>
      </c>
      <c r="C67" s="1293">
        <v>1</v>
      </c>
      <c r="D67" s="1293">
        <v>0.5</v>
      </c>
      <c r="E67" s="930"/>
      <c r="F67" s="1438"/>
      <c r="G67" s="1438"/>
      <c r="H67" s="1438"/>
      <c r="I67" s="1453"/>
      <c r="J67" s="1453"/>
      <c r="K67" s="1453"/>
      <c r="L67" s="1453"/>
      <c r="M67" s="1453"/>
      <c r="N67" s="1453"/>
      <c r="O67" s="1453"/>
    </row>
    <row r="68" spans="1:15" ht="30" customHeight="1">
      <c r="A68" s="1438" t="s">
        <v>2836</v>
      </c>
      <c r="B68" s="931" t="s">
        <v>2833</v>
      </c>
      <c r="C68" s="930">
        <v>18</v>
      </c>
      <c r="D68" s="930">
        <v>15</v>
      </c>
      <c r="E68" s="930">
        <v>12</v>
      </c>
      <c r="F68" s="1438"/>
      <c r="G68" s="1438"/>
      <c r="H68" s="1438"/>
      <c r="I68" s="1453"/>
      <c r="J68" s="1453"/>
      <c r="K68" s="1453"/>
      <c r="L68" s="1453"/>
      <c r="M68" s="1453"/>
      <c r="N68" s="1453"/>
      <c r="O68" s="1453"/>
    </row>
    <row r="69" spans="1:15" ht="30" customHeight="1">
      <c r="A69" s="1438"/>
      <c r="B69" s="931" t="s">
        <v>2834</v>
      </c>
      <c r="C69" s="930">
        <v>18</v>
      </c>
      <c r="D69" s="930">
        <v>14</v>
      </c>
      <c r="E69" s="930"/>
      <c r="F69" s="1438"/>
      <c r="G69" s="1438"/>
      <c r="H69" s="1438"/>
      <c r="I69" s="1453"/>
      <c r="J69" s="1453"/>
      <c r="K69" s="1453"/>
      <c r="L69" s="1453"/>
      <c r="M69" s="1453"/>
      <c r="N69" s="1453"/>
      <c r="O69" s="1453"/>
    </row>
    <row r="70" spans="1:15" ht="30" customHeight="1">
      <c r="A70" s="1438"/>
      <c r="B70" s="931" t="s">
        <v>3607</v>
      </c>
      <c r="C70" s="930">
        <v>117</v>
      </c>
      <c r="D70" s="930">
        <v>90</v>
      </c>
      <c r="E70" s="930"/>
      <c r="F70" s="1438"/>
      <c r="G70" s="1438"/>
      <c r="H70" s="1438"/>
      <c r="I70" s="1453"/>
      <c r="J70" s="1453"/>
      <c r="K70" s="1453"/>
      <c r="L70" s="1453"/>
      <c r="M70" s="1453"/>
      <c r="N70" s="1453"/>
      <c r="O70" s="1453"/>
    </row>
    <row r="71" spans="1:15" ht="30" customHeight="1">
      <c r="A71" s="1438"/>
      <c r="B71" s="931" t="s">
        <v>3608</v>
      </c>
      <c r="C71" s="930">
        <v>453</v>
      </c>
      <c r="D71" s="930">
        <v>252</v>
      </c>
      <c r="E71" s="930"/>
      <c r="F71" s="1438"/>
      <c r="G71" s="1438"/>
      <c r="H71" s="1438"/>
      <c r="I71" s="1453"/>
      <c r="J71" s="1453"/>
      <c r="K71" s="1453"/>
      <c r="L71" s="1453"/>
      <c r="M71" s="1453"/>
      <c r="N71" s="1453"/>
      <c r="O71" s="1453"/>
    </row>
    <row r="72" spans="1:15" ht="30" customHeight="1">
      <c r="A72" s="1438"/>
      <c r="B72" s="931" t="s">
        <v>3609</v>
      </c>
      <c r="C72" s="1291">
        <f>3.43*12*1.01</f>
        <v>41.571600000000004</v>
      </c>
      <c r="D72" s="930">
        <v>14</v>
      </c>
      <c r="E72" s="930">
        <v>13</v>
      </c>
      <c r="F72" s="1438"/>
      <c r="G72" s="1438"/>
      <c r="H72" s="1438"/>
      <c r="I72" s="1453"/>
      <c r="J72" s="1453"/>
      <c r="K72" s="1453"/>
      <c r="L72" s="1453"/>
      <c r="M72" s="1453"/>
      <c r="N72" s="1453"/>
      <c r="O72" s="1453"/>
    </row>
    <row r="73" spans="1:15" ht="30" customHeight="1">
      <c r="A73" s="1438"/>
      <c r="B73" s="931" t="s">
        <v>3610</v>
      </c>
      <c r="C73" s="1293">
        <v>1</v>
      </c>
      <c r="D73" s="1293">
        <v>1</v>
      </c>
      <c r="E73" s="930"/>
      <c r="F73" s="1438"/>
      <c r="G73" s="1438"/>
      <c r="H73" s="1438"/>
      <c r="I73" s="1453"/>
      <c r="J73" s="1453"/>
      <c r="K73" s="1453"/>
      <c r="L73" s="1453"/>
      <c r="M73" s="1453"/>
      <c r="N73" s="1453"/>
      <c r="O73" s="1453"/>
    </row>
    <row r="74" spans="1:15" ht="30" customHeight="1">
      <c r="A74" s="1438"/>
      <c r="B74" s="931" t="s">
        <v>3612</v>
      </c>
      <c r="C74" s="1293">
        <v>1</v>
      </c>
      <c r="D74" s="1293">
        <v>1</v>
      </c>
      <c r="E74" s="930"/>
      <c r="F74" s="1438"/>
      <c r="G74" s="1438"/>
      <c r="H74" s="1438"/>
      <c r="I74" s="1453"/>
      <c r="J74" s="1453"/>
      <c r="K74" s="1453"/>
      <c r="L74" s="1453"/>
      <c r="M74" s="1453"/>
      <c r="N74" s="1453"/>
      <c r="O74" s="1453"/>
    </row>
    <row r="75" spans="1:15" ht="30" customHeight="1">
      <c r="A75" s="1438"/>
      <c r="B75" s="931" t="s">
        <v>3611</v>
      </c>
      <c r="C75" s="1293">
        <v>1</v>
      </c>
      <c r="D75" s="1293">
        <v>1</v>
      </c>
      <c r="E75" s="930"/>
      <c r="F75" s="1438"/>
      <c r="G75" s="1438"/>
      <c r="H75" s="1438"/>
      <c r="I75" s="1453"/>
      <c r="J75" s="1453"/>
      <c r="K75" s="1453"/>
      <c r="L75" s="1453"/>
      <c r="M75" s="1453"/>
      <c r="N75" s="1453"/>
      <c r="O75" s="1453"/>
    </row>
  </sheetData>
  <mergeCells count="62">
    <mergeCell ref="I52:O75"/>
    <mergeCell ref="N46:O46"/>
    <mergeCell ref="N47:O47"/>
    <mergeCell ref="N48:O48"/>
    <mergeCell ref="N49:O49"/>
    <mergeCell ref="A51:O51"/>
    <mergeCell ref="F52:H52"/>
    <mergeCell ref="A53:A59"/>
    <mergeCell ref="F53:H59"/>
    <mergeCell ref="A60:A67"/>
    <mergeCell ref="F60:H67"/>
    <mergeCell ref="A68:A75"/>
    <mergeCell ref="F68:H75"/>
    <mergeCell ref="N50:O50"/>
    <mergeCell ref="A1:A4"/>
    <mergeCell ref="C2:E2"/>
    <mergeCell ref="C3:E3"/>
    <mergeCell ref="C4:E4"/>
    <mergeCell ref="N28:O28"/>
    <mergeCell ref="N22:O22"/>
    <mergeCell ref="A24:O24"/>
    <mergeCell ref="N25:O25"/>
    <mergeCell ref="N26:O26"/>
    <mergeCell ref="N10:O10"/>
    <mergeCell ref="N11:O11"/>
    <mergeCell ref="N12:O12"/>
    <mergeCell ref="A14:O14"/>
    <mergeCell ref="N17:O17"/>
    <mergeCell ref="A15:O15"/>
    <mergeCell ref="N27:O27"/>
    <mergeCell ref="N44:O44"/>
    <mergeCell ref="A5:O5"/>
    <mergeCell ref="N6:O6"/>
    <mergeCell ref="N7:O7"/>
    <mergeCell ref="N8:O8"/>
    <mergeCell ref="N9:O9"/>
    <mergeCell ref="N29:O29"/>
    <mergeCell ref="N30:O30"/>
    <mergeCell ref="A33:O33"/>
    <mergeCell ref="A42:O42"/>
    <mergeCell ref="M22:M23"/>
    <mergeCell ref="N23:O23"/>
    <mergeCell ref="N32:O32"/>
    <mergeCell ref="N41:O41"/>
    <mergeCell ref="M12:M13"/>
    <mergeCell ref="N13:O13"/>
    <mergeCell ref="J1:O4"/>
    <mergeCell ref="N45:O45"/>
    <mergeCell ref="N31:O31"/>
    <mergeCell ref="N43:O43"/>
    <mergeCell ref="N16:O16"/>
    <mergeCell ref="N18:O18"/>
    <mergeCell ref="N19:O19"/>
    <mergeCell ref="N20:O20"/>
    <mergeCell ref="N21:O21"/>
    <mergeCell ref="N34:O34"/>
    <mergeCell ref="N35:O35"/>
    <mergeCell ref="N36:O36"/>
    <mergeCell ref="N37:O37"/>
    <mergeCell ref="N38:O38"/>
    <mergeCell ref="N39:O39"/>
    <mergeCell ref="N40:O40"/>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033DC-71A5-49B7-8DD6-BEEF7E5DBEBD}">
  <sheetPr>
    <tabColor rgb="FF00B050"/>
  </sheetPr>
  <dimension ref="C3:L12"/>
  <sheetViews>
    <sheetView workbookViewId="0">
      <selection activeCell="H12" sqref="H12"/>
    </sheetView>
  </sheetViews>
  <sheetFormatPr defaultRowHeight="14.5"/>
  <cols>
    <col min="3" max="3" width="16.453125" bestFit="1" customWidth="1"/>
    <col min="4" max="5" width="8.7265625" style="2"/>
    <col min="8" max="8" width="10.6328125" style="2" bestFit="1" customWidth="1"/>
    <col min="9" max="9" width="4" style="2" customWidth="1"/>
    <col min="10" max="12" width="8.7265625" style="2"/>
  </cols>
  <sheetData>
    <row r="3" spans="3:12">
      <c r="C3" s="22" t="s">
        <v>3550</v>
      </c>
      <c r="D3" s="139">
        <v>1</v>
      </c>
      <c r="E3" s="139" t="s">
        <v>746</v>
      </c>
    </row>
    <row r="4" spans="3:12">
      <c r="C4" s="22" t="s">
        <v>3551</v>
      </c>
      <c r="D4" s="139">
        <v>1</v>
      </c>
      <c r="E4" s="139" t="s">
        <v>3561</v>
      </c>
      <c r="H4" s="2" t="s">
        <v>3566</v>
      </c>
      <c r="J4" s="2">
        <v>56</v>
      </c>
      <c r="K4" s="2" t="s">
        <v>746</v>
      </c>
      <c r="L4" s="2">
        <v>55</v>
      </c>
    </row>
    <row r="5" spans="3:12">
      <c r="C5" s="12" t="s">
        <v>3552</v>
      </c>
      <c r="D5" s="13">
        <v>1</v>
      </c>
      <c r="E5" s="13" t="s">
        <v>3560</v>
      </c>
      <c r="H5" s="2" t="s">
        <v>3565</v>
      </c>
      <c r="I5" s="2">
        <v>1</v>
      </c>
      <c r="J5" s="2" t="s">
        <v>554</v>
      </c>
      <c r="K5" s="2" t="s">
        <v>401</v>
      </c>
      <c r="L5" s="2" t="s">
        <v>125</v>
      </c>
    </row>
    <row r="6" spans="3:12">
      <c r="C6" s="22" t="s">
        <v>3553</v>
      </c>
      <c r="D6" s="139">
        <v>1</v>
      </c>
      <c r="E6" s="139" t="s">
        <v>3147</v>
      </c>
      <c r="H6" s="2" t="s">
        <v>3565</v>
      </c>
      <c r="I6" s="2">
        <v>2</v>
      </c>
      <c r="J6" s="2" t="s">
        <v>144</v>
      </c>
      <c r="K6" s="2" t="s">
        <v>229</v>
      </c>
      <c r="L6" s="2" t="s">
        <v>106</v>
      </c>
    </row>
    <row r="7" spans="3:12">
      <c r="C7" s="22" t="s">
        <v>3554</v>
      </c>
      <c r="D7" s="139">
        <v>3</v>
      </c>
      <c r="E7" s="139" t="s">
        <v>3558</v>
      </c>
      <c r="H7" s="2" t="s">
        <v>3565</v>
      </c>
      <c r="I7" s="2">
        <v>3</v>
      </c>
      <c r="J7" s="2">
        <v>82</v>
      </c>
      <c r="K7" s="2">
        <v>83</v>
      </c>
      <c r="L7" s="2">
        <v>84</v>
      </c>
    </row>
    <row r="8" spans="3:12">
      <c r="C8" s="22" t="s">
        <v>3555</v>
      </c>
      <c r="D8" s="139">
        <v>1</v>
      </c>
      <c r="E8" s="139" t="s">
        <v>3559</v>
      </c>
      <c r="H8" s="2" t="s">
        <v>3567</v>
      </c>
      <c r="J8" s="2" t="s">
        <v>163</v>
      </c>
      <c r="K8" s="2" t="s">
        <v>151</v>
      </c>
      <c r="L8" s="2" t="s">
        <v>2902</v>
      </c>
    </row>
    <row r="9" spans="3:12">
      <c r="C9" s="22" t="s">
        <v>3556</v>
      </c>
      <c r="D9" s="139">
        <v>1</v>
      </c>
      <c r="E9" s="139" t="s">
        <v>775</v>
      </c>
      <c r="H9" s="2" t="s">
        <v>3568</v>
      </c>
      <c r="J9" s="2" t="s">
        <v>170</v>
      </c>
    </row>
    <row r="10" spans="3:12">
      <c r="C10" s="22" t="s">
        <v>3557</v>
      </c>
      <c r="D10" s="139">
        <v>1</v>
      </c>
      <c r="E10" s="139" t="s">
        <v>3562</v>
      </c>
      <c r="H10" s="2" t="s">
        <v>2830</v>
      </c>
    </row>
    <row r="11" spans="3:12">
      <c r="C11" s="22" t="s">
        <v>3563</v>
      </c>
      <c r="D11" s="139">
        <v>3</v>
      </c>
      <c r="E11" s="139"/>
    </row>
    <row r="12" spans="3:12">
      <c r="C12" s="22" t="s">
        <v>3564</v>
      </c>
      <c r="D12" s="139">
        <v>1</v>
      </c>
      <c r="E12" s="13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90E95-86BB-4AAD-93BF-17A53343542D}">
  <sheetPr>
    <tabColor rgb="FFFFFF00"/>
  </sheetPr>
  <dimension ref="C2:F6"/>
  <sheetViews>
    <sheetView workbookViewId="0">
      <selection activeCell="F17" sqref="F17"/>
    </sheetView>
  </sheetViews>
  <sheetFormatPr defaultRowHeight="14.5"/>
  <cols>
    <col min="3" max="3" width="4.6328125" style="2" bestFit="1" customWidth="1"/>
    <col min="4" max="4" width="19.26953125" style="2" bestFit="1" customWidth="1"/>
    <col min="5" max="5" width="10.7265625" style="2" bestFit="1" customWidth="1"/>
    <col min="6" max="6" width="77.7265625" style="2" bestFit="1" customWidth="1"/>
  </cols>
  <sheetData>
    <row r="2" spans="3:6">
      <c r="C2" s="2" t="s">
        <v>1782</v>
      </c>
      <c r="D2" s="2" t="s">
        <v>3419</v>
      </c>
      <c r="E2" s="2" t="s">
        <v>2401</v>
      </c>
      <c r="F2" s="2" t="s">
        <v>19</v>
      </c>
    </row>
    <row r="3" spans="3:6">
      <c r="C3" s="2">
        <v>1</v>
      </c>
      <c r="D3" s="2" t="s">
        <v>3101</v>
      </c>
      <c r="E3" s="2" t="s">
        <v>2872</v>
      </c>
      <c r="F3" s="806" t="s">
        <v>3420</v>
      </c>
    </row>
    <row r="4" spans="3:6">
      <c r="C4" s="2">
        <f>C3+1</f>
        <v>2</v>
      </c>
      <c r="D4" s="2" t="s">
        <v>3421</v>
      </c>
      <c r="E4" s="2" t="s">
        <v>3422</v>
      </c>
      <c r="F4" s="806" t="s">
        <v>3423</v>
      </c>
    </row>
    <row r="5" spans="3:6">
      <c r="C5" s="2">
        <f>C4+1</f>
        <v>3</v>
      </c>
      <c r="D5" s="2" t="s">
        <v>3231</v>
      </c>
      <c r="E5" s="2" t="s">
        <v>3422</v>
      </c>
      <c r="F5" s="806" t="s">
        <v>3424</v>
      </c>
    </row>
    <row r="6" spans="3:6">
      <c r="C6" s="2">
        <f>C5+1</f>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8AC3C-580B-4FCA-A382-F7435580FF61}">
  <sheetPr>
    <tabColor rgb="FF0070C0"/>
  </sheetPr>
  <dimension ref="B1:M12"/>
  <sheetViews>
    <sheetView workbookViewId="0">
      <selection activeCell="L7" sqref="L7:M8"/>
    </sheetView>
  </sheetViews>
  <sheetFormatPr defaultRowHeight="14.5"/>
  <cols>
    <col min="4" max="4" width="9.1796875" bestFit="1" customWidth="1"/>
    <col min="5" max="5" width="14.6328125" bestFit="1" customWidth="1"/>
    <col min="7" max="7" width="9.1796875" bestFit="1" customWidth="1"/>
    <col min="12" max="12" width="10.81640625" customWidth="1"/>
    <col min="13" max="13" width="12" customWidth="1"/>
  </cols>
  <sheetData>
    <row r="1" spans="2:13">
      <c r="B1" s="1456" t="s">
        <v>1782</v>
      </c>
      <c r="C1" s="1456" t="s">
        <v>1443</v>
      </c>
      <c r="D1" s="1456" t="s">
        <v>3404</v>
      </c>
      <c r="E1" s="1456"/>
      <c r="F1" s="1456" t="s">
        <v>1846</v>
      </c>
      <c r="G1" s="1456" t="s">
        <v>3403</v>
      </c>
    </row>
    <row r="2" spans="2:13">
      <c r="B2" s="1456"/>
      <c r="C2" s="1456"/>
      <c r="D2" s="269" t="s">
        <v>3346</v>
      </c>
      <c r="E2" s="269" t="s">
        <v>3347</v>
      </c>
      <c r="F2" s="1456"/>
      <c r="G2" s="1456"/>
    </row>
    <row r="3" spans="2:13">
      <c r="B3" s="1456"/>
      <c r="C3" s="1456"/>
      <c r="D3" s="269" t="s">
        <v>3405</v>
      </c>
      <c r="E3" s="269" t="s">
        <v>3405</v>
      </c>
      <c r="F3" s="269" t="s">
        <v>1847</v>
      </c>
      <c r="G3" s="269" t="s">
        <v>1849</v>
      </c>
    </row>
    <row r="4" spans="2:13">
      <c r="B4" s="33">
        <v>1</v>
      </c>
      <c r="C4" s="1178">
        <v>45901</v>
      </c>
      <c r="D4" s="754">
        <v>14.664000000000001</v>
      </c>
      <c r="E4" s="754">
        <v>135.08799999999999</v>
      </c>
      <c r="F4" s="33">
        <f t="shared" ref="F4:F10" si="0">ROUND((D4*4.4)+(E4*8),0)</f>
        <v>1145</v>
      </c>
      <c r="G4" s="754">
        <v>8.44</v>
      </c>
    </row>
    <row r="5" spans="2:13">
      <c r="B5" s="33">
        <f>B4+1</f>
        <v>2</v>
      </c>
      <c r="C5" s="1178">
        <v>45931</v>
      </c>
      <c r="D5" s="754">
        <v>76.131999999999991</v>
      </c>
      <c r="E5" s="754">
        <v>667.00399999999991</v>
      </c>
      <c r="F5" s="33">
        <f t="shared" si="0"/>
        <v>5671</v>
      </c>
      <c r="G5" s="754">
        <v>47.8</v>
      </c>
    </row>
    <row r="6" spans="2:13">
      <c r="B6" s="33">
        <f t="shared" ref="B6:B10" si="1">B5+1</f>
        <v>3</v>
      </c>
      <c r="C6" s="1178">
        <v>45962</v>
      </c>
      <c r="D6" s="754">
        <v>283.93300000000005</v>
      </c>
      <c r="E6" s="754">
        <v>2687.36</v>
      </c>
      <c r="F6" s="33">
        <f t="shared" si="0"/>
        <v>22748</v>
      </c>
      <c r="G6" s="754">
        <v>176.38</v>
      </c>
    </row>
    <row r="7" spans="2:13" ht="29">
      <c r="B7" s="33">
        <f t="shared" si="1"/>
        <v>4</v>
      </c>
      <c r="C7" s="1178">
        <v>45992</v>
      </c>
      <c r="D7" s="754">
        <v>415.90302000000014</v>
      </c>
      <c r="E7" s="754">
        <v>3983.9960299999998</v>
      </c>
      <c r="F7" s="33">
        <f t="shared" si="0"/>
        <v>33702</v>
      </c>
      <c r="G7" s="754">
        <v>264.63</v>
      </c>
      <c r="L7" s="1181" t="s">
        <v>3406</v>
      </c>
      <c r="M7" s="1181" t="s">
        <v>3407</v>
      </c>
    </row>
    <row r="8" spans="2:13">
      <c r="B8" s="33">
        <f t="shared" si="1"/>
        <v>5</v>
      </c>
      <c r="C8" s="1178">
        <v>46023</v>
      </c>
      <c r="D8" s="754">
        <v>411.19739999999996</v>
      </c>
      <c r="E8" s="754">
        <v>4750.4000000000024</v>
      </c>
      <c r="F8" s="33">
        <f t="shared" si="0"/>
        <v>39812</v>
      </c>
      <c r="G8" s="754">
        <v>164.07</v>
      </c>
      <c r="L8" s="466">
        <v>21381</v>
      </c>
      <c r="M8" s="466">
        <v>2332</v>
      </c>
    </row>
    <row r="9" spans="2:13">
      <c r="B9" s="33">
        <f t="shared" si="1"/>
        <v>6</v>
      </c>
      <c r="C9" s="1178">
        <v>46054</v>
      </c>
      <c r="D9" s="754">
        <v>411.19739999999996</v>
      </c>
      <c r="E9" s="754">
        <v>4300.4000000000005</v>
      </c>
      <c r="F9" s="33">
        <f t="shared" si="0"/>
        <v>36212</v>
      </c>
      <c r="G9" s="754">
        <v>264.45</v>
      </c>
    </row>
    <row r="10" spans="2:13">
      <c r="B10" s="33">
        <f t="shared" si="1"/>
        <v>7</v>
      </c>
      <c r="C10" s="1178">
        <v>46082</v>
      </c>
      <c r="D10" s="754">
        <v>296.34300000000002</v>
      </c>
      <c r="E10" s="754">
        <v>2947.4839999999999</v>
      </c>
      <c r="F10" s="33">
        <f t="shared" si="0"/>
        <v>24884</v>
      </c>
      <c r="G10" s="754">
        <v>199.54</v>
      </c>
    </row>
    <row r="11" spans="2:13">
      <c r="B11" s="1455" t="s">
        <v>994</v>
      </c>
      <c r="C11" s="1455"/>
      <c r="D11" s="1179">
        <f>SUM(D4:D10)</f>
        <v>1909.3698200000003</v>
      </c>
      <c r="E11" s="1179">
        <f>SUM(E4:E10)</f>
        <v>19471.732030000003</v>
      </c>
      <c r="F11" s="1002">
        <f>SUM(F4:F10)</f>
        <v>164174</v>
      </c>
      <c r="G11" s="1179">
        <f>SUM(G4:G10)</f>
        <v>1125.31</v>
      </c>
    </row>
    <row r="12" spans="2:13">
      <c r="E12" s="1180"/>
    </row>
  </sheetData>
  <mergeCells count="6">
    <mergeCell ref="B11:C11"/>
    <mergeCell ref="D1:E1"/>
    <mergeCell ref="F1:F2"/>
    <mergeCell ref="G1:G2"/>
    <mergeCell ref="B1:B3"/>
    <mergeCell ref="C1:C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28868-12E5-4B9D-8D4C-FBF9BC6369CF}">
  <sheetPr>
    <tabColor rgb="FF00B0F0"/>
  </sheetPr>
  <dimension ref="C1:O45"/>
  <sheetViews>
    <sheetView topLeftCell="A3" workbookViewId="0">
      <selection activeCell="E21" sqref="E21"/>
    </sheetView>
  </sheetViews>
  <sheetFormatPr defaultRowHeight="14.5"/>
  <cols>
    <col min="3" max="3" width="4.6328125" bestFit="1" customWidth="1"/>
    <col min="4" max="4" width="13.453125" bestFit="1" customWidth="1"/>
    <col min="5" max="5" width="5.1796875" bestFit="1" customWidth="1"/>
    <col min="6" max="6" width="13.1796875" bestFit="1" customWidth="1"/>
    <col min="7" max="7" width="10" customWidth="1"/>
    <col min="9" max="9" width="11.36328125" bestFit="1" customWidth="1"/>
    <col min="12" max="12" width="10" customWidth="1"/>
    <col min="13" max="13" width="9.36328125" customWidth="1"/>
    <col min="14" max="14" width="7.26953125" bestFit="1" customWidth="1"/>
    <col min="15" max="15" width="8.08984375" bestFit="1" customWidth="1"/>
  </cols>
  <sheetData>
    <row r="1" spans="3:15">
      <c r="C1" s="1458" t="s">
        <v>3376</v>
      </c>
      <c r="D1" s="1459"/>
      <c r="E1" s="1459"/>
      <c r="F1" s="1459"/>
      <c r="G1" s="1459"/>
      <c r="H1" s="1459"/>
      <c r="I1" s="1459"/>
      <c r="J1" s="1459"/>
    </row>
    <row r="2" spans="3:15" ht="43.5">
      <c r="C2" s="33" t="s">
        <v>1782</v>
      </c>
      <c r="D2" s="33" t="s">
        <v>3366</v>
      </c>
      <c r="E2" s="33" t="s">
        <v>2683</v>
      </c>
      <c r="F2" s="33" t="s">
        <v>3367</v>
      </c>
      <c r="G2" s="466" t="s">
        <v>2826</v>
      </c>
      <c r="H2" s="466" t="s">
        <v>3368</v>
      </c>
      <c r="I2" s="33" t="s">
        <v>3277</v>
      </c>
      <c r="J2" s="466" t="s">
        <v>3378</v>
      </c>
    </row>
    <row r="3" spans="3:15">
      <c r="C3" s="33">
        <v>1</v>
      </c>
      <c r="D3" s="33" t="s">
        <v>2833</v>
      </c>
      <c r="E3" s="33" t="s">
        <v>3369</v>
      </c>
      <c r="F3" s="33">
        <v>434</v>
      </c>
      <c r="G3" s="33">
        <v>389</v>
      </c>
      <c r="H3" s="33">
        <v>434</v>
      </c>
      <c r="I3" s="33">
        <v>353</v>
      </c>
      <c r="J3" s="33">
        <f>G3-I3</f>
        <v>36</v>
      </c>
    </row>
    <row r="4" spans="3:15">
      <c r="C4" s="33">
        <v>2</v>
      </c>
      <c r="D4" s="33" t="s">
        <v>2834</v>
      </c>
      <c r="E4" s="33" t="s">
        <v>3369</v>
      </c>
      <c r="F4" s="33">
        <v>434</v>
      </c>
      <c r="G4" s="33">
        <v>389</v>
      </c>
      <c r="H4" s="33">
        <v>216</v>
      </c>
      <c r="I4" s="33">
        <v>314</v>
      </c>
      <c r="J4" s="33">
        <f>G4-I4</f>
        <v>75</v>
      </c>
    </row>
    <row r="7" spans="3:15" ht="43.5">
      <c r="C7" s="10" t="s">
        <v>1782</v>
      </c>
      <c r="D7" s="755" t="s">
        <v>10</v>
      </c>
      <c r="E7" s="755" t="s">
        <v>2683</v>
      </c>
      <c r="F7" s="755" t="s">
        <v>3367</v>
      </c>
      <c r="G7" s="755" t="s">
        <v>2826</v>
      </c>
      <c r="H7" s="755" t="s">
        <v>3266</v>
      </c>
      <c r="I7" s="755" t="s">
        <v>3371</v>
      </c>
      <c r="J7" s="755" t="s">
        <v>3370</v>
      </c>
      <c r="K7" s="755" t="s">
        <v>3372</v>
      </c>
      <c r="L7" s="755" t="s">
        <v>3373</v>
      </c>
      <c r="M7" s="755" t="s">
        <v>3374</v>
      </c>
      <c r="N7" s="755" t="s">
        <v>593</v>
      </c>
      <c r="O7" s="755" t="s">
        <v>19</v>
      </c>
    </row>
    <row r="8" spans="3:15">
      <c r="C8" s="1455" t="s">
        <v>3398</v>
      </c>
      <c r="D8" s="1455"/>
      <c r="E8" s="1455"/>
      <c r="F8" s="1455"/>
      <c r="G8" s="1455"/>
      <c r="H8" s="1455"/>
      <c r="I8" s="1455"/>
      <c r="J8" s="1455"/>
      <c r="K8" s="1455"/>
      <c r="L8" s="1455"/>
      <c r="M8" s="1455"/>
      <c r="N8" s="1455"/>
      <c r="O8" s="1455"/>
    </row>
    <row r="9" spans="3:15">
      <c r="C9" s="13">
        <v>1</v>
      </c>
      <c r="D9" s="33" t="s">
        <v>2684</v>
      </c>
      <c r="E9" s="33" t="s">
        <v>615</v>
      </c>
      <c r="F9" s="13">
        <v>143</v>
      </c>
      <c r="G9" s="13">
        <v>137</v>
      </c>
      <c r="H9" s="13">
        <v>143</v>
      </c>
      <c r="I9" s="13">
        <v>136</v>
      </c>
      <c r="J9" s="13"/>
      <c r="K9" s="13"/>
      <c r="L9" s="13">
        <f t="shared" ref="L9:M11" si="0">H9+J9</f>
        <v>143</v>
      </c>
      <c r="M9" s="13">
        <f t="shared" si="0"/>
        <v>136</v>
      </c>
      <c r="N9" s="13">
        <f>G9-M9</f>
        <v>1</v>
      </c>
      <c r="O9" s="12"/>
    </row>
    <row r="10" spans="3:15">
      <c r="C10" s="13">
        <v>2</v>
      </c>
      <c r="D10" s="13" t="s">
        <v>28</v>
      </c>
      <c r="E10" s="13" t="s">
        <v>3369</v>
      </c>
      <c r="F10" s="13">
        <v>434</v>
      </c>
      <c r="G10" s="13">
        <v>389</v>
      </c>
      <c r="H10" s="13">
        <v>207</v>
      </c>
      <c r="I10" s="13">
        <v>202</v>
      </c>
      <c r="J10" s="13">
        <v>45</v>
      </c>
      <c r="K10" s="13">
        <v>28</v>
      </c>
      <c r="L10" s="13">
        <f t="shared" si="0"/>
        <v>252</v>
      </c>
      <c r="M10" s="13">
        <f t="shared" si="0"/>
        <v>230</v>
      </c>
      <c r="N10" s="13">
        <f>G10-M10</f>
        <v>159</v>
      </c>
      <c r="O10" s="1177" t="s">
        <v>3401</v>
      </c>
    </row>
    <row r="11" spans="3:15">
      <c r="C11" s="13">
        <v>3</v>
      </c>
      <c r="D11" s="13" t="s">
        <v>610</v>
      </c>
      <c r="E11" s="13" t="s">
        <v>3369</v>
      </c>
      <c r="F11" s="13">
        <v>434</v>
      </c>
      <c r="G11" s="13">
        <v>389</v>
      </c>
      <c r="H11" s="13">
        <v>125</v>
      </c>
      <c r="I11" s="13">
        <v>55</v>
      </c>
      <c r="J11" s="13">
        <v>45</v>
      </c>
      <c r="K11" s="13">
        <v>48</v>
      </c>
      <c r="L11" s="13">
        <f t="shared" si="0"/>
        <v>170</v>
      </c>
      <c r="M11" s="13">
        <f t="shared" si="0"/>
        <v>103</v>
      </c>
      <c r="N11" s="13">
        <f>G11-M11</f>
        <v>286</v>
      </c>
      <c r="O11" s="1177" t="s">
        <v>3402</v>
      </c>
    </row>
    <row r="12" spans="3:15">
      <c r="C12" s="13">
        <v>4</v>
      </c>
      <c r="D12" s="13" t="s">
        <v>614</v>
      </c>
      <c r="E12" s="13" t="s">
        <v>615</v>
      </c>
      <c r="F12" s="13">
        <v>143</v>
      </c>
      <c r="G12" s="13">
        <v>137</v>
      </c>
      <c r="H12" s="13"/>
      <c r="I12" s="13"/>
      <c r="J12" s="13"/>
      <c r="K12" s="13"/>
      <c r="L12" s="13"/>
      <c r="M12" s="13"/>
      <c r="N12" s="13">
        <f>G12-M12</f>
        <v>137</v>
      </c>
      <c r="O12" s="12"/>
    </row>
    <row r="13" spans="3:15">
      <c r="C13" s="1455" t="s">
        <v>3344</v>
      </c>
      <c r="D13" s="1455"/>
      <c r="E13" s="1455"/>
      <c r="F13" s="1455"/>
      <c r="G13" s="1455"/>
      <c r="H13" s="1455"/>
      <c r="I13" s="1455"/>
      <c r="J13" s="1455"/>
      <c r="K13" s="1455"/>
      <c r="L13" s="1455"/>
      <c r="M13" s="1455"/>
      <c r="N13" s="1455"/>
      <c r="O13" s="22"/>
    </row>
    <row r="14" spans="3:15">
      <c r="C14" s="13">
        <v>1</v>
      </c>
      <c r="D14" s="33" t="s">
        <v>2684</v>
      </c>
      <c r="E14" s="33" t="s">
        <v>615</v>
      </c>
      <c r="F14" s="13">
        <v>33</v>
      </c>
      <c r="G14" s="13">
        <v>33</v>
      </c>
      <c r="H14" s="13">
        <v>33</v>
      </c>
      <c r="I14" s="13">
        <v>33</v>
      </c>
      <c r="J14" s="13"/>
      <c r="K14" s="13"/>
      <c r="L14" s="13">
        <f t="shared" ref="L14:M16" si="1">H14+J14</f>
        <v>33</v>
      </c>
      <c r="M14" s="13">
        <f t="shared" si="1"/>
        <v>33</v>
      </c>
      <c r="N14" s="13"/>
      <c r="O14" s="12"/>
    </row>
    <row r="15" spans="3:15">
      <c r="C15" s="13">
        <v>2</v>
      </c>
      <c r="D15" s="13" t="s">
        <v>28</v>
      </c>
      <c r="E15" s="13" t="s">
        <v>3369</v>
      </c>
      <c r="F15" s="13">
        <v>129</v>
      </c>
      <c r="G15" s="13">
        <v>116</v>
      </c>
      <c r="H15" s="13">
        <v>39</v>
      </c>
      <c r="I15" s="13">
        <v>37</v>
      </c>
      <c r="J15" s="13">
        <v>11</v>
      </c>
      <c r="K15" s="13">
        <v>7</v>
      </c>
      <c r="L15" s="13">
        <f t="shared" si="1"/>
        <v>50</v>
      </c>
      <c r="M15" s="13">
        <f t="shared" si="1"/>
        <v>44</v>
      </c>
      <c r="N15" s="13">
        <f>G15-M15</f>
        <v>72</v>
      </c>
      <c r="O15" s="12" t="s">
        <v>3379</v>
      </c>
    </row>
    <row r="16" spans="3:15">
      <c r="C16" s="13">
        <v>3</v>
      </c>
      <c r="D16" s="13" t="s">
        <v>610</v>
      </c>
      <c r="E16" s="13" t="s">
        <v>3369</v>
      </c>
      <c r="F16" s="13">
        <v>129</v>
      </c>
      <c r="G16" s="13">
        <v>116</v>
      </c>
      <c r="H16" s="13"/>
      <c r="I16" s="13"/>
      <c r="J16" s="13">
        <v>5</v>
      </c>
      <c r="K16" s="13">
        <v>2</v>
      </c>
      <c r="L16" s="13">
        <f t="shared" si="1"/>
        <v>5</v>
      </c>
      <c r="M16" s="13">
        <f t="shared" si="1"/>
        <v>2</v>
      </c>
      <c r="N16" s="13">
        <f>G16-M16</f>
        <v>114</v>
      </c>
      <c r="O16" s="1177" t="s">
        <v>3380</v>
      </c>
    </row>
    <row r="17" spans="3:15">
      <c r="C17" s="13">
        <v>4</v>
      </c>
      <c r="D17" s="13" t="s">
        <v>614</v>
      </c>
      <c r="E17" s="13" t="s">
        <v>615</v>
      </c>
      <c r="F17" s="13">
        <v>33</v>
      </c>
      <c r="G17" s="13">
        <v>33</v>
      </c>
      <c r="H17" s="13"/>
      <c r="I17" s="13"/>
      <c r="J17" s="13"/>
      <c r="K17" s="13"/>
      <c r="L17" s="13"/>
      <c r="M17" s="13"/>
      <c r="N17" s="13">
        <f>G17-M17</f>
        <v>33</v>
      </c>
      <c r="O17" s="12"/>
    </row>
    <row r="18" spans="3:15">
      <c r="C18" s="1455" t="s">
        <v>3399</v>
      </c>
      <c r="D18" s="1455"/>
      <c r="E18" s="1455"/>
      <c r="F18" s="1455"/>
      <c r="G18" s="1455"/>
      <c r="H18" s="1455"/>
      <c r="I18" s="1455"/>
      <c r="J18" s="1455"/>
      <c r="K18" s="1455"/>
      <c r="L18" s="1455"/>
      <c r="M18" s="1455"/>
      <c r="N18" s="1455"/>
      <c r="O18" s="1455"/>
    </row>
    <row r="19" spans="3:15">
      <c r="C19" s="13">
        <v>1</v>
      </c>
      <c r="D19" s="33" t="s">
        <v>2684</v>
      </c>
      <c r="E19" s="33" t="s">
        <v>615</v>
      </c>
      <c r="F19" s="13">
        <v>2</v>
      </c>
      <c r="G19" s="13">
        <v>3.4</v>
      </c>
      <c r="H19" s="13">
        <v>2</v>
      </c>
      <c r="I19" s="13">
        <v>3.4</v>
      </c>
      <c r="J19" s="13"/>
      <c r="K19" s="13"/>
      <c r="L19" s="13">
        <f t="shared" ref="L19:M21" si="2">H19+J19</f>
        <v>2</v>
      </c>
      <c r="M19" s="13">
        <f t="shared" si="2"/>
        <v>3.4</v>
      </c>
      <c r="N19" s="13"/>
      <c r="O19" s="12"/>
    </row>
    <row r="20" spans="3:15">
      <c r="C20" s="13">
        <v>2</v>
      </c>
      <c r="D20" s="13" t="s">
        <v>28</v>
      </c>
      <c r="E20" s="13" t="s">
        <v>3369</v>
      </c>
      <c r="F20" s="13">
        <v>14</v>
      </c>
      <c r="G20" s="13">
        <v>18</v>
      </c>
      <c r="H20" s="13">
        <v>14</v>
      </c>
      <c r="I20" s="13"/>
      <c r="J20" s="13"/>
      <c r="K20" s="13"/>
      <c r="L20" s="13">
        <f t="shared" si="2"/>
        <v>14</v>
      </c>
      <c r="M20" s="13"/>
      <c r="N20" s="13">
        <f>G20-M20</f>
        <v>18</v>
      </c>
      <c r="O20" s="1177" t="s">
        <v>3400</v>
      </c>
    </row>
    <row r="21" spans="3:15">
      <c r="C21" s="13">
        <v>3</v>
      </c>
      <c r="D21" s="13" t="s">
        <v>610</v>
      </c>
      <c r="E21" s="13" t="s">
        <v>3369</v>
      </c>
      <c r="F21" s="13">
        <v>14</v>
      </c>
      <c r="G21" s="13">
        <v>18</v>
      </c>
      <c r="H21" s="13"/>
      <c r="I21" s="13"/>
      <c r="J21" s="13">
        <v>2</v>
      </c>
      <c r="K21" s="13"/>
      <c r="L21" s="13">
        <f t="shared" si="2"/>
        <v>2</v>
      </c>
      <c r="M21" s="13"/>
      <c r="N21" s="13">
        <f>G21-M21</f>
        <v>18</v>
      </c>
      <c r="O21" s="12"/>
    </row>
    <row r="22" spans="3:15">
      <c r="C22" s="13">
        <v>4</v>
      </c>
      <c r="D22" s="13" t="s">
        <v>614</v>
      </c>
      <c r="E22" s="13" t="s">
        <v>615</v>
      </c>
      <c r="F22" s="13">
        <v>2</v>
      </c>
      <c r="G22" s="13">
        <v>3.4</v>
      </c>
      <c r="H22" s="13"/>
      <c r="I22" s="13"/>
      <c r="J22" s="13"/>
      <c r="K22" s="13"/>
      <c r="L22" s="13"/>
      <c r="M22" s="13"/>
      <c r="N22" s="13">
        <f>G22-M22</f>
        <v>3.4</v>
      </c>
      <c r="O22" s="12"/>
    </row>
    <row r="23" spans="3:15">
      <c r="C23" s="2"/>
      <c r="D23" s="2"/>
      <c r="E23" s="2"/>
      <c r="F23" s="2"/>
      <c r="G23" s="2"/>
      <c r="H23" s="2"/>
      <c r="I23" s="2"/>
      <c r="J23" s="2"/>
      <c r="K23" s="2"/>
      <c r="L23" s="2"/>
      <c r="M23" s="2"/>
      <c r="N23" s="2"/>
    </row>
    <row r="24" spans="3:15">
      <c r="C24" s="2"/>
      <c r="D24" s="2"/>
      <c r="E24" s="2"/>
      <c r="F24" s="2"/>
      <c r="G24" s="2"/>
      <c r="H24" s="2"/>
      <c r="I24" s="2"/>
      <c r="J24" s="2"/>
      <c r="K24" s="2"/>
      <c r="L24" s="2"/>
      <c r="M24" s="2"/>
      <c r="N24" s="2"/>
    </row>
    <row r="25" spans="3:15">
      <c r="C25" s="2"/>
      <c r="D25" s="2"/>
      <c r="E25" s="2"/>
      <c r="F25" s="2"/>
      <c r="G25" s="2"/>
      <c r="H25" s="2"/>
      <c r="I25" s="2"/>
      <c r="J25" s="2"/>
      <c r="K25" s="2"/>
      <c r="L25" s="2"/>
      <c r="M25" s="2"/>
      <c r="N25" s="2"/>
    </row>
    <row r="27" spans="3:15">
      <c r="C27" s="1414" t="s">
        <v>3376</v>
      </c>
      <c r="D27" s="1414"/>
      <c r="E27" s="1414"/>
      <c r="F27" s="1414"/>
      <c r="G27" s="1414"/>
      <c r="H27" s="1414"/>
      <c r="I27" s="1414"/>
      <c r="J27" s="1414"/>
    </row>
    <row r="28" spans="3:15" ht="43.5">
      <c r="C28" s="33" t="s">
        <v>1782</v>
      </c>
      <c r="D28" s="33" t="s">
        <v>3366</v>
      </c>
      <c r="E28" s="33" t="s">
        <v>2683</v>
      </c>
      <c r="F28" s="33" t="s">
        <v>3367</v>
      </c>
      <c r="G28" s="466" t="s">
        <v>2826</v>
      </c>
      <c r="H28" s="466" t="s">
        <v>3368</v>
      </c>
      <c r="I28" s="466" t="s">
        <v>3377</v>
      </c>
      <c r="J28" s="466" t="s">
        <v>3378</v>
      </c>
    </row>
    <row r="29" spans="3:15">
      <c r="C29" s="33">
        <v>1</v>
      </c>
      <c r="D29" s="33" t="s">
        <v>2833</v>
      </c>
      <c r="E29" s="33" t="s">
        <v>3369</v>
      </c>
      <c r="F29" s="33">
        <v>129</v>
      </c>
      <c r="G29" s="33">
        <v>116</v>
      </c>
      <c r="H29" s="33">
        <v>129</v>
      </c>
      <c r="I29" s="33">
        <v>64</v>
      </c>
      <c r="J29" s="33">
        <f>G29-I29</f>
        <v>52</v>
      </c>
    </row>
    <row r="30" spans="3:15">
      <c r="C30" s="33">
        <v>2</v>
      </c>
      <c r="D30" s="33" t="s">
        <v>2834</v>
      </c>
      <c r="E30" s="33" t="s">
        <v>3369</v>
      </c>
      <c r="F30" s="33">
        <v>129</v>
      </c>
      <c r="G30" s="33">
        <v>116</v>
      </c>
      <c r="H30" s="33">
        <v>129</v>
      </c>
      <c r="I30" s="33">
        <v>41</v>
      </c>
      <c r="J30" s="33">
        <f>G30-I30</f>
        <v>75</v>
      </c>
    </row>
    <row r="32" spans="3:15">
      <c r="C32" s="1457" t="s">
        <v>3375</v>
      </c>
      <c r="D32" s="1457"/>
      <c r="E32" s="1457"/>
      <c r="F32" s="1457"/>
      <c r="G32" s="1457"/>
      <c r="H32" s="1457"/>
      <c r="I32" s="1457"/>
      <c r="J32" s="1457"/>
      <c r="K32" s="1457"/>
      <c r="L32" s="1457"/>
      <c r="M32" s="1457"/>
      <c r="N32" s="1457"/>
      <c r="O32" s="1457"/>
    </row>
    <row r="33" spans="3:15" ht="43.5">
      <c r="C33" s="33" t="s">
        <v>1782</v>
      </c>
      <c r="D33" s="466" t="s">
        <v>10</v>
      </c>
      <c r="E33" s="466" t="s">
        <v>2683</v>
      </c>
      <c r="F33" s="466" t="s">
        <v>3367</v>
      </c>
      <c r="G33" s="466" t="s">
        <v>2826</v>
      </c>
      <c r="H33" s="466" t="s">
        <v>3266</v>
      </c>
      <c r="I33" s="466" t="s">
        <v>3371</v>
      </c>
      <c r="J33" s="466" t="s">
        <v>3370</v>
      </c>
      <c r="K33" s="466" t="s">
        <v>3372</v>
      </c>
      <c r="L33" s="466" t="s">
        <v>3373</v>
      </c>
      <c r="M33" s="466" t="s">
        <v>3374</v>
      </c>
      <c r="N33" s="466" t="s">
        <v>593</v>
      </c>
      <c r="O33" s="466" t="s">
        <v>19</v>
      </c>
    </row>
    <row r="39" spans="3:15">
      <c r="C39" s="1414" t="s">
        <v>3376</v>
      </c>
      <c r="D39" s="1414"/>
      <c r="E39" s="1414"/>
      <c r="F39" s="1414"/>
      <c r="G39" s="1414"/>
      <c r="H39" s="1414"/>
      <c r="I39" s="1414"/>
      <c r="J39" s="1414"/>
    </row>
    <row r="40" spans="3:15" ht="43.5">
      <c r="C40" s="33" t="s">
        <v>1782</v>
      </c>
      <c r="D40" s="33" t="s">
        <v>3366</v>
      </c>
      <c r="E40" s="33" t="s">
        <v>2683</v>
      </c>
      <c r="F40" s="33" t="s">
        <v>3367</v>
      </c>
      <c r="G40" s="466" t="s">
        <v>2826</v>
      </c>
      <c r="H40" s="466" t="s">
        <v>3368</v>
      </c>
      <c r="I40" s="466" t="s">
        <v>3377</v>
      </c>
      <c r="J40" s="466" t="s">
        <v>3378</v>
      </c>
    </row>
    <row r="41" spans="3:15">
      <c r="C41" s="33">
        <v>1</v>
      </c>
      <c r="D41" s="33" t="s">
        <v>2833</v>
      </c>
      <c r="E41" s="33" t="s">
        <v>3369</v>
      </c>
      <c r="F41" s="33">
        <v>14</v>
      </c>
      <c r="G41" s="33">
        <v>18</v>
      </c>
      <c r="H41" s="33">
        <v>14</v>
      </c>
      <c r="I41" s="33">
        <v>10</v>
      </c>
      <c r="J41" s="33">
        <f>G41-I41</f>
        <v>8</v>
      </c>
    </row>
    <row r="42" spans="3:15">
      <c r="C42" s="33">
        <v>2</v>
      </c>
      <c r="D42" s="33" t="s">
        <v>2834</v>
      </c>
      <c r="E42" s="33" t="s">
        <v>3369</v>
      </c>
      <c r="F42" s="33">
        <v>14</v>
      </c>
      <c r="G42" s="33">
        <v>18</v>
      </c>
      <c r="H42" s="33">
        <v>14</v>
      </c>
      <c r="I42" s="33"/>
      <c r="J42" s="33">
        <f>G42-I42</f>
        <v>18</v>
      </c>
    </row>
    <row r="45" spans="3:15" ht="43.5">
      <c r="C45" s="33" t="s">
        <v>1782</v>
      </c>
      <c r="D45" s="466" t="s">
        <v>10</v>
      </c>
      <c r="E45" s="466" t="s">
        <v>2683</v>
      </c>
      <c r="F45" s="466" t="s">
        <v>3367</v>
      </c>
      <c r="G45" s="466" t="s">
        <v>2826</v>
      </c>
      <c r="H45" s="466" t="s">
        <v>3266</v>
      </c>
      <c r="I45" s="466" t="s">
        <v>3371</v>
      </c>
      <c r="J45" s="466" t="s">
        <v>3370</v>
      </c>
      <c r="K45" s="466" t="s">
        <v>3372</v>
      </c>
      <c r="L45" s="466" t="s">
        <v>3373</v>
      </c>
      <c r="M45" s="466" t="s">
        <v>3374</v>
      </c>
      <c r="N45" s="466" t="s">
        <v>593</v>
      </c>
      <c r="O45" s="466" t="s">
        <v>19</v>
      </c>
    </row>
  </sheetData>
  <mergeCells count="7">
    <mergeCell ref="C39:J39"/>
    <mergeCell ref="C18:O18"/>
    <mergeCell ref="C27:J27"/>
    <mergeCell ref="C32:O32"/>
    <mergeCell ref="C1:J1"/>
    <mergeCell ref="C13:N13"/>
    <mergeCell ref="C8:O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57667-7022-4D7F-B832-68E450E79E3C}">
  <sheetPr>
    <tabColor rgb="FF00B0F0"/>
  </sheetPr>
  <dimension ref="C2:E4"/>
  <sheetViews>
    <sheetView workbookViewId="0">
      <selection activeCell="E21" sqref="E21"/>
    </sheetView>
  </sheetViews>
  <sheetFormatPr defaultRowHeight="14.5"/>
  <cols>
    <col min="3" max="3" width="14.7265625" bestFit="1" customWidth="1"/>
    <col min="4" max="4" width="13.453125" bestFit="1" customWidth="1"/>
    <col min="5" max="5" width="13.1796875" bestFit="1" customWidth="1"/>
  </cols>
  <sheetData>
    <row r="2" spans="3:5">
      <c r="C2" s="12" t="s">
        <v>3381</v>
      </c>
      <c r="D2" s="12" t="s">
        <v>3383</v>
      </c>
      <c r="E2" s="12" t="s">
        <v>3384</v>
      </c>
    </row>
    <row r="3" spans="3:5">
      <c r="C3" s="12" t="s">
        <v>3382</v>
      </c>
      <c r="D3" s="12" t="s">
        <v>3385</v>
      </c>
      <c r="E3" s="12" t="s">
        <v>3386</v>
      </c>
    </row>
    <row r="4" spans="3:5">
      <c r="D4" s="1172">
        <f>83/173</f>
        <v>0.47976878612716761</v>
      </c>
      <c r="E4" s="1172">
        <f>90/173</f>
        <v>0.52023121387283233</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5A679-74F0-4B5D-BAA3-9684B72F6B06}">
  <sheetPr>
    <tabColor rgb="FF00B0F0"/>
  </sheetPr>
  <dimension ref="C2:J17"/>
  <sheetViews>
    <sheetView workbookViewId="0">
      <selection activeCell="E21" sqref="E21"/>
    </sheetView>
  </sheetViews>
  <sheetFormatPr defaultRowHeight="14.5"/>
  <cols>
    <col min="4" max="4" width="50.6328125" customWidth="1"/>
    <col min="5" max="5" width="9.90625" customWidth="1"/>
    <col min="6" max="6" width="12.90625" customWidth="1"/>
    <col min="7" max="7" width="10.08984375" customWidth="1"/>
  </cols>
  <sheetData>
    <row r="2" spans="3:10">
      <c r="C2" s="1411" t="s">
        <v>3376</v>
      </c>
      <c r="D2" s="1411"/>
      <c r="E2" s="1411"/>
      <c r="F2" s="1411"/>
      <c r="G2" s="1411"/>
    </row>
    <row r="3" spans="3:10" ht="29">
      <c r="C3" s="10" t="s">
        <v>1782</v>
      </c>
      <c r="D3" s="10" t="s">
        <v>2401</v>
      </c>
      <c r="E3" s="755" t="s">
        <v>3391</v>
      </c>
      <c r="F3" s="755" t="s">
        <v>3392</v>
      </c>
      <c r="G3" s="755" t="s">
        <v>3393</v>
      </c>
    </row>
    <row r="4" spans="3:10">
      <c r="C4" s="33">
        <v>1</v>
      </c>
      <c r="D4" s="946" t="s">
        <v>3361</v>
      </c>
      <c r="E4" s="1173">
        <v>155.09</v>
      </c>
      <c r="F4" s="1173">
        <v>88.06</v>
      </c>
      <c r="G4" s="1173">
        <f>E4-F4</f>
        <v>67.03</v>
      </c>
    </row>
    <row r="5" spans="3:10">
      <c r="C5" s="33">
        <v>2</v>
      </c>
      <c r="D5" s="1174" t="s">
        <v>3362</v>
      </c>
      <c r="E5" s="1173">
        <v>67.47</v>
      </c>
      <c r="F5" s="1173">
        <f>176387266/10^7</f>
        <v>17.638726599999998</v>
      </c>
      <c r="G5" s="1173">
        <f>E5-F5</f>
        <v>49.831273400000001</v>
      </c>
    </row>
    <row r="6" spans="3:10">
      <c r="C6" s="33">
        <v>3</v>
      </c>
      <c r="D6" s="1174" t="s">
        <v>3363</v>
      </c>
      <c r="E6" s="1173">
        <v>6.43</v>
      </c>
      <c r="F6" s="1173">
        <f>1439185/10^7</f>
        <v>0.1439185</v>
      </c>
      <c r="G6" s="1173">
        <f>E6-F6</f>
        <v>6.2860814999999999</v>
      </c>
    </row>
    <row r="7" spans="3:10">
      <c r="C7" s="1460" t="s">
        <v>994</v>
      </c>
      <c r="D7" s="1461"/>
      <c r="E7" s="11">
        <f>SUM(E4:E6)</f>
        <v>228.99</v>
      </c>
      <c r="F7" s="11">
        <f t="shared" ref="F7:G7" si="0">SUM(F4:F6)</f>
        <v>105.8426451</v>
      </c>
      <c r="G7" s="11">
        <f t="shared" si="0"/>
        <v>123.1473549</v>
      </c>
    </row>
    <row r="9" spans="3:10">
      <c r="C9" s="1411" t="s">
        <v>3375</v>
      </c>
      <c r="D9" s="1411"/>
      <c r="E9" s="1411"/>
      <c r="F9" s="1411"/>
      <c r="G9" s="1411"/>
    </row>
    <row r="10" spans="3:10" ht="29">
      <c r="C10" s="10" t="s">
        <v>1782</v>
      </c>
      <c r="D10" s="10" t="s">
        <v>2401</v>
      </c>
      <c r="E10" s="755" t="s">
        <v>3391</v>
      </c>
      <c r="F10" s="755" t="s">
        <v>3392</v>
      </c>
      <c r="G10" s="755" t="s">
        <v>3393</v>
      </c>
    </row>
    <row r="11" spans="3:10">
      <c r="C11" s="33">
        <v>1</v>
      </c>
      <c r="D11" s="946" t="s">
        <v>3361</v>
      </c>
      <c r="E11" s="1173">
        <v>119.32272599519798</v>
      </c>
      <c r="F11" s="1173">
        <f>305299128/10^7</f>
        <v>30.529912800000002</v>
      </c>
      <c r="G11" s="1173">
        <f>E11-F11</f>
        <v>88.792813195197979</v>
      </c>
    </row>
    <row r="12" spans="3:10">
      <c r="C12" s="33">
        <f>C11+1</f>
        <v>2</v>
      </c>
      <c r="D12" s="1174" t="s">
        <v>3362</v>
      </c>
      <c r="E12" s="1173">
        <v>50.130380033318886</v>
      </c>
      <c r="F12" s="1173">
        <f>46321408/10^7</f>
        <v>4.6321408000000002</v>
      </c>
      <c r="G12" s="1173">
        <f t="shared" ref="G12:G15" si="1">E12-F12</f>
        <v>45.498239233318884</v>
      </c>
      <c r="J12">
        <f>88.06+17.64+0.14</f>
        <v>105.84</v>
      </c>
    </row>
    <row r="13" spans="3:10">
      <c r="C13" s="33">
        <f>C12+1</f>
        <v>3</v>
      </c>
      <c r="D13" s="1174" t="s">
        <v>3363</v>
      </c>
      <c r="E13" s="1173">
        <v>4.4045141938709147</v>
      </c>
      <c r="F13" s="1173"/>
      <c r="G13" s="1173">
        <f t="shared" si="1"/>
        <v>4.4045141938709147</v>
      </c>
    </row>
    <row r="14" spans="3:10">
      <c r="C14" s="33">
        <f>C13+1</f>
        <v>4</v>
      </c>
      <c r="D14" s="1175" t="s">
        <v>3394</v>
      </c>
      <c r="E14" s="1173">
        <v>6.4654119127660161</v>
      </c>
      <c r="F14" s="1173"/>
      <c r="G14" s="1173">
        <f t="shared" si="1"/>
        <v>6.4654119127660161</v>
      </c>
    </row>
    <row r="15" spans="3:10">
      <c r="C15" s="33">
        <f>C14+1</f>
        <v>5</v>
      </c>
      <c r="D15" s="1175" t="s">
        <v>3395</v>
      </c>
      <c r="E15" s="1173">
        <v>5.9322033898305087</v>
      </c>
      <c r="F15" s="1173"/>
      <c r="G15" s="1173">
        <f t="shared" si="1"/>
        <v>5.9322033898305087</v>
      </c>
    </row>
    <row r="16" spans="3:10">
      <c r="C16" s="1460" t="s">
        <v>994</v>
      </c>
      <c r="D16" s="1461"/>
      <c r="E16" s="11">
        <f>SUM(E11:E15)</f>
        <v>186.2552355249843</v>
      </c>
      <c r="F16" s="11">
        <f t="shared" ref="F16:G16" si="2">SUM(F11:F15)</f>
        <v>35.1620536</v>
      </c>
      <c r="G16" s="11">
        <f t="shared" si="2"/>
        <v>151.09318192498432</v>
      </c>
    </row>
    <row r="17" spans="6:6">
      <c r="F17">
        <v>1.5</v>
      </c>
    </row>
  </sheetData>
  <mergeCells count="4">
    <mergeCell ref="C2:G2"/>
    <mergeCell ref="C7:D7"/>
    <mergeCell ref="C9:G9"/>
    <mergeCell ref="C16:D16"/>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462" t="s">
        <v>0</v>
      </c>
      <c r="B1" s="1463"/>
      <c r="C1" s="1463"/>
      <c r="D1" s="1463"/>
      <c r="E1" s="1463"/>
      <c r="F1" s="1463"/>
      <c r="G1" s="1463"/>
      <c r="H1" s="1463"/>
      <c r="I1" s="1463"/>
      <c r="J1" s="1463"/>
      <c r="K1" s="1463"/>
      <c r="L1" s="1463"/>
      <c r="M1" s="1463"/>
      <c r="N1" s="1463"/>
      <c r="O1" s="1463"/>
      <c r="P1" s="1463"/>
      <c r="Q1" s="1463"/>
      <c r="R1" s="1464"/>
    </row>
    <row r="2" spans="1:20" ht="13.5" customHeight="1">
      <c r="A2" s="1490" t="s">
        <v>1</v>
      </c>
      <c r="C2" s="464"/>
      <c r="D2" s="464" t="s">
        <v>2</v>
      </c>
      <c r="E2" s="464"/>
      <c r="F2" s="464"/>
      <c r="G2" s="1492" t="s">
        <v>3</v>
      </c>
      <c r="H2" s="466"/>
      <c r="I2" s="501" t="s">
        <v>4</v>
      </c>
      <c r="J2" s="502"/>
      <c r="K2" s="466"/>
      <c r="L2" s="1465" t="s">
        <v>5</v>
      </c>
      <c r="M2" s="1465"/>
      <c r="N2" s="1466">
        <v>45747</v>
      </c>
      <c r="O2" s="1467"/>
      <c r="P2" s="1468"/>
      <c r="Q2" s="1494" t="s">
        <v>6</v>
      </c>
      <c r="R2" s="1496">
        <f ca="1">TODAY()</f>
        <v>46220</v>
      </c>
    </row>
    <row r="3" spans="1:20" ht="12.65" customHeight="1">
      <c r="A3" s="1491"/>
      <c r="C3" s="465"/>
      <c r="D3" s="465" t="s">
        <v>7</v>
      </c>
      <c r="E3" s="465"/>
      <c r="F3" s="465"/>
      <c r="G3" s="1493"/>
      <c r="I3" s="503" t="s">
        <v>8</v>
      </c>
      <c r="J3" s="504"/>
      <c r="K3" s="505"/>
      <c r="L3" s="1465" t="s">
        <v>5</v>
      </c>
      <c r="M3" s="1465"/>
      <c r="N3" s="1466">
        <v>45747</v>
      </c>
      <c r="O3" s="1467"/>
      <c r="P3" s="1468"/>
      <c r="Q3" s="1495"/>
      <c r="R3" s="1497"/>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469" t="s">
        <v>10</v>
      </c>
      <c r="B5" s="469" t="s">
        <v>11</v>
      </c>
      <c r="C5" s="1469" t="s">
        <v>12</v>
      </c>
      <c r="D5" s="1469" t="s">
        <v>13</v>
      </c>
      <c r="E5" s="1469"/>
      <c r="F5" s="1469" t="s">
        <v>14</v>
      </c>
      <c r="G5" s="1469"/>
      <c r="H5" s="1470" t="s">
        <v>1704</v>
      </c>
      <c r="I5" s="1471"/>
      <c r="J5" s="469" t="s">
        <v>16</v>
      </c>
      <c r="K5" s="1470" t="s">
        <v>1741</v>
      </c>
      <c r="L5" s="1471"/>
      <c r="M5" s="1471"/>
      <c r="N5" s="1471"/>
      <c r="O5" s="1469" t="s">
        <v>18</v>
      </c>
      <c r="P5" s="1469"/>
      <c r="Q5" s="1469" t="s">
        <v>19</v>
      </c>
      <c r="R5" s="1498"/>
    </row>
    <row r="6" spans="1:20" ht="21" customHeight="1" thickBot="1">
      <c r="A6" s="1469"/>
      <c r="B6" s="469"/>
      <c r="C6" s="1469"/>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469"/>
      <c r="R6" s="1498"/>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472"/>
      <c r="R7" s="1472"/>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473"/>
      <c r="R8" s="1474"/>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473"/>
      <c r="R9" s="1474"/>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475"/>
      <c r="R10" s="1476"/>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473"/>
      <c r="R11" s="1474"/>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473"/>
      <c r="R12" s="1474"/>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475"/>
      <c r="R13" s="1476"/>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484"/>
      <c r="R14" s="1479"/>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484"/>
      <c r="R15" s="1479"/>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480"/>
      <c r="R16" s="1481"/>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475"/>
      <c r="R17" s="1476"/>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477"/>
      <c r="R18" s="1478"/>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477" t="s">
        <v>1754</v>
      </c>
      <c r="R19" s="1479"/>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480"/>
      <c r="R20" s="1481"/>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482"/>
      <c r="R21" s="1483"/>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477"/>
      <c r="R22" s="1479"/>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477"/>
      <c r="R23" s="1479"/>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487"/>
      <c r="R24" s="1488"/>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482"/>
      <c r="R25" s="1483"/>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477"/>
      <c r="R26" s="1479"/>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485"/>
      <c r="R27" s="1486"/>
    </row>
    <row r="28" spans="1:19">
      <c r="A28" s="498" t="s">
        <v>31</v>
      </c>
      <c r="B28" s="479"/>
      <c r="C28" s="499"/>
      <c r="D28" s="479"/>
      <c r="E28" s="479"/>
      <c r="F28" s="479"/>
      <c r="G28" s="479"/>
      <c r="H28" s="479"/>
      <c r="I28" s="479"/>
      <c r="J28" s="479"/>
      <c r="K28" s="479"/>
      <c r="L28" s="526" t="s">
        <v>1718</v>
      </c>
      <c r="M28" s="479"/>
      <c r="N28" s="479"/>
      <c r="O28" s="479"/>
      <c r="P28" s="479"/>
      <c r="Q28" s="1487"/>
      <c r="R28" s="1488"/>
    </row>
    <row r="29" spans="1:19">
      <c r="Q29" s="1489"/>
      <c r="R29" s="1489"/>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7" customWidth="1"/>
    <col min="2" max="2" width="20.81640625" style="677" bestFit="1" customWidth="1"/>
    <col min="3" max="3" width="14.54296875" style="677" hidden="1" customWidth="1"/>
    <col min="4" max="4" width="27.36328125" style="677" hidden="1" customWidth="1"/>
    <col min="5" max="5" width="8.1796875" style="677" hidden="1" customWidth="1"/>
    <col min="6" max="6" width="25.54296875" style="677" bestFit="1" customWidth="1"/>
    <col min="7" max="7" width="16.26953125" style="677" bestFit="1" customWidth="1"/>
    <col min="8" max="8" width="12.08984375" style="677" customWidth="1"/>
    <col min="9" max="9" width="9.90625" style="677" customWidth="1"/>
    <col min="10" max="10" width="11.08984375" style="677" customWidth="1"/>
    <col min="11" max="11" width="14.36328125" style="677" customWidth="1"/>
    <col min="12" max="12" width="9.1796875" style="677" bestFit="1" customWidth="1"/>
    <col min="13" max="13" width="45.54296875" style="677" customWidth="1"/>
    <col min="14" max="14" width="11.54296875" style="677" bestFit="1" customWidth="1"/>
    <col min="15" max="25" width="8.7265625" style="677"/>
    <col min="26" max="26" width="7.81640625" style="677" bestFit="1" customWidth="1"/>
    <col min="27" max="27" width="12.81640625" style="677" bestFit="1" customWidth="1"/>
    <col min="28" max="16384" width="8.7265625" style="677"/>
  </cols>
  <sheetData>
    <row r="1" spans="1:27" s="671" customFormat="1">
      <c r="B1" s="672" t="s">
        <v>1784</v>
      </c>
      <c r="C1" s="1505" t="s">
        <v>1785</v>
      </c>
      <c r="D1" s="1505"/>
      <c r="E1" s="1505"/>
      <c r="F1" s="1505"/>
      <c r="G1" s="1505"/>
      <c r="H1" s="1506"/>
      <c r="W1" s="673"/>
      <c r="X1" s="673"/>
      <c r="Y1" s="673"/>
      <c r="Z1" s="674" t="s">
        <v>1786</v>
      </c>
      <c r="AA1" s="674" t="s">
        <v>1787</v>
      </c>
    </row>
    <row r="2" spans="1:27" s="675" customFormat="1">
      <c r="B2" s="676" t="s">
        <v>1788</v>
      </c>
      <c r="C2" s="1507" t="s">
        <v>1789</v>
      </c>
      <c r="D2" s="1507"/>
      <c r="E2" s="1507"/>
      <c r="F2" s="1507"/>
      <c r="G2" s="1507"/>
      <c r="H2" s="1508"/>
      <c r="W2" s="673"/>
      <c r="X2" s="673"/>
      <c r="Y2" s="673"/>
      <c r="Z2" s="674" t="s">
        <v>1790</v>
      </c>
      <c r="AA2" s="674" t="s">
        <v>1791</v>
      </c>
    </row>
    <row r="3" spans="1:27" s="671" customFormat="1">
      <c r="B3" s="676" t="s">
        <v>1792</v>
      </c>
      <c r="C3" s="1507" t="s">
        <v>1766</v>
      </c>
      <c r="D3" s="1507"/>
      <c r="E3" s="1507"/>
      <c r="F3" s="1507"/>
      <c r="G3" s="1507"/>
      <c r="H3" s="1508"/>
      <c r="W3" s="673"/>
      <c r="X3" s="673"/>
      <c r="Y3" s="673"/>
      <c r="Z3" s="674"/>
      <c r="AA3" s="674" t="s">
        <v>1790</v>
      </c>
    </row>
    <row r="4" spans="1:27">
      <c r="A4" s="671"/>
      <c r="B4" s="676" t="s">
        <v>1793</v>
      </c>
      <c r="C4" s="1509" t="s">
        <v>1794</v>
      </c>
      <c r="D4" s="1510"/>
      <c r="E4" s="1510"/>
      <c r="F4" s="1510"/>
      <c r="G4" s="1510"/>
      <c r="H4" s="1511"/>
      <c r="W4" s="678"/>
      <c r="X4" s="678"/>
      <c r="Y4" s="678"/>
      <c r="Z4" s="678"/>
      <c r="AA4" s="678"/>
    </row>
    <row r="5" spans="1:27" ht="12" thickBot="1">
      <c r="A5" s="671"/>
      <c r="B5" s="679" t="s">
        <v>1795</v>
      </c>
      <c r="C5" s="1512" t="s">
        <v>1796</v>
      </c>
      <c r="D5" s="1513"/>
      <c r="E5" s="1513"/>
      <c r="F5" s="1513"/>
      <c r="G5" s="1513"/>
      <c r="H5" s="1514"/>
      <c r="W5" s="678"/>
      <c r="X5" s="678"/>
      <c r="Y5" s="678"/>
      <c r="Z5" s="678"/>
      <c r="AA5" s="678"/>
    </row>
    <row r="6" spans="1:27" ht="12" thickBot="1">
      <c r="B6" s="680"/>
      <c r="C6" s="681"/>
      <c r="D6" s="681"/>
      <c r="E6" s="681"/>
      <c r="F6" s="681"/>
      <c r="G6" s="681"/>
      <c r="H6" s="681"/>
      <c r="I6" s="681"/>
      <c r="J6" s="681"/>
      <c r="K6" s="681"/>
      <c r="L6" s="681"/>
    </row>
    <row r="7" spans="1:27" ht="25" customHeight="1" thickBot="1">
      <c r="B7" s="1502" t="s">
        <v>1797</v>
      </c>
      <c r="C7" s="1503"/>
      <c r="D7" s="1503"/>
      <c r="E7" s="1503"/>
      <c r="F7" s="1503"/>
      <c r="G7" s="1504"/>
      <c r="H7" s="1502" t="s">
        <v>1798</v>
      </c>
      <c r="I7" s="1503"/>
      <c r="J7" s="1503"/>
      <c r="K7" s="1503"/>
      <c r="L7" s="1503"/>
      <c r="M7" s="1504"/>
    </row>
    <row r="8" spans="1:27" s="675" customFormat="1" ht="34.5">
      <c r="B8" s="682" t="s">
        <v>2704</v>
      </c>
      <c r="C8" s="683" t="s">
        <v>1799</v>
      </c>
      <c r="D8" s="683" t="s">
        <v>1800</v>
      </c>
      <c r="E8" s="683" t="s">
        <v>1801</v>
      </c>
      <c r="F8" s="683" t="s">
        <v>1802</v>
      </c>
      <c r="G8" s="684" t="s">
        <v>1803</v>
      </c>
      <c r="H8" s="684" t="s">
        <v>1804</v>
      </c>
      <c r="I8" s="684" t="s">
        <v>1805</v>
      </c>
      <c r="J8" s="684" t="s">
        <v>1806</v>
      </c>
      <c r="K8" s="684" t="s">
        <v>1807</v>
      </c>
      <c r="L8" s="684" t="s">
        <v>1808</v>
      </c>
      <c r="M8" s="685" t="s">
        <v>1809</v>
      </c>
    </row>
    <row r="9" spans="1:27" ht="26" customHeight="1">
      <c r="B9" s="1517" t="s">
        <v>2371</v>
      </c>
      <c r="C9" s="1518" t="s">
        <v>1810</v>
      </c>
      <c r="D9" s="686" t="s">
        <v>1811</v>
      </c>
      <c r="E9" s="1518" t="s">
        <v>1812</v>
      </c>
      <c r="F9" s="687" t="s">
        <v>1813</v>
      </c>
      <c r="G9" s="688">
        <v>46.914999999999999</v>
      </c>
      <c r="H9" s="688">
        <f>45.61+0.83</f>
        <v>46.44</v>
      </c>
      <c r="I9" s="688">
        <f>G9-H9</f>
        <v>0.47500000000000142</v>
      </c>
      <c r="J9" s="688">
        <f>39.202+4.505+2.346</f>
        <v>46.052999999999997</v>
      </c>
      <c r="K9" s="688">
        <v>46.052999999999997</v>
      </c>
      <c r="L9" s="688">
        <f>J9-K9</f>
        <v>0</v>
      </c>
      <c r="M9" s="689" t="s">
        <v>2424</v>
      </c>
      <c r="N9" s="792"/>
    </row>
    <row r="10" spans="1:27" ht="46">
      <c r="B10" s="1517"/>
      <c r="C10" s="1518"/>
      <c r="D10" s="686" t="s">
        <v>1814</v>
      </c>
      <c r="E10" s="1518"/>
      <c r="F10" s="690" t="s">
        <v>1815</v>
      </c>
      <c r="G10" s="691">
        <v>33</v>
      </c>
      <c r="H10" s="691">
        <f>7.63+0.34+0.29+0.3+0.83+2.257+0.79+0.849+1.044+0.76+0.7+0.4+0.3+0.964+0.684+2+3+4</f>
        <v>27.138000000000002</v>
      </c>
      <c r="I10" s="691">
        <f t="shared" ref="I10:I20" si="0">G10-H10</f>
        <v>5.8619999999999983</v>
      </c>
      <c r="J10" s="691">
        <v>19.600000000000001</v>
      </c>
      <c r="K10" s="691">
        <v>19.600000000000001</v>
      </c>
      <c r="L10" s="691">
        <f t="shared" ref="L10:L20" si="1">J10-K10</f>
        <v>0</v>
      </c>
      <c r="M10" s="692" t="s">
        <v>3137</v>
      </c>
    </row>
    <row r="11" spans="1:27" ht="20" customHeight="1">
      <c r="B11" s="1517"/>
      <c r="C11" s="1518"/>
      <c r="D11" s="686" t="s">
        <v>1816</v>
      </c>
      <c r="E11" s="1518"/>
      <c r="F11" s="1519" t="s">
        <v>1817</v>
      </c>
      <c r="G11" s="1521">
        <v>2.1800000000000002</v>
      </c>
      <c r="H11" s="1522">
        <v>2.1800000000000002</v>
      </c>
      <c r="I11" s="1522">
        <f t="shared" si="0"/>
        <v>0</v>
      </c>
      <c r="J11" s="1522">
        <v>2.1800000000000002</v>
      </c>
      <c r="K11" s="1522">
        <v>2.1800000000000002</v>
      </c>
      <c r="L11" s="1522">
        <f t="shared" si="1"/>
        <v>0</v>
      </c>
      <c r="M11" s="1515" t="s">
        <v>2366</v>
      </c>
      <c r="N11" s="1516"/>
      <c r="O11" s="1516"/>
      <c r="P11" s="1516"/>
      <c r="Q11" s="1516"/>
      <c r="R11" s="1516"/>
      <c r="S11" s="1516"/>
      <c r="T11" s="1516"/>
      <c r="U11" s="1516"/>
      <c r="V11" s="1516"/>
      <c r="W11" s="1516"/>
    </row>
    <row r="12" spans="1:27" ht="20" customHeight="1">
      <c r="B12" s="1517"/>
      <c r="C12" s="1518"/>
      <c r="D12" s="686" t="s">
        <v>1818</v>
      </c>
      <c r="E12" s="1518"/>
      <c r="F12" s="1520"/>
      <c r="G12" s="1521"/>
      <c r="H12" s="1523"/>
      <c r="I12" s="1523">
        <f t="shared" si="0"/>
        <v>0</v>
      </c>
      <c r="J12" s="1523"/>
      <c r="K12" s="1523"/>
      <c r="L12" s="1523">
        <f t="shared" si="1"/>
        <v>0</v>
      </c>
      <c r="M12" s="1515"/>
    </row>
    <row r="13" spans="1:27" ht="25.5" customHeight="1">
      <c r="B13" s="1517" t="s">
        <v>2376</v>
      </c>
      <c r="C13" s="1518" t="s">
        <v>1819</v>
      </c>
      <c r="D13" s="686" t="s">
        <v>1820</v>
      </c>
      <c r="E13" s="1518" t="s">
        <v>1821</v>
      </c>
      <c r="F13" s="1525" t="s">
        <v>1822</v>
      </c>
      <c r="G13" s="1524">
        <v>47.25</v>
      </c>
      <c r="H13" s="1524">
        <v>46.473999999999997</v>
      </c>
      <c r="I13" s="1524">
        <f t="shared" si="0"/>
        <v>0.77600000000000335</v>
      </c>
      <c r="J13" s="1524">
        <v>45.892000000000003</v>
      </c>
      <c r="K13" s="1524">
        <f>13.05+32.842</f>
        <v>45.891999999999996</v>
      </c>
      <c r="L13" s="1524">
        <f t="shared" si="1"/>
        <v>0</v>
      </c>
      <c r="M13" s="1529"/>
    </row>
    <row r="14" spans="1:27" ht="20" customHeight="1">
      <c r="B14" s="1517"/>
      <c r="C14" s="1518"/>
      <c r="D14" s="686" t="s">
        <v>1823</v>
      </c>
      <c r="E14" s="1518"/>
      <c r="F14" s="1525"/>
      <c r="G14" s="1524"/>
      <c r="H14" s="1524"/>
      <c r="I14" s="1524">
        <f t="shared" si="0"/>
        <v>0</v>
      </c>
      <c r="J14" s="1524"/>
      <c r="K14" s="1524"/>
      <c r="L14" s="1524">
        <f t="shared" si="1"/>
        <v>0</v>
      </c>
      <c r="M14" s="1530"/>
    </row>
    <row r="15" spans="1:27" ht="20" customHeight="1">
      <c r="B15" s="1517"/>
      <c r="C15" s="1518"/>
      <c r="D15" s="686" t="s">
        <v>1824</v>
      </c>
      <c r="E15" s="1518"/>
      <c r="F15" s="1525"/>
      <c r="G15" s="1524"/>
      <c r="H15" s="1524"/>
      <c r="I15" s="1524">
        <f t="shared" si="0"/>
        <v>0</v>
      </c>
      <c r="J15" s="1524"/>
      <c r="K15" s="1524"/>
      <c r="L15" s="1524">
        <f t="shared" si="1"/>
        <v>0</v>
      </c>
      <c r="M15" s="1530"/>
    </row>
    <row r="16" spans="1:27" ht="48.5" customHeight="1">
      <c r="B16" s="1517"/>
      <c r="C16" s="1518"/>
      <c r="D16" s="686" t="s">
        <v>1825</v>
      </c>
      <c r="E16" s="1518"/>
      <c r="F16" s="1525"/>
      <c r="G16" s="1524"/>
      <c r="H16" s="1524"/>
      <c r="I16" s="1524"/>
      <c r="J16" s="1524"/>
      <c r="K16" s="1524"/>
      <c r="L16" s="1524">
        <f t="shared" si="1"/>
        <v>0</v>
      </c>
      <c r="M16" s="1532"/>
      <c r="N16" s="792"/>
    </row>
    <row r="17" spans="2:13" ht="20" customHeight="1">
      <c r="B17" s="1517" t="s">
        <v>2376</v>
      </c>
      <c r="C17" s="1536" t="s">
        <v>1826</v>
      </c>
      <c r="D17" s="693" t="s">
        <v>1827</v>
      </c>
      <c r="E17" s="1518" t="s">
        <v>1821</v>
      </c>
      <c r="F17" s="1525" t="s">
        <v>1828</v>
      </c>
      <c r="G17" s="1524">
        <v>47.805</v>
      </c>
      <c r="H17" s="1526">
        <f>34.985+1.456+2.013+2.516</f>
        <v>40.97</v>
      </c>
      <c r="I17" s="1526">
        <f t="shared" si="0"/>
        <v>6.8350000000000009</v>
      </c>
      <c r="J17" s="1526">
        <v>47.81</v>
      </c>
      <c r="K17" s="1526">
        <v>23.518999999999998</v>
      </c>
      <c r="L17" s="1526">
        <f t="shared" si="1"/>
        <v>24.291000000000004</v>
      </c>
      <c r="M17" s="1529"/>
    </row>
    <row r="18" spans="2:13" ht="20" customHeight="1">
      <c r="B18" s="1517"/>
      <c r="C18" s="1536"/>
      <c r="D18" s="686" t="s">
        <v>1829</v>
      </c>
      <c r="E18" s="1518"/>
      <c r="F18" s="1525"/>
      <c r="G18" s="1524"/>
      <c r="H18" s="1527"/>
      <c r="I18" s="1527">
        <f t="shared" si="0"/>
        <v>0</v>
      </c>
      <c r="J18" s="1527"/>
      <c r="K18" s="1527"/>
      <c r="L18" s="1527">
        <f t="shared" si="1"/>
        <v>0</v>
      </c>
      <c r="M18" s="1530"/>
    </row>
    <row r="19" spans="2:13" ht="20" customHeight="1">
      <c r="B19" s="1517"/>
      <c r="C19" s="1536"/>
      <c r="D19" s="686" t="s">
        <v>1830</v>
      </c>
      <c r="E19" s="1518"/>
      <c r="F19" s="1525"/>
      <c r="G19" s="1524"/>
      <c r="H19" s="1527"/>
      <c r="I19" s="1527">
        <f t="shared" si="0"/>
        <v>0</v>
      </c>
      <c r="J19" s="1527"/>
      <c r="K19" s="1527"/>
      <c r="L19" s="1527">
        <f t="shared" si="1"/>
        <v>0</v>
      </c>
      <c r="M19" s="1530"/>
    </row>
    <row r="20" spans="2:13" ht="20" customHeight="1" thickBot="1">
      <c r="B20" s="1535"/>
      <c r="C20" s="1537"/>
      <c r="D20" s="694"/>
      <c r="E20" s="1538"/>
      <c r="F20" s="1539"/>
      <c r="G20" s="1540"/>
      <c r="H20" s="1528"/>
      <c r="I20" s="1528">
        <f t="shared" si="0"/>
        <v>0</v>
      </c>
      <c r="J20" s="1528"/>
      <c r="K20" s="1528"/>
      <c r="L20" s="1528">
        <f t="shared" si="1"/>
        <v>0</v>
      </c>
      <c r="M20" s="1531"/>
    </row>
    <row r="21" spans="2:13" ht="17.649999999999999" customHeight="1" thickBot="1">
      <c r="B21" s="1533" t="s">
        <v>1831</v>
      </c>
      <c r="C21" s="1534"/>
      <c r="D21" s="1534"/>
      <c r="E21" s="695"/>
      <c r="F21" s="695"/>
      <c r="G21" s="696">
        <f>SUM(G9:G20)</f>
        <v>177.15</v>
      </c>
      <c r="H21" s="696">
        <f t="shared" ref="H21:M21" si="2">SUM(H9:H20)</f>
        <v>163.202</v>
      </c>
      <c r="I21" s="696">
        <f t="shared" si="2"/>
        <v>13.948000000000004</v>
      </c>
      <c r="J21" s="696">
        <f t="shared" si="2"/>
        <v>161.535</v>
      </c>
      <c r="K21" s="696">
        <f t="shared" ref="K21" si="3">SUM(K9:K20)</f>
        <v>137.244</v>
      </c>
      <c r="L21" s="696">
        <f t="shared" si="2"/>
        <v>24.291000000000004</v>
      </c>
      <c r="M21" s="697">
        <f t="shared" si="2"/>
        <v>0</v>
      </c>
    </row>
    <row r="23" spans="2:13">
      <c r="K23" s="792"/>
    </row>
    <row r="26" spans="2:13" ht="14.5">
      <c r="G26" s="1499" t="s">
        <v>2727</v>
      </c>
      <c r="H26" s="1499"/>
      <c r="I26" s="1499"/>
      <c r="J26" s="1499"/>
      <c r="K26" s="1499"/>
      <c r="L26" s="1499"/>
      <c r="M26" s="1499"/>
    </row>
    <row r="27" spans="2:13" ht="14.5">
      <c r="G27" s="1499" t="s">
        <v>1782</v>
      </c>
      <c r="H27" s="1499" t="s">
        <v>1433</v>
      </c>
      <c r="I27" s="1499" t="s">
        <v>1433</v>
      </c>
      <c r="J27" s="866" t="s">
        <v>1439</v>
      </c>
      <c r="K27" s="866" t="s">
        <v>2671</v>
      </c>
      <c r="L27" s="1500" t="s">
        <v>1004</v>
      </c>
      <c r="M27" s="1501" t="s">
        <v>19</v>
      </c>
    </row>
    <row r="28" spans="2:13" ht="14.5">
      <c r="G28" s="1499"/>
      <c r="H28" s="1499"/>
      <c r="I28" s="1499"/>
      <c r="J28" s="866" t="s">
        <v>615</v>
      </c>
      <c r="K28" s="866" t="s">
        <v>570</v>
      </c>
      <c r="L28" s="1500"/>
      <c r="M28" s="1501"/>
    </row>
    <row r="29" spans="2:13" ht="14.5">
      <c r="G29" s="867">
        <v>1</v>
      </c>
      <c r="H29" s="867" t="s">
        <v>2672</v>
      </c>
      <c r="I29" s="867" t="s">
        <v>2371</v>
      </c>
      <c r="J29" s="870">
        <v>10.43</v>
      </c>
      <c r="K29" s="868">
        <v>45846</v>
      </c>
      <c r="L29" s="868">
        <v>45854</v>
      </c>
      <c r="M29" s="869"/>
    </row>
    <row r="30" spans="2:13" ht="14.5">
      <c r="G30" s="867">
        <v>2</v>
      </c>
      <c r="H30" s="867" t="s">
        <v>2673</v>
      </c>
      <c r="I30" s="867" t="s">
        <v>2371</v>
      </c>
      <c r="J30" s="870">
        <v>13.72</v>
      </c>
      <c r="K30" s="868">
        <v>45857</v>
      </c>
      <c r="L30" s="868">
        <v>45862</v>
      </c>
      <c r="M30" s="869"/>
    </row>
    <row r="31" spans="2:13" ht="14.5">
      <c r="G31" s="867">
        <v>3</v>
      </c>
      <c r="H31" s="867" t="s">
        <v>2674</v>
      </c>
      <c r="I31" s="867" t="s">
        <v>2371</v>
      </c>
      <c r="J31" s="870">
        <v>15.05</v>
      </c>
      <c r="K31" s="868">
        <v>45868</v>
      </c>
      <c r="L31" s="868">
        <v>45873</v>
      </c>
      <c r="M31" s="869"/>
    </row>
    <row r="32" spans="2:13" ht="14.5">
      <c r="G32" s="867">
        <v>4</v>
      </c>
      <c r="H32" s="867" t="s">
        <v>2675</v>
      </c>
      <c r="I32" s="867" t="s">
        <v>2371</v>
      </c>
      <c r="J32" s="870">
        <v>4.51</v>
      </c>
      <c r="K32" s="868">
        <v>45908</v>
      </c>
      <c r="L32" s="868">
        <v>45909</v>
      </c>
      <c r="M32" s="869"/>
    </row>
    <row r="33" spans="7:13" ht="14.5">
      <c r="G33" s="875">
        <v>5</v>
      </c>
      <c r="H33" s="875" t="s">
        <v>2726</v>
      </c>
      <c r="I33" s="875" t="s">
        <v>2371</v>
      </c>
      <c r="J33" s="876">
        <v>2.3460000000000001</v>
      </c>
      <c r="K33" s="877">
        <v>45918</v>
      </c>
      <c r="L33" s="877">
        <v>45930</v>
      </c>
      <c r="M33" s="878"/>
    </row>
    <row r="34" spans="7:13" ht="14.5">
      <c r="G34" s="867">
        <v>5</v>
      </c>
      <c r="H34" s="867" t="s">
        <v>2676</v>
      </c>
      <c r="I34" s="867" t="s">
        <v>2376</v>
      </c>
      <c r="J34" s="870">
        <v>11.37</v>
      </c>
      <c r="K34" s="868">
        <v>45875</v>
      </c>
      <c r="L34" s="868">
        <v>45894</v>
      </c>
      <c r="M34" s="869"/>
    </row>
    <row r="35" spans="7:13" ht="14.5">
      <c r="G35" s="867">
        <v>6</v>
      </c>
      <c r="H35" s="867" t="s">
        <v>2677</v>
      </c>
      <c r="I35" s="867" t="s">
        <v>2376</v>
      </c>
      <c r="J35" s="870">
        <v>11.41</v>
      </c>
      <c r="K35" s="868">
        <v>45885</v>
      </c>
      <c r="L35" s="868">
        <v>45900</v>
      </c>
      <c r="M35" s="869"/>
    </row>
    <row r="36" spans="7:13" ht="14.5">
      <c r="G36" s="867">
        <v>7</v>
      </c>
      <c r="H36" s="867" t="s">
        <v>2678</v>
      </c>
      <c r="I36" s="867" t="s">
        <v>2376</v>
      </c>
      <c r="J36" s="870">
        <v>10.07</v>
      </c>
      <c r="K36" s="868">
        <v>45890</v>
      </c>
      <c r="L36" s="868">
        <v>45894</v>
      </c>
      <c r="M36" s="869"/>
    </row>
    <row r="37" spans="7:13" ht="14.5">
      <c r="G37" s="867">
        <v>8</v>
      </c>
      <c r="H37" s="867" t="s">
        <v>2679</v>
      </c>
      <c r="I37" s="867" t="s">
        <v>2376</v>
      </c>
      <c r="J37" s="870">
        <v>6.93</v>
      </c>
      <c r="K37" s="868">
        <v>45888</v>
      </c>
      <c r="L37" s="868">
        <v>45904</v>
      </c>
      <c r="M37" s="869"/>
    </row>
    <row r="38" spans="7:13" ht="14.5">
      <c r="G38" s="867">
        <v>9</v>
      </c>
      <c r="H38" s="867" t="s">
        <v>2680</v>
      </c>
      <c r="I38" s="867" t="s">
        <v>2376</v>
      </c>
      <c r="J38" s="870">
        <v>10.3</v>
      </c>
      <c r="K38" s="868">
        <v>45888</v>
      </c>
      <c r="L38" s="868">
        <v>45904</v>
      </c>
      <c r="M38" s="869"/>
    </row>
    <row r="39" spans="7:13" ht="14.5">
      <c r="G39" s="867">
        <v>10</v>
      </c>
      <c r="H39" s="867" t="s">
        <v>2681</v>
      </c>
      <c r="I39" s="867" t="s">
        <v>2376</v>
      </c>
      <c r="J39" s="870">
        <v>6.29</v>
      </c>
      <c r="K39" s="868">
        <v>45892</v>
      </c>
      <c r="L39" s="868">
        <v>45904</v>
      </c>
      <c r="M39" s="869"/>
    </row>
    <row r="40" spans="7:13" ht="14.5" customHeight="1">
      <c r="G40" s="875">
        <v>11</v>
      </c>
      <c r="H40" s="875" t="s">
        <v>2728</v>
      </c>
      <c r="I40" s="875" t="s">
        <v>2376</v>
      </c>
      <c r="J40" s="876">
        <v>9.6259999999999994</v>
      </c>
      <c r="K40" s="877">
        <v>45913</v>
      </c>
      <c r="L40" s="877">
        <v>45961</v>
      </c>
      <c r="M40" s="952"/>
    </row>
    <row r="41" spans="7:13" ht="14.5">
      <c r="G41" s="875">
        <v>12</v>
      </c>
      <c r="H41" s="875" t="s">
        <v>2729</v>
      </c>
      <c r="I41" s="875" t="s">
        <v>2376</v>
      </c>
      <c r="J41" s="876">
        <v>3.42</v>
      </c>
      <c r="K41" s="877">
        <v>45919</v>
      </c>
      <c r="L41" s="877">
        <v>45961</v>
      </c>
      <c r="M41" s="953"/>
    </row>
    <row r="42" spans="7:13" ht="14.5">
      <c r="G42" s="875">
        <v>13</v>
      </c>
      <c r="H42" s="875" t="s">
        <v>2735</v>
      </c>
      <c r="I42" s="875" t="s">
        <v>2376</v>
      </c>
      <c r="J42" s="876">
        <v>12.083</v>
      </c>
      <c r="K42" s="877">
        <v>45922</v>
      </c>
      <c r="L42" s="877"/>
      <c r="M42" s="952" t="s">
        <v>3097</v>
      </c>
    </row>
    <row r="43" spans="7:13" ht="14.5">
      <c r="G43" s="1499" t="s">
        <v>994</v>
      </c>
      <c r="H43" s="1499"/>
      <c r="I43" s="1499"/>
      <c r="J43" s="871">
        <f>SUM(J29:J42)</f>
        <v>127.55500000000002</v>
      </c>
      <c r="K43" s="865"/>
      <c r="L43" s="865"/>
      <c r="M43" s="872"/>
    </row>
    <row r="45" spans="7:13" ht="14.5">
      <c r="G45" s="1499" t="s">
        <v>2730</v>
      </c>
      <c r="H45" s="1499"/>
      <c r="I45" s="1499"/>
      <c r="J45" s="1499"/>
      <c r="K45" s="1499"/>
      <c r="L45" s="1499"/>
      <c r="M45" s="1499"/>
    </row>
    <row r="46" spans="7:13" ht="14.5">
      <c r="G46" s="1499" t="s">
        <v>1782</v>
      </c>
      <c r="H46" s="1499" t="s">
        <v>1433</v>
      </c>
      <c r="I46" s="1499" t="s">
        <v>1433</v>
      </c>
      <c r="J46" s="866" t="s">
        <v>1439</v>
      </c>
      <c r="K46" s="866" t="s">
        <v>2671</v>
      </c>
      <c r="L46" s="1500" t="s">
        <v>1004</v>
      </c>
      <c r="M46" s="1501" t="s">
        <v>19</v>
      </c>
    </row>
    <row r="47" spans="7:13" ht="14.5">
      <c r="G47" s="1499"/>
      <c r="H47" s="1499"/>
      <c r="I47" s="1499"/>
      <c r="J47" s="866" t="s">
        <v>615</v>
      </c>
      <c r="K47" s="866" t="s">
        <v>570</v>
      </c>
      <c r="L47" s="1500"/>
      <c r="M47" s="1501"/>
    </row>
    <row r="48" spans="7:13" ht="14.5">
      <c r="G48" s="867">
        <v>1</v>
      </c>
      <c r="H48" s="867" t="s">
        <v>2629</v>
      </c>
      <c r="I48" s="867" t="s">
        <v>2371</v>
      </c>
      <c r="J48" s="870">
        <v>3.13</v>
      </c>
      <c r="K48" s="868">
        <v>45908</v>
      </c>
      <c r="L48" s="868">
        <v>45909</v>
      </c>
      <c r="M48" s="869"/>
    </row>
    <row r="49" spans="7:13" ht="14.5">
      <c r="G49" s="867">
        <f>G48+1</f>
        <v>2</v>
      </c>
      <c r="H49" s="867" t="s">
        <v>2734</v>
      </c>
      <c r="I49" s="867" t="s">
        <v>2371</v>
      </c>
      <c r="J49" s="870">
        <v>1.9450000000000001</v>
      </c>
      <c r="K49" s="868">
        <v>45927</v>
      </c>
      <c r="L49" s="868">
        <v>45930</v>
      </c>
      <c r="M49" s="869"/>
    </row>
    <row r="50" spans="7:13" ht="29">
      <c r="G50" s="867">
        <f>G49+1</f>
        <v>3</v>
      </c>
      <c r="H50" s="867" t="s">
        <v>2848</v>
      </c>
      <c r="I50" s="867" t="s">
        <v>2371</v>
      </c>
      <c r="J50" s="870">
        <v>5.5</v>
      </c>
      <c r="K50" s="949" t="s">
        <v>2866</v>
      </c>
      <c r="L50" s="868">
        <v>45962</v>
      </c>
      <c r="M50" s="869"/>
    </row>
    <row r="51" spans="7:13" ht="14.5">
      <c r="G51" s="867">
        <f>G50+1</f>
        <v>4</v>
      </c>
      <c r="H51" s="867" t="s">
        <v>3114</v>
      </c>
      <c r="I51" s="867" t="s">
        <v>2371</v>
      </c>
      <c r="J51" s="870">
        <v>5.4630000000000001</v>
      </c>
      <c r="K51" s="949">
        <v>45985</v>
      </c>
      <c r="L51" s="949">
        <v>45994</v>
      </c>
      <c r="M51" s="869"/>
    </row>
    <row r="52" spans="7:13" ht="14.5">
      <c r="G52" s="867">
        <f>G51+1</f>
        <v>5</v>
      </c>
      <c r="H52" s="867" t="s">
        <v>3136</v>
      </c>
      <c r="I52" s="867" t="s">
        <v>2371</v>
      </c>
      <c r="J52" s="870">
        <v>3.597</v>
      </c>
      <c r="K52" s="949">
        <v>45994</v>
      </c>
      <c r="L52" s="949">
        <v>45994</v>
      </c>
      <c r="M52" s="869"/>
    </row>
    <row r="53" spans="7:13" ht="14.5">
      <c r="G53" s="1499" t="s">
        <v>994</v>
      </c>
      <c r="H53" s="1499"/>
      <c r="I53" s="1499"/>
      <c r="J53" s="871">
        <f>SUM(J48:J52)</f>
        <v>19.635000000000002</v>
      </c>
      <c r="K53" s="865"/>
      <c r="L53" s="865"/>
      <c r="M53" s="872"/>
    </row>
    <row r="55" spans="7:13" ht="14.5">
      <c r="G55" s="1499" t="s">
        <v>2731</v>
      </c>
      <c r="H55" s="1499"/>
      <c r="I55" s="1499"/>
      <c r="J55" s="1499"/>
      <c r="K55" s="1499"/>
      <c r="L55" s="1499"/>
      <c r="M55" s="1499"/>
    </row>
    <row r="56" spans="7:13" ht="14.5">
      <c r="G56" s="1499" t="s">
        <v>1782</v>
      </c>
      <c r="H56" s="1499" t="s">
        <v>1433</v>
      </c>
      <c r="I56" s="1499" t="s">
        <v>1433</v>
      </c>
      <c r="J56" s="866" t="s">
        <v>1439</v>
      </c>
      <c r="K56" s="866" t="s">
        <v>2671</v>
      </c>
      <c r="L56" s="1500" t="s">
        <v>1004</v>
      </c>
      <c r="M56" s="1501" t="s">
        <v>19</v>
      </c>
    </row>
    <row r="57" spans="7:13" ht="14.5">
      <c r="G57" s="1499"/>
      <c r="H57" s="1499"/>
      <c r="I57" s="1499"/>
      <c r="J57" s="866" t="s">
        <v>615</v>
      </c>
      <c r="K57" s="866" t="s">
        <v>570</v>
      </c>
      <c r="L57" s="1500"/>
      <c r="M57" s="1501"/>
    </row>
    <row r="58" spans="7:13" ht="50" customHeight="1">
      <c r="G58" s="875">
        <v>1</v>
      </c>
      <c r="H58" s="875" t="s">
        <v>2732</v>
      </c>
      <c r="I58" s="875" t="s">
        <v>2699</v>
      </c>
      <c r="J58" s="876">
        <v>2.1800000000000002</v>
      </c>
      <c r="K58" s="879" t="s">
        <v>2733</v>
      </c>
      <c r="L58" s="877">
        <v>45930</v>
      </c>
      <c r="M58" s="878"/>
    </row>
    <row r="59" spans="7:13" ht="14.5">
      <c r="G59" s="1499" t="s">
        <v>994</v>
      </c>
      <c r="H59" s="1499"/>
      <c r="I59" s="1499"/>
      <c r="J59" s="871">
        <f>SUM(J58:J58)</f>
        <v>2.1800000000000002</v>
      </c>
      <c r="K59" s="865"/>
      <c r="L59" s="865"/>
      <c r="M59" s="87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543" t="s">
        <v>2684</v>
      </c>
      <c r="E2" s="1543"/>
      <c r="F2" s="1543"/>
      <c r="G2" s="1543"/>
      <c r="H2" s="1543"/>
      <c r="I2" s="1543"/>
    </row>
    <row r="3" spans="4:10">
      <c r="D3" s="9" t="s">
        <v>2401</v>
      </c>
      <c r="E3" s="9" t="s">
        <v>2704</v>
      </c>
      <c r="F3" s="9" t="s">
        <v>3116</v>
      </c>
      <c r="G3" s="9" t="s">
        <v>631</v>
      </c>
      <c r="H3" s="9" t="s">
        <v>2671</v>
      </c>
      <c r="I3" s="9" t="s">
        <v>629</v>
      </c>
    </row>
    <row r="4" spans="4:10">
      <c r="D4" s="13" t="s">
        <v>3115</v>
      </c>
      <c r="E4" s="13" t="s">
        <v>2371</v>
      </c>
      <c r="F4" s="13">
        <v>46.92</v>
      </c>
      <c r="G4" s="13">
        <v>46.44</v>
      </c>
      <c r="H4" s="13">
        <v>46.44</v>
      </c>
      <c r="I4" s="13">
        <v>46.44</v>
      </c>
    </row>
    <row r="5" spans="4:10">
      <c r="D5" s="13" t="s">
        <v>3115</v>
      </c>
      <c r="E5" s="13" t="s">
        <v>2376</v>
      </c>
      <c r="F5" s="13">
        <v>95.06</v>
      </c>
      <c r="G5" s="13">
        <v>95.06</v>
      </c>
      <c r="H5" s="13">
        <v>84.936000000000007</v>
      </c>
      <c r="I5" s="13">
        <v>72.849999999999994</v>
      </c>
    </row>
    <row r="6" spans="4:10">
      <c r="D6" s="13" t="s">
        <v>2874</v>
      </c>
      <c r="E6" s="13"/>
      <c r="F6" s="13">
        <v>33.103000000000002</v>
      </c>
      <c r="G6" s="13">
        <v>23.393000000000001</v>
      </c>
      <c r="H6" s="13">
        <v>16.04</v>
      </c>
      <c r="I6" s="13">
        <v>10.6</v>
      </c>
    </row>
    <row r="7" spans="4:10">
      <c r="D7" s="13" t="s">
        <v>2712</v>
      </c>
      <c r="E7" s="13"/>
      <c r="F7" s="13">
        <v>2.1800000000000002</v>
      </c>
      <c r="G7" s="13">
        <v>2.1800000000000002</v>
      </c>
      <c r="H7" s="13">
        <v>2.1800000000000002</v>
      </c>
      <c r="I7" s="13">
        <v>2.1800000000000002</v>
      </c>
    </row>
    <row r="8" spans="4:10">
      <c r="D8" s="1541" t="s">
        <v>994</v>
      </c>
      <c r="E8" s="1542"/>
      <c r="F8" s="9">
        <f>SUM(F4:F7)</f>
        <v>177.26300000000003</v>
      </c>
      <c r="G8" s="9">
        <f>SUM(G4:G7)</f>
        <v>167.07300000000001</v>
      </c>
      <c r="H8" s="9">
        <f>SUM(H4:H7)</f>
        <v>149.596</v>
      </c>
      <c r="I8" s="9">
        <f>SUM(I4:I7)</f>
        <v>132.07</v>
      </c>
    </row>
    <row r="10" spans="4:10">
      <c r="F10" s="671">
        <v>16.04</v>
      </c>
      <c r="G10" s="671"/>
      <c r="H10" s="671"/>
      <c r="I10" s="671"/>
      <c r="J10" s="671">
        <v>10.58</v>
      </c>
    </row>
    <row r="11" spans="4:10">
      <c r="F11" s="1008">
        <v>45.892000000000003</v>
      </c>
      <c r="G11" s="677"/>
      <c r="H11" s="677"/>
      <c r="I11" s="677"/>
      <c r="J11" s="677">
        <v>45.892000000000003</v>
      </c>
    </row>
    <row r="12" spans="4:10">
      <c r="F12" s="677">
        <v>46.06</v>
      </c>
      <c r="G12" s="677"/>
      <c r="H12" s="677"/>
      <c r="I12" s="677"/>
      <c r="J12" s="677">
        <v>46.06</v>
      </c>
    </row>
    <row r="13" spans="4:10">
      <c r="F13" s="1008">
        <v>20.673999999999999</v>
      </c>
      <c r="G13" s="677">
        <v>18.37</v>
      </c>
      <c r="H13" s="677"/>
      <c r="I13" s="677"/>
      <c r="J13" s="677">
        <v>20.673999999999999</v>
      </c>
    </row>
    <row r="14" spans="4:10">
      <c r="F14" s="1009">
        <v>12.08</v>
      </c>
      <c r="G14" s="677"/>
      <c r="H14" s="677"/>
      <c r="I14" s="677"/>
      <c r="J14" s="677"/>
    </row>
    <row r="15" spans="4:10">
      <c r="F15" s="675">
        <v>2.1800000000000002</v>
      </c>
      <c r="G15" s="677"/>
      <c r="H15" s="677"/>
      <c r="I15" s="677"/>
      <c r="J15" s="677"/>
    </row>
    <row r="16" spans="4:10">
      <c r="J16">
        <f>66.566+6.29</f>
        <v>72.856000000000009</v>
      </c>
    </row>
  </sheetData>
  <mergeCells count="2">
    <mergeCell ref="D8:E8"/>
    <mergeCell ref="D2:I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1772</v>
      </c>
      <c r="B2" s="651"/>
      <c r="H2" s="651" t="s">
        <v>2628</v>
      </c>
    </row>
    <row r="3" spans="1:10">
      <c r="A3" s="651" t="s">
        <v>1915</v>
      </c>
      <c r="B3" s="651"/>
      <c r="H3" s="651" t="s">
        <v>1915</v>
      </c>
    </row>
    <row r="4" spans="1:10" s="756" customFormat="1" ht="29">
      <c r="A4" s="10" t="s">
        <v>1782</v>
      </c>
      <c r="B4" s="10" t="s">
        <v>2704</v>
      </c>
      <c r="C4" s="10" t="s">
        <v>1433</v>
      </c>
      <c r="D4" s="755" t="s">
        <v>1869</v>
      </c>
      <c r="H4" s="10" t="s">
        <v>1782</v>
      </c>
      <c r="I4" s="10" t="s">
        <v>1433</v>
      </c>
      <c r="J4" s="755" t="s">
        <v>1869</v>
      </c>
    </row>
    <row r="5" spans="1:10" s="756" customFormat="1">
      <c r="A5" s="880">
        <v>1</v>
      </c>
      <c r="B5" s="880" t="s">
        <v>2371</v>
      </c>
      <c r="C5" s="880" t="s">
        <v>2741</v>
      </c>
      <c r="D5" s="882">
        <f>119.059/1000</f>
        <v>0.119059</v>
      </c>
      <c r="H5" s="880">
        <v>1</v>
      </c>
      <c r="I5" s="880" t="s">
        <v>2734</v>
      </c>
      <c r="J5" s="882">
        <v>1.9450000000000001</v>
      </c>
    </row>
    <row r="6" spans="1:10" s="756" customFormat="1">
      <c r="A6" s="880">
        <f t="shared" ref="A6:A21" si="0">A5+1</f>
        <v>2</v>
      </c>
      <c r="B6" s="880" t="s">
        <v>2371</v>
      </c>
      <c r="C6" s="880" t="s">
        <v>2742</v>
      </c>
      <c r="D6" s="882">
        <f>92.496/1000</f>
        <v>9.2495999999999995E-2</v>
      </c>
      <c r="H6" s="821">
        <v>2</v>
      </c>
      <c r="I6" s="841" t="s">
        <v>2629</v>
      </c>
      <c r="J6" s="840">
        <v>3.13</v>
      </c>
    </row>
    <row r="7" spans="1:10" s="756" customFormat="1">
      <c r="A7" s="880">
        <f t="shared" si="0"/>
        <v>3</v>
      </c>
      <c r="B7" s="880" t="s">
        <v>2371</v>
      </c>
      <c r="C7" s="880" t="s">
        <v>2743</v>
      </c>
      <c r="D7" s="882">
        <f>134.988/1000</f>
        <v>0.134988</v>
      </c>
      <c r="H7" s="821">
        <v>3</v>
      </c>
      <c r="I7" s="950" t="s">
        <v>2848</v>
      </c>
      <c r="J7" s="951">
        <v>5.5</v>
      </c>
    </row>
    <row r="8" spans="1:10" s="756" customFormat="1">
      <c r="A8" s="880">
        <f t="shared" si="0"/>
        <v>4</v>
      </c>
      <c r="B8" s="880" t="s">
        <v>2371</v>
      </c>
      <c r="C8" s="880" t="s">
        <v>2744</v>
      </c>
      <c r="D8" s="882">
        <f>365.176/1000</f>
        <v>0.365176</v>
      </c>
      <c r="H8" s="1411" t="s">
        <v>994</v>
      </c>
      <c r="I8" s="1411"/>
      <c r="J8" s="883">
        <f>SUM(J5:J7)</f>
        <v>10.574999999999999</v>
      </c>
    </row>
    <row r="9" spans="1:10" s="756" customFormat="1">
      <c r="A9" s="880">
        <f t="shared" si="0"/>
        <v>5</v>
      </c>
      <c r="B9" s="880" t="s">
        <v>2371</v>
      </c>
      <c r="C9" s="880" t="s">
        <v>2745</v>
      </c>
      <c r="D9" s="882">
        <f>236.697/1000</f>
        <v>0.23669699999999999</v>
      </c>
    </row>
    <row r="10" spans="1:10" s="756" customFormat="1">
      <c r="A10" s="880">
        <f t="shared" si="0"/>
        <v>6</v>
      </c>
      <c r="B10" s="880" t="s">
        <v>2371</v>
      </c>
      <c r="C10" s="880" t="s">
        <v>2746</v>
      </c>
      <c r="D10" s="882">
        <f>213.152/1000</f>
        <v>0.21315199999999998</v>
      </c>
      <c r="H10" s="651" t="s">
        <v>2701</v>
      </c>
    </row>
    <row r="11" spans="1:10" s="756" customFormat="1">
      <c r="A11" s="880">
        <f t="shared" si="0"/>
        <v>7</v>
      </c>
      <c r="B11" s="880" t="s">
        <v>2371</v>
      </c>
      <c r="C11" s="880" t="s">
        <v>2747</v>
      </c>
      <c r="D11" s="882">
        <f>206.593/1000</f>
        <v>0.206593</v>
      </c>
      <c r="H11" s="651" t="s">
        <v>1915</v>
      </c>
    </row>
    <row r="12" spans="1:10" s="756" customFormat="1" ht="29">
      <c r="A12" s="880">
        <f t="shared" si="0"/>
        <v>8</v>
      </c>
      <c r="B12" s="880" t="s">
        <v>2371</v>
      </c>
      <c r="C12" s="880" t="s">
        <v>2748</v>
      </c>
      <c r="D12" s="882">
        <f>289.862/1000</f>
        <v>0.28986200000000001</v>
      </c>
      <c r="H12" s="10" t="s">
        <v>1782</v>
      </c>
      <c r="I12" s="10" t="s">
        <v>1433</v>
      </c>
      <c r="J12" s="755" t="s">
        <v>1869</v>
      </c>
    </row>
    <row r="13" spans="1:10" s="756" customFormat="1">
      <c r="A13" s="880">
        <f t="shared" si="0"/>
        <v>9</v>
      </c>
      <c r="B13" s="880" t="s">
        <v>2371</v>
      </c>
      <c r="C13" s="880" t="s">
        <v>2749</v>
      </c>
      <c r="D13" s="882">
        <f>402.938/1000</f>
        <v>0.40293799999999996</v>
      </c>
      <c r="H13" s="880">
        <v>1</v>
      </c>
      <c r="I13" s="880" t="s">
        <v>2751</v>
      </c>
      <c r="J13" s="882">
        <v>2.1800000000000002</v>
      </c>
    </row>
    <row r="14" spans="1:10" s="756" customFormat="1">
      <c r="A14" s="880">
        <f t="shared" si="0"/>
        <v>10</v>
      </c>
      <c r="B14" s="880" t="s">
        <v>2371</v>
      </c>
      <c r="C14" s="880" t="s">
        <v>2750</v>
      </c>
      <c r="D14" s="882">
        <f>284.883/1000</f>
        <v>0.284883</v>
      </c>
    </row>
    <row r="15" spans="1:10" s="756" customFormat="1">
      <c r="A15" s="880">
        <f t="shared" si="0"/>
        <v>11</v>
      </c>
      <c r="B15" s="880" t="s">
        <v>2371</v>
      </c>
      <c r="C15" s="821" t="s">
        <v>2597</v>
      </c>
      <c r="D15" s="840">
        <f>1673.439/1000</f>
        <v>1.6734390000000001</v>
      </c>
    </row>
    <row r="16" spans="1:10" s="756" customFormat="1">
      <c r="A16" s="821">
        <f t="shared" si="0"/>
        <v>12</v>
      </c>
      <c r="B16" s="880" t="s">
        <v>2371</v>
      </c>
      <c r="C16" s="821" t="s">
        <v>2598</v>
      </c>
      <c r="D16" s="840">
        <f>285.948/1000</f>
        <v>0.28594799999999998</v>
      </c>
    </row>
    <row r="17" spans="1:4" s="756" customFormat="1">
      <c r="A17" s="821">
        <f t="shared" si="0"/>
        <v>13</v>
      </c>
      <c r="B17" s="880" t="s">
        <v>2371</v>
      </c>
      <c r="C17" s="821" t="s">
        <v>2599</v>
      </c>
      <c r="D17" s="840">
        <f>401.159/1000</f>
        <v>0.40115899999999999</v>
      </c>
    </row>
    <row r="18" spans="1:4" s="756" customFormat="1">
      <c r="A18" s="821">
        <f t="shared" si="0"/>
        <v>14</v>
      </c>
      <c r="B18" s="880" t="s">
        <v>2371</v>
      </c>
      <c r="C18" s="821" t="s">
        <v>2600</v>
      </c>
      <c r="D18" s="840">
        <f>1055.218/1000</f>
        <v>1.055218</v>
      </c>
    </row>
    <row r="19" spans="1:4" s="756" customFormat="1">
      <c r="A19" s="821">
        <f t="shared" si="0"/>
        <v>15</v>
      </c>
      <c r="B19" s="880" t="s">
        <v>2371</v>
      </c>
      <c r="C19" s="821" t="s">
        <v>2601</v>
      </c>
      <c r="D19" s="840">
        <f>1088.747/1000</f>
        <v>1.0887470000000001</v>
      </c>
    </row>
    <row r="20" spans="1:4">
      <c r="A20" s="821">
        <f t="shared" si="0"/>
        <v>16</v>
      </c>
      <c r="B20" s="880" t="s">
        <v>2371</v>
      </c>
      <c r="C20" s="33" t="s">
        <v>1870</v>
      </c>
      <c r="D20" s="754">
        <f>485.93/1000</f>
        <v>0.48593000000000003</v>
      </c>
    </row>
    <row r="21" spans="1:4">
      <c r="A21" s="33">
        <f t="shared" si="0"/>
        <v>17</v>
      </c>
      <c r="B21" s="880" t="s">
        <v>2371</v>
      </c>
      <c r="C21" s="33" t="s">
        <v>1871</v>
      </c>
      <c r="D21" s="754">
        <f>712.337/1000</f>
        <v>0.712337</v>
      </c>
    </row>
    <row r="22" spans="1:4">
      <c r="A22" s="33">
        <f t="shared" ref="A22:A41" si="1">A21+1</f>
        <v>18</v>
      </c>
      <c r="B22" s="880" t="s">
        <v>2371</v>
      </c>
      <c r="C22" s="33" t="s">
        <v>1872</v>
      </c>
      <c r="D22" s="754">
        <f>1177.079/1000</f>
        <v>1.177079</v>
      </c>
    </row>
    <row r="23" spans="1:4">
      <c r="A23" s="33">
        <f t="shared" si="1"/>
        <v>19</v>
      </c>
      <c r="B23" s="880" t="s">
        <v>2371</v>
      </c>
      <c r="C23" s="33" t="s">
        <v>1873</v>
      </c>
      <c r="D23" s="754">
        <f>2454.951/1000</f>
        <v>2.4549509999999999</v>
      </c>
    </row>
    <row r="24" spans="1:4">
      <c r="A24" s="33">
        <f t="shared" si="1"/>
        <v>20</v>
      </c>
      <c r="B24" s="880" t="s">
        <v>2371</v>
      </c>
      <c r="C24" s="33" t="s">
        <v>1874</v>
      </c>
      <c r="D24" s="754">
        <f>366.044/1000</f>
        <v>0.36604399999999998</v>
      </c>
    </row>
    <row r="25" spans="1:4">
      <c r="A25" s="33">
        <f t="shared" si="1"/>
        <v>21</v>
      </c>
      <c r="B25" s="880" t="s">
        <v>2371</v>
      </c>
      <c r="C25" s="33" t="s">
        <v>1875</v>
      </c>
      <c r="D25" s="754">
        <f>1028.029/1000</f>
        <v>1.0280290000000001</v>
      </c>
    </row>
    <row r="26" spans="1:4">
      <c r="A26" s="33">
        <f t="shared" si="1"/>
        <v>22</v>
      </c>
      <c r="B26" s="880" t="s">
        <v>2371</v>
      </c>
      <c r="C26" s="33" t="s">
        <v>1876</v>
      </c>
      <c r="D26" s="754">
        <f>442.371/1000</f>
        <v>0.44237099999999996</v>
      </c>
    </row>
    <row r="27" spans="1:4">
      <c r="A27" s="33">
        <f t="shared" si="1"/>
        <v>23</v>
      </c>
      <c r="B27" s="880" t="s">
        <v>2371</v>
      </c>
      <c r="C27" s="33" t="s">
        <v>1877</v>
      </c>
      <c r="D27" s="754">
        <f>739.739/1000</f>
        <v>0.73973900000000004</v>
      </c>
    </row>
    <row r="28" spans="1:4">
      <c r="A28" s="33">
        <f t="shared" si="1"/>
        <v>24</v>
      </c>
      <c r="B28" s="880" t="s">
        <v>2371</v>
      </c>
      <c r="C28" s="33" t="s">
        <v>1878</v>
      </c>
      <c r="D28" s="754">
        <f>445.991/1000</f>
        <v>0.44599099999999997</v>
      </c>
    </row>
    <row r="29" spans="1:4">
      <c r="A29" s="33">
        <f t="shared" si="1"/>
        <v>25</v>
      </c>
      <c r="B29" s="880" t="s">
        <v>2371</v>
      </c>
      <c r="C29" s="33" t="s">
        <v>1879</v>
      </c>
      <c r="D29" s="754">
        <f>2573.629/1000</f>
        <v>2.5736289999999999</v>
      </c>
    </row>
    <row r="30" spans="1:4">
      <c r="A30" s="33">
        <f t="shared" si="1"/>
        <v>26</v>
      </c>
      <c r="B30" s="880" t="s">
        <v>2371</v>
      </c>
      <c r="C30" s="33" t="s">
        <v>1880</v>
      </c>
      <c r="D30" s="754">
        <f>2514.73/1000</f>
        <v>2.5147300000000001</v>
      </c>
    </row>
    <row r="31" spans="1:4" ht="14.5" customHeight="1">
      <c r="A31" s="33">
        <f t="shared" si="1"/>
        <v>27</v>
      </c>
      <c r="B31" s="880" t="s">
        <v>2371</v>
      </c>
      <c r="C31" s="33" t="s">
        <v>1881</v>
      </c>
      <c r="D31" s="754">
        <f>2374.48/1000</f>
        <v>2.3744800000000001</v>
      </c>
    </row>
    <row r="32" spans="1:4">
      <c r="A32" s="33">
        <f t="shared" si="1"/>
        <v>28</v>
      </c>
      <c r="B32" s="880" t="s">
        <v>2371</v>
      </c>
      <c r="C32" s="33" t="s">
        <v>1882</v>
      </c>
      <c r="D32" s="754">
        <f>836.984/1000</f>
        <v>0.83698400000000006</v>
      </c>
    </row>
    <row r="33" spans="1:4">
      <c r="A33" s="33">
        <f t="shared" si="1"/>
        <v>29</v>
      </c>
      <c r="B33" s="880" t="s">
        <v>2371</v>
      </c>
      <c r="C33" s="33" t="s">
        <v>1883</v>
      </c>
      <c r="D33" s="754">
        <f>967.8/1000</f>
        <v>0.96779999999999999</v>
      </c>
    </row>
    <row r="34" spans="1:4">
      <c r="A34" s="33">
        <f t="shared" si="1"/>
        <v>30</v>
      </c>
      <c r="B34" s="880" t="s">
        <v>2371</v>
      </c>
      <c r="C34" s="33" t="s">
        <v>1884</v>
      </c>
      <c r="D34" s="754">
        <f>819.907/1000</f>
        <v>0.81990700000000005</v>
      </c>
    </row>
    <row r="35" spans="1:4">
      <c r="A35" s="33">
        <f t="shared" si="1"/>
        <v>31</v>
      </c>
      <c r="B35" s="880" t="s">
        <v>2371</v>
      </c>
      <c r="C35" s="33" t="s">
        <v>1885</v>
      </c>
      <c r="D35" s="754">
        <f>820.234/1000</f>
        <v>0.82023400000000002</v>
      </c>
    </row>
    <row r="36" spans="1:4">
      <c r="A36" s="33">
        <f t="shared" si="1"/>
        <v>32</v>
      </c>
      <c r="B36" s="880" t="s">
        <v>2371</v>
      </c>
      <c r="C36" s="33" t="s">
        <v>1886</v>
      </c>
      <c r="D36" s="754">
        <f>439.8/1000</f>
        <v>0.43980000000000002</v>
      </c>
    </row>
    <row r="37" spans="1:4">
      <c r="A37" s="33">
        <f t="shared" si="1"/>
        <v>33</v>
      </c>
      <c r="B37" s="880" t="s">
        <v>2371</v>
      </c>
      <c r="C37" s="33" t="s">
        <v>1887</v>
      </c>
      <c r="D37" s="754">
        <f>1203.4/1000</f>
        <v>1.2034</v>
      </c>
    </row>
    <row r="38" spans="1:4">
      <c r="A38" s="33">
        <f t="shared" si="1"/>
        <v>34</v>
      </c>
      <c r="B38" s="880" t="s">
        <v>2371</v>
      </c>
      <c r="C38" s="33" t="s">
        <v>1888</v>
      </c>
      <c r="D38" s="754">
        <f>775.272/1000</f>
        <v>0.77527200000000007</v>
      </c>
    </row>
    <row r="39" spans="1:4">
      <c r="A39" s="33">
        <f t="shared" si="1"/>
        <v>35</v>
      </c>
      <c r="B39" s="880" t="s">
        <v>2371</v>
      </c>
      <c r="C39" s="33" t="s">
        <v>1889</v>
      </c>
      <c r="D39" s="754">
        <f>1209.893/1000</f>
        <v>1.2098930000000001</v>
      </c>
    </row>
    <row r="40" spans="1:4">
      <c r="A40" s="33">
        <f t="shared" si="1"/>
        <v>36</v>
      </c>
      <c r="B40" s="880" t="s">
        <v>2371</v>
      </c>
      <c r="C40" s="33" t="s">
        <v>1890</v>
      </c>
      <c r="D40" s="754">
        <f>1760.473/1000</f>
        <v>1.760473</v>
      </c>
    </row>
    <row r="41" spans="1:4">
      <c r="A41" s="33">
        <f t="shared" si="1"/>
        <v>37</v>
      </c>
      <c r="B41" s="880" t="s">
        <v>2371</v>
      </c>
      <c r="C41" s="33" t="s">
        <v>1891</v>
      </c>
      <c r="D41" s="885">
        <f>212.44/1000</f>
        <v>0.21243999999999999</v>
      </c>
    </row>
    <row r="42" spans="1:4">
      <c r="A42" s="33">
        <f t="shared" ref="A42:A105" si="2">A41+1</f>
        <v>38</v>
      </c>
      <c r="B42" s="880" t="s">
        <v>2371</v>
      </c>
      <c r="C42" s="33" t="s">
        <v>1892</v>
      </c>
      <c r="D42" s="885">
        <f>1361.04/1000</f>
        <v>1.36104</v>
      </c>
    </row>
    <row r="43" spans="1:4">
      <c r="A43" s="33">
        <f t="shared" si="2"/>
        <v>39</v>
      </c>
      <c r="B43" s="880" t="s">
        <v>2371</v>
      </c>
      <c r="C43" s="33" t="s">
        <v>1893</v>
      </c>
      <c r="D43" s="885">
        <f>1911.9/1000</f>
        <v>1.9119000000000002</v>
      </c>
    </row>
    <row r="44" spans="1:4">
      <c r="A44" s="33">
        <f t="shared" si="2"/>
        <v>40</v>
      </c>
      <c r="B44" s="880" t="s">
        <v>2371</v>
      </c>
      <c r="C44" s="33" t="s">
        <v>1894</v>
      </c>
      <c r="D44" s="885">
        <f>1474.69/1000</f>
        <v>1.4746900000000001</v>
      </c>
    </row>
    <row r="45" spans="1:4">
      <c r="A45" s="33">
        <f t="shared" si="2"/>
        <v>41</v>
      </c>
      <c r="B45" s="880" t="s">
        <v>2371</v>
      </c>
      <c r="C45" s="33" t="s">
        <v>1895</v>
      </c>
      <c r="D45" s="885">
        <f>1079.5/1000</f>
        <v>1.0794999999999999</v>
      </c>
    </row>
    <row r="46" spans="1:4">
      <c r="A46" s="33">
        <f t="shared" si="2"/>
        <v>42</v>
      </c>
      <c r="B46" s="880" t="s">
        <v>2371</v>
      </c>
      <c r="C46" s="33" t="s">
        <v>1896</v>
      </c>
      <c r="D46" s="885">
        <f>2216.45/1000</f>
        <v>2.21645</v>
      </c>
    </row>
    <row r="47" spans="1:4">
      <c r="A47" s="33">
        <f t="shared" si="2"/>
        <v>43</v>
      </c>
      <c r="B47" s="880" t="s">
        <v>2371</v>
      </c>
      <c r="C47" s="33" t="s">
        <v>1897</v>
      </c>
      <c r="D47" s="885">
        <f>1360.36/1000</f>
        <v>1.3603599999999998</v>
      </c>
    </row>
    <row r="48" spans="1:4">
      <c r="A48" s="33">
        <f t="shared" si="2"/>
        <v>44</v>
      </c>
      <c r="B48" s="880" t="s">
        <v>2371</v>
      </c>
      <c r="C48" s="33" t="s">
        <v>1898</v>
      </c>
      <c r="D48" s="885">
        <f>371.5/1000</f>
        <v>0.3715</v>
      </c>
    </row>
    <row r="49" spans="1:4">
      <c r="A49" s="33">
        <f t="shared" si="2"/>
        <v>45</v>
      </c>
      <c r="B49" s="880" t="s">
        <v>2371</v>
      </c>
      <c r="C49" s="33" t="s">
        <v>1899</v>
      </c>
      <c r="D49" s="885">
        <f>203.3/1000</f>
        <v>0.20330000000000001</v>
      </c>
    </row>
    <row r="50" spans="1:4">
      <c r="A50" s="33">
        <f t="shared" si="2"/>
        <v>46</v>
      </c>
      <c r="B50" s="880" t="s">
        <v>2371</v>
      </c>
      <c r="C50" s="33" t="s">
        <v>1900</v>
      </c>
      <c r="D50" s="885">
        <f>409.91/1000</f>
        <v>0.40991000000000005</v>
      </c>
    </row>
    <row r="51" spans="1:4">
      <c r="A51" s="33">
        <f t="shared" si="2"/>
        <v>47</v>
      </c>
      <c r="B51" s="880" t="s">
        <v>2371</v>
      </c>
      <c r="C51" s="33" t="s">
        <v>1901</v>
      </c>
      <c r="D51" s="885">
        <f>4450.9/1000</f>
        <v>4.4508999999999999</v>
      </c>
    </row>
    <row r="52" spans="1:4">
      <c r="A52" s="33">
        <f t="shared" si="2"/>
        <v>48</v>
      </c>
      <c r="B52" s="880" t="s">
        <v>2376</v>
      </c>
      <c r="C52" s="33" t="s">
        <v>1902</v>
      </c>
      <c r="D52" s="885">
        <f>416.66/1000</f>
        <v>0.41666000000000003</v>
      </c>
    </row>
    <row r="53" spans="1:4">
      <c r="A53" s="33">
        <f t="shared" si="2"/>
        <v>49</v>
      </c>
      <c r="B53" s="880" t="s">
        <v>2376</v>
      </c>
      <c r="C53" s="33" t="s">
        <v>1903</v>
      </c>
      <c r="D53" s="885">
        <f>389.29/1000</f>
        <v>0.38929000000000002</v>
      </c>
    </row>
    <row r="54" spans="1:4">
      <c r="A54" s="33">
        <f t="shared" si="2"/>
        <v>50</v>
      </c>
      <c r="B54" s="880" t="s">
        <v>2376</v>
      </c>
      <c r="C54" s="33" t="s">
        <v>1904</v>
      </c>
      <c r="D54" s="885">
        <f>793.45/1000</f>
        <v>0.7934500000000001</v>
      </c>
    </row>
    <row r="55" spans="1:4">
      <c r="A55" s="33">
        <f t="shared" si="2"/>
        <v>51</v>
      </c>
      <c r="B55" s="880" t="s">
        <v>2376</v>
      </c>
      <c r="C55" s="33" t="s">
        <v>1905</v>
      </c>
      <c r="D55" s="885">
        <f>1906.1/1000</f>
        <v>1.9060999999999999</v>
      </c>
    </row>
    <row r="56" spans="1:4">
      <c r="A56" s="33">
        <f t="shared" si="2"/>
        <v>52</v>
      </c>
      <c r="B56" s="880" t="s">
        <v>2376</v>
      </c>
      <c r="C56" s="33" t="s">
        <v>1906</v>
      </c>
      <c r="D56" s="885">
        <f>982.37/1000</f>
        <v>0.98236999999999997</v>
      </c>
    </row>
    <row r="57" spans="1:4">
      <c r="A57" s="33">
        <f t="shared" si="2"/>
        <v>53</v>
      </c>
      <c r="B57" s="880" t="s">
        <v>2376</v>
      </c>
      <c r="C57" s="33" t="s">
        <v>1907</v>
      </c>
      <c r="D57" s="885">
        <f>406.44/1000</f>
        <v>0.40644000000000002</v>
      </c>
    </row>
    <row r="58" spans="1:4">
      <c r="A58" s="33">
        <f t="shared" si="2"/>
        <v>54</v>
      </c>
      <c r="B58" s="880" t="s">
        <v>2376</v>
      </c>
      <c r="C58" s="33" t="s">
        <v>1908</v>
      </c>
      <c r="D58" s="885">
        <f>788.04/1000</f>
        <v>0.78803999999999996</v>
      </c>
    </row>
    <row r="59" spans="1:4">
      <c r="A59" s="33">
        <f t="shared" si="2"/>
        <v>55</v>
      </c>
      <c r="B59" s="880" t="s">
        <v>2376</v>
      </c>
      <c r="C59" s="33" t="s">
        <v>1909</v>
      </c>
      <c r="D59" s="885">
        <f>757.58/1000</f>
        <v>0.75758000000000003</v>
      </c>
    </row>
    <row r="60" spans="1:4">
      <c r="A60" s="33">
        <f t="shared" si="2"/>
        <v>56</v>
      </c>
      <c r="B60" s="880" t="s">
        <v>2376</v>
      </c>
      <c r="C60" s="33" t="s">
        <v>1910</v>
      </c>
      <c r="D60" s="885">
        <f>563.92/1000</f>
        <v>0.56391999999999998</v>
      </c>
    </row>
    <row r="61" spans="1:4">
      <c r="A61" s="33">
        <f t="shared" si="2"/>
        <v>57</v>
      </c>
      <c r="B61" s="880" t="s">
        <v>2376</v>
      </c>
      <c r="C61" s="33" t="s">
        <v>1911</v>
      </c>
      <c r="D61" s="885">
        <f>1081.23/1000</f>
        <v>1.0812299999999999</v>
      </c>
    </row>
    <row r="62" spans="1:4">
      <c r="A62" s="33">
        <f t="shared" si="2"/>
        <v>58</v>
      </c>
      <c r="B62" s="880" t="s">
        <v>2376</v>
      </c>
      <c r="C62" s="33" t="s">
        <v>1912</v>
      </c>
      <c r="D62" s="885">
        <f>450.86/1000</f>
        <v>0.45086000000000004</v>
      </c>
    </row>
    <row r="63" spans="1:4">
      <c r="A63" s="33">
        <f t="shared" si="2"/>
        <v>59</v>
      </c>
      <c r="B63" s="880" t="s">
        <v>2376</v>
      </c>
      <c r="C63" s="33" t="s">
        <v>1913</v>
      </c>
      <c r="D63" s="885">
        <f>602.84/1000</f>
        <v>0.60284000000000004</v>
      </c>
    </row>
    <row r="64" spans="1:4">
      <c r="A64" s="33">
        <f t="shared" si="2"/>
        <v>60</v>
      </c>
      <c r="B64" s="880" t="s">
        <v>2376</v>
      </c>
      <c r="C64" s="33" t="s">
        <v>1914</v>
      </c>
      <c r="D64" s="885">
        <f>2228.49/1000</f>
        <v>2.2284899999999999</v>
      </c>
    </row>
    <row r="65" spans="1:4">
      <c r="A65" s="33">
        <f t="shared" si="2"/>
        <v>61</v>
      </c>
      <c r="B65" s="880" t="s">
        <v>2376</v>
      </c>
      <c r="C65" s="788" t="s">
        <v>2340</v>
      </c>
      <c r="D65" s="885">
        <f>1598.955/1000</f>
        <v>1.5989549999999999</v>
      </c>
    </row>
    <row r="66" spans="1:4">
      <c r="A66" s="33">
        <f t="shared" si="2"/>
        <v>62</v>
      </c>
      <c r="B66" s="880" t="s">
        <v>2376</v>
      </c>
      <c r="C66" s="788" t="s">
        <v>2341</v>
      </c>
      <c r="D66" s="885">
        <f>1666.222/1000</f>
        <v>1.6662219999999999</v>
      </c>
    </row>
    <row r="67" spans="1:4">
      <c r="A67" s="33">
        <f t="shared" si="2"/>
        <v>63</v>
      </c>
      <c r="B67" s="880" t="s">
        <v>2376</v>
      </c>
      <c r="C67" s="788" t="s">
        <v>2342</v>
      </c>
      <c r="D67" s="885">
        <f>809.571/1000</f>
        <v>0.80957100000000004</v>
      </c>
    </row>
    <row r="68" spans="1:4">
      <c r="A68" s="33">
        <f t="shared" si="2"/>
        <v>64</v>
      </c>
      <c r="B68" s="880" t="s">
        <v>2376</v>
      </c>
      <c r="C68" s="788" t="s">
        <v>2343</v>
      </c>
      <c r="D68" s="885">
        <f>406.688/1000</f>
        <v>0.40668799999999999</v>
      </c>
    </row>
    <row r="69" spans="1:4">
      <c r="A69" s="33">
        <f t="shared" si="2"/>
        <v>65</v>
      </c>
      <c r="B69" s="880" t="s">
        <v>2376</v>
      </c>
      <c r="C69" s="788" t="s">
        <v>2344</v>
      </c>
      <c r="D69" s="885">
        <f>316.253/1000</f>
        <v>0.31625300000000001</v>
      </c>
    </row>
    <row r="70" spans="1:4">
      <c r="A70" s="33">
        <f t="shared" si="2"/>
        <v>66</v>
      </c>
      <c r="B70" s="880" t="s">
        <v>2376</v>
      </c>
      <c r="C70" s="788" t="s">
        <v>2345</v>
      </c>
      <c r="D70" s="885">
        <f>248.423/1000</f>
        <v>0.248423</v>
      </c>
    </row>
    <row r="71" spans="1:4">
      <c r="A71" s="33">
        <f t="shared" si="2"/>
        <v>67</v>
      </c>
      <c r="B71" s="880" t="s">
        <v>2376</v>
      </c>
      <c r="C71" s="788" t="s">
        <v>2346</v>
      </c>
      <c r="D71" s="885">
        <f>1681.454/1000</f>
        <v>1.681454</v>
      </c>
    </row>
    <row r="72" spans="1:4">
      <c r="A72" s="33">
        <f t="shared" si="2"/>
        <v>68</v>
      </c>
      <c r="B72" s="880" t="s">
        <v>2376</v>
      </c>
      <c r="C72" s="788" t="s">
        <v>2347</v>
      </c>
      <c r="D72" s="885">
        <f>1630.396/1000</f>
        <v>1.630396</v>
      </c>
    </row>
    <row r="73" spans="1:4">
      <c r="A73" s="33">
        <f t="shared" si="2"/>
        <v>69</v>
      </c>
      <c r="B73" s="880" t="s">
        <v>2376</v>
      </c>
      <c r="C73" s="788" t="s">
        <v>2348</v>
      </c>
      <c r="D73" s="885">
        <f>320.743/1000</f>
        <v>0.320743</v>
      </c>
    </row>
    <row r="74" spans="1:4">
      <c r="A74" s="33">
        <f t="shared" si="2"/>
        <v>70</v>
      </c>
      <c r="B74" s="880" t="s">
        <v>2376</v>
      </c>
      <c r="C74" s="788" t="s">
        <v>2349</v>
      </c>
      <c r="D74" s="885">
        <f>242.225/1000</f>
        <v>0.242225</v>
      </c>
    </row>
    <row r="75" spans="1:4">
      <c r="A75" s="33">
        <f t="shared" si="2"/>
        <v>71</v>
      </c>
      <c r="B75" s="880" t="s">
        <v>2376</v>
      </c>
      <c r="C75" s="788" t="s">
        <v>2350</v>
      </c>
      <c r="D75" s="885">
        <f>839.249/1000</f>
        <v>0.83924900000000002</v>
      </c>
    </row>
    <row r="76" spans="1:4">
      <c r="A76" s="33">
        <f t="shared" si="2"/>
        <v>72</v>
      </c>
      <c r="B76" s="880" t="s">
        <v>2376</v>
      </c>
      <c r="C76" s="788" t="s">
        <v>2351</v>
      </c>
      <c r="D76" s="885">
        <f>242.663/1000</f>
        <v>0.24266300000000002</v>
      </c>
    </row>
    <row r="77" spans="1:4">
      <c r="A77" s="33">
        <f t="shared" si="2"/>
        <v>73</v>
      </c>
      <c r="B77" s="880" t="s">
        <v>2376</v>
      </c>
      <c r="C77" s="788" t="s">
        <v>2352</v>
      </c>
      <c r="D77" s="885">
        <f>1149.152/1000</f>
        <v>1.149152</v>
      </c>
    </row>
    <row r="78" spans="1:4">
      <c r="A78" s="33">
        <f t="shared" si="2"/>
        <v>74</v>
      </c>
      <c r="B78" s="880" t="s">
        <v>2376</v>
      </c>
      <c r="C78" s="788" t="s">
        <v>2353</v>
      </c>
      <c r="D78" s="885">
        <f>251.516/1000</f>
        <v>0.25151600000000002</v>
      </c>
    </row>
    <row r="79" spans="1:4">
      <c r="A79" s="33">
        <f t="shared" si="2"/>
        <v>75</v>
      </c>
      <c r="B79" s="880" t="s">
        <v>2376</v>
      </c>
      <c r="C79" s="788" t="s">
        <v>2354</v>
      </c>
      <c r="D79" s="885">
        <f>445.126/1000</f>
        <v>0.44512599999999997</v>
      </c>
    </row>
    <row r="80" spans="1:4">
      <c r="A80" s="33">
        <f t="shared" si="2"/>
        <v>76</v>
      </c>
      <c r="B80" s="880" t="s">
        <v>2376</v>
      </c>
      <c r="C80" s="788" t="s">
        <v>2355</v>
      </c>
      <c r="D80" s="885">
        <f>838.553/1000</f>
        <v>0.83855299999999999</v>
      </c>
    </row>
    <row r="81" spans="1:4">
      <c r="A81" s="33">
        <f t="shared" si="2"/>
        <v>77</v>
      </c>
      <c r="B81" s="880" t="s">
        <v>2376</v>
      </c>
      <c r="C81" s="788" t="s">
        <v>2356</v>
      </c>
      <c r="D81" s="885">
        <f>836.764/1000</f>
        <v>0.83676400000000006</v>
      </c>
    </row>
    <row r="82" spans="1:4">
      <c r="A82" s="33">
        <f t="shared" si="2"/>
        <v>78</v>
      </c>
      <c r="B82" s="880" t="s">
        <v>2376</v>
      </c>
      <c r="C82" s="788" t="s">
        <v>2357</v>
      </c>
      <c r="D82" s="885">
        <f>1185.42/1000</f>
        <v>1.1854200000000001</v>
      </c>
    </row>
    <row r="83" spans="1:4">
      <c r="A83" s="33">
        <f t="shared" si="2"/>
        <v>79</v>
      </c>
      <c r="B83" s="880" t="s">
        <v>2376</v>
      </c>
      <c r="C83" s="788" t="s">
        <v>2358</v>
      </c>
      <c r="D83" s="885">
        <f>211.063/1000</f>
        <v>0.211063</v>
      </c>
    </row>
    <row r="84" spans="1:4">
      <c r="A84" s="33">
        <f t="shared" si="2"/>
        <v>80</v>
      </c>
      <c r="B84" s="880" t="s">
        <v>2376</v>
      </c>
      <c r="C84" s="788" t="s">
        <v>2359</v>
      </c>
      <c r="D84" s="885">
        <f>618.229/1000</f>
        <v>0.61822900000000003</v>
      </c>
    </row>
    <row r="85" spans="1:4">
      <c r="A85" s="33">
        <f t="shared" si="2"/>
        <v>81</v>
      </c>
      <c r="B85" s="880" t="s">
        <v>2376</v>
      </c>
      <c r="C85" s="788" t="s">
        <v>2360</v>
      </c>
      <c r="D85" s="885">
        <f>1181.01/1000</f>
        <v>1.1810099999999999</v>
      </c>
    </row>
    <row r="86" spans="1:4">
      <c r="A86" s="33">
        <f t="shared" si="2"/>
        <v>82</v>
      </c>
      <c r="B86" s="880" t="s">
        <v>2376</v>
      </c>
      <c r="C86" s="788" t="s">
        <v>2361</v>
      </c>
      <c r="D86" s="885">
        <f>247.685/1000</f>
        <v>0.24768499999999999</v>
      </c>
    </row>
    <row r="87" spans="1:4">
      <c r="A87" s="33">
        <f t="shared" si="2"/>
        <v>83</v>
      </c>
      <c r="B87" s="880" t="s">
        <v>2376</v>
      </c>
      <c r="C87" s="788" t="s">
        <v>2362</v>
      </c>
      <c r="D87" s="885">
        <f>1455.156/1000</f>
        <v>1.4551559999999999</v>
      </c>
    </row>
    <row r="88" spans="1:4">
      <c r="A88" s="33">
        <f t="shared" si="2"/>
        <v>84</v>
      </c>
      <c r="B88" s="880" t="s">
        <v>2376</v>
      </c>
      <c r="C88" s="788" t="s">
        <v>2363</v>
      </c>
      <c r="D88" s="885">
        <f>889.075/1000</f>
        <v>0.88907500000000006</v>
      </c>
    </row>
    <row r="89" spans="1:4">
      <c r="A89" s="33">
        <f t="shared" si="2"/>
        <v>85</v>
      </c>
      <c r="B89" s="880" t="s">
        <v>2376</v>
      </c>
      <c r="C89" s="788" t="s">
        <v>2364</v>
      </c>
      <c r="D89" s="885">
        <f>411.542/1000</f>
        <v>0.41154199999999996</v>
      </c>
    </row>
    <row r="90" spans="1:4">
      <c r="A90" s="33">
        <f t="shared" si="2"/>
        <v>86</v>
      </c>
      <c r="B90" s="880" t="s">
        <v>2376</v>
      </c>
      <c r="C90" s="788" t="s">
        <v>2365</v>
      </c>
      <c r="D90" s="885">
        <f>1751.019/1000</f>
        <v>1.7510190000000001</v>
      </c>
    </row>
    <row r="91" spans="1:4">
      <c r="A91" s="33">
        <f t="shared" si="2"/>
        <v>87</v>
      </c>
      <c r="B91" s="880" t="s">
        <v>2376</v>
      </c>
      <c r="C91" s="821" t="s">
        <v>2602</v>
      </c>
      <c r="D91" s="885">
        <f>751.41/1000</f>
        <v>0.75141000000000002</v>
      </c>
    </row>
    <row r="92" spans="1:4">
      <c r="A92" s="33">
        <f t="shared" si="2"/>
        <v>88</v>
      </c>
      <c r="B92" s="880" t="s">
        <v>2376</v>
      </c>
      <c r="C92" s="821" t="s">
        <v>2603</v>
      </c>
      <c r="D92" s="885">
        <f>515.47/1000</f>
        <v>0.51546999999999998</v>
      </c>
    </row>
    <row r="93" spans="1:4">
      <c r="A93" s="33">
        <f t="shared" si="2"/>
        <v>89</v>
      </c>
      <c r="B93" s="880" t="s">
        <v>2376</v>
      </c>
      <c r="C93" s="821" t="s">
        <v>2604</v>
      </c>
      <c r="D93" s="885">
        <f>1409.68/1000</f>
        <v>1.40968</v>
      </c>
    </row>
    <row r="94" spans="1:4">
      <c r="A94" s="33">
        <f t="shared" si="2"/>
        <v>90</v>
      </c>
      <c r="B94" s="880" t="s">
        <v>2376</v>
      </c>
      <c r="C94" s="821" t="s">
        <v>2605</v>
      </c>
      <c r="D94" s="885">
        <f>634.36/1000</f>
        <v>0.63436000000000003</v>
      </c>
    </row>
    <row r="95" spans="1:4">
      <c r="A95" s="33">
        <f t="shared" si="2"/>
        <v>91</v>
      </c>
      <c r="B95" s="880" t="s">
        <v>2376</v>
      </c>
      <c r="C95" s="821" t="s">
        <v>2606</v>
      </c>
      <c r="D95" s="885">
        <f>518.18/1000</f>
        <v>0.51817999999999997</v>
      </c>
    </row>
    <row r="96" spans="1:4">
      <c r="A96" s="33">
        <f t="shared" si="2"/>
        <v>92</v>
      </c>
      <c r="B96" s="880" t="s">
        <v>2376</v>
      </c>
      <c r="C96" s="821" t="s">
        <v>2607</v>
      </c>
      <c r="D96" s="885">
        <f>1212.37/1000</f>
        <v>1.2123699999999999</v>
      </c>
    </row>
    <row r="97" spans="1:4">
      <c r="A97" s="33">
        <f t="shared" si="2"/>
        <v>93</v>
      </c>
      <c r="B97" s="880" t="s">
        <v>2376</v>
      </c>
      <c r="C97" s="821" t="s">
        <v>2608</v>
      </c>
      <c r="D97" s="885">
        <f>1136.859/1000</f>
        <v>1.1368589999999998</v>
      </c>
    </row>
    <row r="98" spans="1:4">
      <c r="A98" s="33">
        <f t="shared" si="2"/>
        <v>94</v>
      </c>
      <c r="B98" s="880" t="s">
        <v>2376</v>
      </c>
      <c r="C98" s="821" t="s">
        <v>2609</v>
      </c>
      <c r="D98" s="885">
        <f>753.546/1000</f>
        <v>0.75354600000000005</v>
      </c>
    </row>
    <row r="99" spans="1:4">
      <c r="A99" s="33">
        <f t="shared" si="2"/>
        <v>95</v>
      </c>
      <c r="B99" s="880" t="s">
        <v>2376</v>
      </c>
      <c r="C99" s="821" t="s">
        <v>2610</v>
      </c>
      <c r="D99" s="885">
        <f>2841.988/1000</f>
        <v>2.8419879999999997</v>
      </c>
    </row>
    <row r="100" spans="1:4">
      <c r="A100" s="33">
        <f t="shared" si="2"/>
        <v>96</v>
      </c>
      <c r="B100" s="880" t="s">
        <v>2376</v>
      </c>
      <c r="C100" s="821" t="s">
        <v>2611</v>
      </c>
      <c r="D100" s="885">
        <f>816.077/1000</f>
        <v>0.81607700000000005</v>
      </c>
    </row>
    <row r="101" spans="1:4">
      <c r="A101" s="33">
        <f t="shared" si="2"/>
        <v>97</v>
      </c>
      <c r="B101" s="880" t="s">
        <v>2376</v>
      </c>
      <c r="C101" s="821" t="s">
        <v>2612</v>
      </c>
      <c r="D101" s="885">
        <f>227.366/1000</f>
        <v>0.22736600000000001</v>
      </c>
    </row>
    <row r="102" spans="1:4">
      <c r="A102" s="33">
        <f t="shared" si="2"/>
        <v>98</v>
      </c>
      <c r="B102" s="880" t="s">
        <v>2376</v>
      </c>
      <c r="C102" s="821" t="s">
        <v>2613</v>
      </c>
      <c r="D102" s="885">
        <f>401.366/1000</f>
        <v>0.401366</v>
      </c>
    </row>
    <row r="103" spans="1:4">
      <c r="A103" s="33">
        <f t="shared" si="2"/>
        <v>99</v>
      </c>
      <c r="B103" s="880" t="s">
        <v>2376</v>
      </c>
      <c r="C103" s="821" t="s">
        <v>2614</v>
      </c>
      <c r="D103" s="885">
        <f>1221.902/1000</f>
        <v>1.221902</v>
      </c>
    </row>
    <row r="104" spans="1:4">
      <c r="A104" s="33">
        <f t="shared" si="2"/>
        <v>100</v>
      </c>
      <c r="B104" s="880" t="s">
        <v>2376</v>
      </c>
      <c r="C104" s="821" t="s">
        <v>2615</v>
      </c>
      <c r="D104" s="885">
        <f>2000.393/1000</f>
        <v>2.0003929999999999</v>
      </c>
    </row>
    <row r="105" spans="1:4">
      <c r="A105" s="33">
        <f t="shared" si="2"/>
        <v>101</v>
      </c>
      <c r="B105" s="880" t="s">
        <v>2376</v>
      </c>
      <c r="C105" s="821" t="s">
        <v>2616</v>
      </c>
      <c r="D105" s="885">
        <f>1037.587/1000</f>
        <v>1.037587</v>
      </c>
    </row>
    <row r="106" spans="1:4">
      <c r="A106" s="33">
        <f t="shared" ref="A106:A115" si="3">A105+1</f>
        <v>102</v>
      </c>
      <c r="B106" s="880" t="s">
        <v>2376</v>
      </c>
      <c r="C106" s="821" t="s">
        <v>2617</v>
      </c>
      <c r="D106" s="885">
        <f>944.974/1000</f>
        <v>0.94497400000000009</v>
      </c>
    </row>
    <row r="107" spans="1:4">
      <c r="A107" s="33">
        <f t="shared" si="3"/>
        <v>103</v>
      </c>
      <c r="B107" s="880" t="s">
        <v>2376</v>
      </c>
      <c r="C107" s="821" t="s">
        <v>2618</v>
      </c>
      <c r="D107" s="885">
        <f>809.122/1000</f>
        <v>0.80912200000000001</v>
      </c>
    </row>
    <row r="108" spans="1:4">
      <c r="A108" s="33">
        <f t="shared" si="3"/>
        <v>104</v>
      </c>
      <c r="B108" s="880" t="s">
        <v>2376</v>
      </c>
      <c r="C108" s="821" t="s">
        <v>2619</v>
      </c>
      <c r="D108" s="885">
        <f>1066.883/1000</f>
        <v>1.066883</v>
      </c>
    </row>
    <row r="109" spans="1:4">
      <c r="A109" s="33">
        <f t="shared" si="3"/>
        <v>105</v>
      </c>
      <c r="B109" s="880" t="s">
        <v>2376</v>
      </c>
      <c r="C109" s="821" t="s">
        <v>2620</v>
      </c>
      <c r="D109" s="885">
        <f>245.679/1000</f>
        <v>0.24567900000000001</v>
      </c>
    </row>
    <row r="110" spans="1:4">
      <c r="A110" s="33">
        <f t="shared" si="3"/>
        <v>106</v>
      </c>
      <c r="B110" s="880" t="s">
        <v>2376</v>
      </c>
      <c r="C110" s="821" t="s">
        <v>2621</v>
      </c>
      <c r="D110" s="885">
        <f>352.93/1000</f>
        <v>0.35293000000000002</v>
      </c>
    </row>
    <row r="111" spans="1:4">
      <c r="A111" s="33">
        <f t="shared" si="3"/>
        <v>107</v>
      </c>
      <c r="B111" s="880" t="s">
        <v>2376</v>
      </c>
      <c r="C111" s="821" t="s">
        <v>2622</v>
      </c>
      <c r="D111" s="885">
        <f>232.301/1000</f>
        <v>0.23230099999999998</v>
      </c>
    </row>
    <row r="112" spans="1:4">
      <c r="A112" s="33">
        <f t="shared" si="3"/>
        <v>108</v>
      </c>
      <c r="B112" s="880" t="s">
        <v>2376</v>
      </c>
      <c r="C112" s="821" t="s">
        <v>2623</v>
      </c>
      <c r="D112" s="885">
        <f>474.983/1000</f>
        <v>0.47498299999999999</v>
      </c>
    </row>
    <row r="113" spans="1:4">
      <c r="A113" s="33">
        <f t="shared" si="3"/>
        <v>109</v>
      </c>
      <c r="B113" s="880" t="s">
        <v>2376</v>
      </c>
      <c r="C113" s="821" t="s">
        <v>2624</v>
      </c>
      <c r="D113" s="885">
        <f>938.027/1000</f>
        <v>0.93802700000000006</v>
      </c>
    </row>
    <row r="114" spans="1:4">
      <c r="A114" s="33">
        <f t="shared" si="3"/>
        <v>110</v>
      </c>
      <c r="B114" s="880" t="s">
        <v>2376</v>
      </c>
      <c r="C114" s="821" t="s">
        <v>2625</v>
      </c>
      <c r="D114" s="885">
        <f>1117.048/1000</f>
        <v>1.117048</v>
      </c>
    </row>
    <row r="115" spans="1:4">
      <c r="A115" s="33">
        <f t="shared" si="3"/>
        <v>111</v>
      </c>
      <c r="B115" s="880" t="s">
        <v>2376</v>
      </c>
      <c r="C115" s="821" t="s">
        <v>2626</v>
      </c>
      <c r="D115" s="885">
        <f>1861.602/1000</f>
        <v>1.861602</v>
      </c>
    </row>
    <row r="116" spans="1:4">
      <c r="A116" s="1544" t="s">
        <v>994</v>
      </c>
      <c r="B116" s="1544"/>
      <c r="C116" s="1544"/>
      <c r="D116" s="886">
        <f>SUM(D5:D115)</f>
        <v>102.41494300000004</v>
      </c>
    </row>
  </sheetData>
  <mergeCells count="2">
    <mergeCell ref="A116:C116"/>
    <mergeCell ref="H8:I8"/>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6.453125" style="890" customWidth="1"/>
    <col min="4" max="4" width="6.179687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2187</v>
      </c>
    </row>
    <row r="2" spans="1:27">
      <c r="A2" s="781" t="s">
        <v>2384</v>
      </c>
    </row>
    <row r="3" spans="1:27" s="784" customFormat="1" ht="27.75" customHeight="1">
      <c r="A3" s="1557" t="s">
        <v>1916</v>
      </c>
      <c r="B3" s="1557"/>
      <c r="C3" s="1557"/>
      <c r="D3" s="1557"/>
      <c r="E3" s="1557"/>
      <c r="F3" s="1557"/>
      <c r="G3" s="1557"/>
      <c r="H3" s="1557"/>
      <c r="I3" s="892"/>
      <c r="J3" s="1557" t="s">
        <v>1917</v>
      </c>
      <c r="K3" s="1557"/>
      <c r="L3" s="1557"/>
      <c r="M3" s="1557"/>
      <c r="N3" s="1557"/>
      <c r="O3" s="1557"/>
      <c r="P3" s="1557"/>
      <c r="Q3" s="1557"/>
      <c r="R3" s="1557"/>
      <c r="S3" s="1557"/>
      <c r="T3" s="1557"/>
      <c r="U3" s="1557"/>
      <c r="V3" s="1557"/>
      <c r="W3" s="1557"/>
      <c r="X3" s="1557"/>
      <c r="Y3" s="1557"/>
      <c r="Z3" s="1557"/>
      <c r="AA3" s="1557"/>
    </row>
    <row r="4" spans="1:27" s="786" customFormat="1" ht="20" customHeight="1">
      <c r="A4" s="1555" t="s">
        <v>1918</v>
      </c>
      <c r="B4" s="1555" t="s">
        <v>1919</v>
      </c>
      <c r="C4" s="1555" t="s">
        <v>1920</v>
      </c>
      <c r="D4" s="1555" t="s">
        <v>1921</v>
      </c>
      <c r="E4" s="1555" t="s">
        <v>1922</v>
      </c>
      <c r="F4" s="1555" t="s">
        <v>1923</v>
      </c>
      <c r="G4" s="1555" t="s">
        <v>1924</v>
      </c>
      <c r="H4" s="1555"/>
      <c r="I4" s="892"/>
      <c r="J4" s="1555" t="s">
        <v>1918</v>
      </c>
      <c r="K4" s="1555" t="s">
        <v>1919</v>
      </c>
      <c r="L4" s="1555" t="s">
        <v>1920</v>
      </c>
      <c r="M4" s="1555" t="s">
        <v>1000</v>
      </c>
      <c r="N4" s="1555"/>
      <c r="O4" s="1555"/>
      <c r="P4" s="1555"/>
      <c r="Q4" s="1555" t="s">
        <v>1925</v>
      </c>
      <c r="R4" s="1555"/>
      <c r="S4" s="1555"/>
      <c r="T4" s="1555"/>
      <c r="U4" s="1556" t="s">
        <v>1921</v>
      </c>
      <c r="V4" s="1556" t="s">
        <v>1922</v>
      </c>
      <c r="W4" s="1558" t="s">
        <v>1926</v>
      </c>
      <c r="X4" s="1555" t="s">
        <v>1923</v>
      </c>
      <c r="Y4" s="1555" t="s">
        <v>1924</v>
      </c>
      <c r="Z4" s="1555"/>
      <c r="AA4" s="1555" t="s">
        <v>1927</v>
      </c>
    </row>
    <row r="5" spans="1:27" s="786" customFormat="1" ht="12" customHeight="1">
      <c r="A5" s="1555"/>
      <c r="B5" s="1555"/>
      <c r="C5" s="1555"/>
      <c r="D5" s="1555"/>
      <c r="E5" s="1555"/>
      <c r="F5" s="1555"/>
      <c r="G5" s="787" t="s">
        <v>1928</v>
      </c>
      <c r="H5" s="787" t="s">
        <v>1929</v>
      </c>
      <c r="I5" s="892"/>
      <c r="J5" s="1555"/>
      <c r="K5" s="1555"/>
      <c r="L5" s="1555"/>
      <c r="M5" s="785" t="s">
        <v>1930</v>
      </c>
      <c r="N5" s="785" t="s">
        <v>1931</v>
      </c>
      <c r="O5" s="785" t="s">
        <v>1932</v>
      </c>
      <c r="P5" s="785" t="s">
        <v>1933</v>
      </c>
      <c r="Q5" s="785" t="s">
        <v>1930</v>
      </c>
      <c r="R5" s="785" t="s">
        <v>1931</v>
      </c>
      <c r="S5" s="785" t="s">
        <v>1932</v>
      </c>
      <c r="T5" s="785" t="s">
        <v>1933</v>
      </c>
      <c r="U5" s="1556"/>
      <c r="V5" s="1556"/>
      <c r="W5" s="1558"/>
      <c r="X5" s="1555"/>
      <c r="Y5" s="787" t="s">
        <v>1928</v>
      </c>
      <c r="Z5" s="787" t="s">
        <v>1929</v>
      </c>
      <c r="AA5" s="1555"/>
    </row>
    <row r="6" spans="1:27" s="786" customFormat="1" ht="12" customHeight="1">
      <c r="A6" s="888">
        <v>1</v>
      </c>
      <c r="B6" s="757" t="s">
        <v>2752</v>
      </c>
      <c r="C6" s="757" t="s">
        <v>2197</v>
      </c>
      <c r="D6" s="757"/>
      <c r="E6" s="757">
        <v>0</v>
      </c>
      <c r="F6" s="757" t="s">
        <v>2753</v>
      </c>
      <c r="G6" s="757">
        <v>516661.837</v>
      </c>
      <c r="H6" s="757">
        <v>3596578.1469999999</v>
      </c>
      <c r="I6" s="892"/>
      <c r="J6" s="888">
        <v>1</v>
      </c>
      <c r="K6" s="757" t="s">
        <v>2752</v>
      </c>
      <c r="L6" s="757" t="s">
        <v>1319</v>
      </c>
      <c r="M6" s="757">
        <v>0</v>
      </c>
      <c r="N6" s="757">
        <v>0</v>
      </c>
      <c r="O6" s="757">
        <v>0</v>
      </c>
      <c r="P6" s="757">
        <v>0</v>
      </c>
      <c r="Q6" s="757">
        <v>0</v>
      </c>
      <c r="R6" s="757">
        <v>0</v>
      </c>
      <c r="S6" s="757">
        <v>0</v>
      </c>
      <c r="T6" s="757">
        <v>0</v>
      </c>
      <c r="U6" s="757"/>
      <c r="V6" s="757">
        <v>0</v>
      </c>
      <c r="W6" s="757">
        <v>384.3</v>
      </c>
      <c r="X6" s="757" t="s">
        <v>2773</v>
      </c>
      <c r="Y6" s="757">
        <v>516472.78499999997</v>
      </c>
      <c r="Z6" s="757">
        <v>3598642.6579999998</v>
      </c>
      <c r="AA6" s="815"/>
    </row>
    <row r="7" spans="1:27" s="786" customFormat="1" ht="12" customHeight="1">
      <c r="A7" s="820"/>
      <c r="B7" s="757"/>
      <c r="C7" s="757"/>
      <c r="D7" s="827">
        <v>119.059</v>
      </c>
      <c r="E7" s="757"/>
      <c r="F7" s="757"/>
      <c r="G7" s="757"/>
      <c r="H7" s="757"/>
      <c r="I7" s="892"/>
      <c r="J7" s="820"/>
      <c r="K7" s="757"/>
      <c r="L7" s="757"/>
      <c r="M7" s="757"/>
      <c r="N7" s="757"/>
      <c r="O7" s="757"/>
      <c r="P7" s="757"/>
      <c r="Q7" s="757"/>
      <c r="R7" s="757"/>
      <c r="S7" s="757"/>
      <c r="T7" s="757"/>
      <c r="U7" s="757">
        <v>119.059</v>
      </c>
      <c r="V7" s="757"/>
      <c r="W7" s="757"/>
      <c r="X7" s="757"/>
      <c r="Y7" s="757"/>
      <c r="Z7" s="757"/>
      <c r="AA7" s="816" t="s">
        <v>2774</v>
      </c>
    </row>
    <row r="8" spans="1:27" s="786" customFormat="1" ht="12" customHeight="1">
      <c r="A8" s="888">
        <f>A6+1</f>
        <v>2</v>
      </c>
      <c r="B8" s="757" t="s">
        <v>2754</v>
      </c>
      <c r="C8" s="757" t="s">
        <v>76</v>
      </c>
      <c r="D8" s="827"/>
      <c r="E8" s="923">
        <f>E6+D7</f>
        <v>119.059</v>
      </c>
      <c r="F8" s="757" t="s">
        <v>2755</v>
      </c>
      <c r="G8" s="757">
        <v>516805.33199999999</v>
      </c>
      <c r="H8" s="757">
        <v>3596183.2080000001</v>
      </c>
      <c r="I8" s="892"/>
      <c r="J8" s="888">
        <f>J6+1</f>
        <v>2</v>
      </c>
      <c r="K8" s="757" t="s">
        <v>2754</v>
      </c>
      <c r="L8" s="757" t="s">
        <v>2212</v>
      </c>
      <c r="M8" s="757">
        <v>0</v>
      </c>
      <c r="N8" s="757">
        <v>0</v>
      </c>
      <c r="O8" s="757">
        <v>0</v>
      </c>
      <c r="P8" s="757">
        <v>0</v>
      </c>
      <c r="Q8" s="757">
        <v>0</v>
      </c>
      <c r="R8" s="757">
        <v>0</v>
      </c>
      <c r="S8" s="757">
        <v>0</v>
      </c>
      <c r="T8" s="757">
        <v>0</v>
      </c>
      <c r="U8" s="757"/>
      <c r="V8" s="757">
        <f>U7</f>
        <v>119.059</v>
      </c>
      <c r="W8" s="757">
        <v>384.202</v>
      </c>
      <c r="X8" s="757" t="s">
        <v>2775</v>
      </c>
      <c r="Y8" s="757">
        <v>516557.85499999998</v>
      </c>
      <c r="Z8" s="757">
        <v>3598559.3620000002</v>
      </c>
      <c r="AA8" s="817"/>
    </row>
    <row r="9" spans="1:27" s="786" customFormat="1" ht="12" customHeight="1">
      <c r="A9" s="820"/>
      <c r="B9" s="757"/>
      <c r="C9" s="757"/>
      <c r="D9" s="827">
        <v>92.495999999999995</v>
      </c>
      <c r="E9" s="923"/>
      <c r="F9" s="757"/>
      <c r="G9" s="757"/>
      <c r="H9" s="757"/>
      <c r="I9" s="892"/>
      <c r="J9" s="820"/>
      <c r="K9" s="757"/>
      <c r="L9" s="757"/>
      <c r="M9" s="757"/>
      <c r="N9" s="757"/>
      <c r="O9" s="757"/>
      <c r="P9" s="757"/>
      <c r="Q9" s="757"/>
      <c r="R9" s="757"/>
      <c r="S9" s="757"/>
      <c r="T9" s="757"/>
      <c r="U9" s="757">
        <v>92.495999999999995</v>
      </c>
      <c r="V9" s="757"/>
      <c r="W9" s="757"/>
      <c r="X9" s="757"/>
      <c r="Y9" s="757"/>
      <c r="Z9" s="757"/>
      <c r="AA9" s="817"/>
    </row>
    <row r="10" spans="1:27" s="786" customFormat="1" ht="12" customHeight="1">
      <c r="A10" s="888">
        <f>A8+1</f>
        <v>3</v>
      </c>
      <c r="B10" s="757" t="s">
        <v>2756</v>
      </c>
      <c r="C10" s="757" t="s">
        <v>76</v>
      </c>
      <c r="D10" s="827"/>
      <c r="E10" s="923">
        <f t="shared" ref="E10:E26" si="0">E8+D9</f>
        <v>211.55500000000001</v>
      </c>
      <c r="F10" s="757" t="s">
        <v>2757</v>
      </c>
      <c r="G10" s="757">
        <v>516948.80200000003</v>
      </c>
      <c r="H10" s="757">
        <v>3595788.3369999998</v>
      </c>
      <c r="I10" s="892"/>
      <c r="J10" s="888">
        <f>J8+1</f>
        <v>3</v>
      </c>
      <c r="K10" s="757" t="s">
        <v>2756</v>
      </c>
      <c r="L10" s="757" t="s">
        <v>1988</v>
      </c>
      <c r="M10" s="757">
        <v>0</v>
      </c>
      <c r="N10" s="757">
        <v>0</v>
      </c>
      <c r="O10" s="757">
        <v>0</v>
      </c>
      <c r="P10" s="757">
        <v>0</v>
      </c>
      <c r="Q10" s="757">
        <v>0</v>
      </c>
      <c r="R10" s="757">
        <v>0</v>
      </c>
      <c r="S10" s="757">
        <v>0</v>
      </c>
      <c r="T10" s="757">
        <v>0</v>
      </c>
      <c r="U10" s="757"/>
      <c r="V10" s="757">
        <f>V8+U9</f>
        <v>211.55500000000001</v>
      </c>
      <c r="W10" s="757">
        <v>382.166</v>
      </c>
      <c r="X10" s="757" t="s">
        <v>2776</v>
      </c>
      <c r="Y10" s="757">
        <v>516565.42099999997</v>
      </c>
      <c r="Z10" s="757">
        <v>3598467.176</v>
      </c>
      <c r="AA10" s="818"/>
    </row>
    <row r="11" spans="1:27" s="786" customFormat="1" ht="12" customHeight="1">
      <c r="A11" s="820"/>
      <c r="B11" s="757"/>
      <c r="C11" s="757"/>
      <c r="D11" s="827">
        <v>134.989</v>
      </c>
      <c r="E11" s="923"/>
      <c r="F11" s="757"/>
      <c r="G11" s="757"/>
      <c r="H11" s="757"/>
      <c r="I11" s="892"/>
      <c r="J11" s="820"/>
      <c r="K11" s="757"/>
      <c r="L11" s="757"/>
      <c r="M11" s="757"/>
      <c r="N11" s="757"/>
      <c r="O11" s="757"/>
      <c r="P11" s="757"/>
      <c r="Q11" s="757"/>
      <c r="R11" s="757"/>
      <c r="S11" s="757"/>
      <c r="T11" s="757"/>
      <c r="U11" s="757">
        <v>134.988</v>
      </c>
      <c r="V11" s="757"/>
      <c r="W11" s="757"/>
      <c r="X11" s="757"/>
      <c r="Y11" s="757"/>
      <c r="Z11" s="757"/>
      <c r="AA11" s="817" t="s">
        <v>2777</v>
      </c>
    </row>
    <row r="12" spans="1:27" s="786" customFormat="1" ht="12" customHeight="1">
      <c r="A12" s="888">
        <f>A10+1</f>
        <v>4</v>
      </c>
      <c r="B12" s="757" t="s">
        <v>2758</v>
      </c>
      <c r="C12" s="757" t="s">
        <v>53</v>
      </c>
      <c r="D12" s="827"/>
      <c r="E12" s="923">
        <f t="shared" si="0"/>
        <v>346.54399999999998</v>
      </c>
      <c r="F12" s="757" t="s">
        <v>2759</v>
      </c>
      <c r="G12" s="757">
        <v>517087.15899999999</v>
      </c>
      <c r="H12" s="757">
        <v>3595407.5410000002</v>
      </c>
      <c r="I12" s="892"/>
      <c r="J12" s="888">
        <f>J10+1</f>
        <v>4</v>
      </c>
      <c r="K12" s="757" t="s">
        <v>2758</v>
      </c>
      <c r="L12" s="757" t="s">
        <v>1988</v>
      </c>
      <c r="M12" s="757">
        <v>0</v>
      </c>
      <c r="N12" s="757">
        <v>0</v>
      </c>
      <c r="O12" s="757">
        <v>0</v>
      </c>
      <c r="P12" s="757">
        <v>0</v>
      </c>
      <c r="Q12" s="757">
        <v>0</v>
      </c>
      <c r="R12" s="757">
        <v>0</v>
      </c>
      <c r="S12" s="757">
        <v>0</v>
      </c>
      <c r="T12" s="757">
        <v>0</v>
      </c>
      <c r="U12" s="757"/>
      <c r="V12" s="757">
        <f t="shared" ref="V12:V26" si="1">V10+U11</f>
        <v>346.54300000000001</v>
      </c>
      <c r="W12" s="757">
        <v>377.89</v>
      </c>
      <c r="X12" s="757" t="s">
        <v>2778</v>
      </c>
      <c r="Y12" s="757">
        <v>516671.55900000001</v>
      </c>
      <c r="Z12" s="757">
        <v>3598383.77</v>
      </c>
      <c r="AA12" s="817"/>
    </row>
    <row r="13" spans="1:27" s="786" customFormat="1" ht="12" customHeight="1">
      <c r="A13" s="820"/>
      <c r="B13" s="757"/>
      <c r="C13" s="757"/>
      <c r="D13" s="827">
        <v>365.17500000000001</v>
      </c>
      <c r="E13" s="923"/>
      <c r="F13" s="757"/>
      <c r="G13" s="757"/>
      <c r="H13" s="757"/>
      <c r="I13" s="892"/>
      <c r="J13" s="820"/>
      <c r="K13" s="757"/>
      <c r="L13" s="757"/>
      <c r="M13" s="757"/>
      <c r="N13" s="757"/>
      <c r="O13" s="757"/>
      <c r="P13" s="757"/>
      <c r="Q13" s="757"/>
      <c r="R13" s="757"/>
      <c r="S13" s="757"/>
      <c r="T13" s="757"/>
      <c r="U13" s="757">
        <v>365.17599999999999</v>
      </c>
      <c r="V13" s="757"/>
      <c r="W13" s="757"/>
      <c r="X13" s="757"/>
      <c r="Y13" s="757"/>
      <c r="Z13" s="757"/>
      <c r="AA13" s="817" t="s">
        <v>2126</v>
      </c>
    </row>
    <row r="14" spans="1:27" s="786" customFormat="1" ht="12" customHeight="1">
      <c r="A14" s="888">
        <f>A12+1</f>
        <v>5</v>
      </c>
      <c r="B14" s="757" t="s">
        <v>2760</v>
      </c>
      <c r="C14" s="757" t="s">
        <v>1402</v>
      </c>
      <c r="D14" s="827"/>
      <c r="E14" s="923">
        <f t="shared" si="0"/>
        <v>711.71900000000005</v>
      </c>
      <c r="F14" s="757" t="s">
        <v>2761</v>
      </c>
      <c r="G14" s="757">
        <v>517233.304</v>
      </c>
      <c r="H14" s="757">
        <v>3595005.3080000002</v>
      </c>
      <c r="I14" s="892"/>
      <c r="J14" s="888">
        <f>J12+1</f>
        <v>5</v>
      </c>
      <c r="K14" s="757" t="s">
        <v>2760</v>
      </c>
      <c r="L14" s="757" t="s">
        <v>2212</v>
      </c>
      <c r="M14" s="757">
        <v>0</v>
      </c>
      <c r="N14" s="757">
        <v>0</v>
      </c>
      <c r="O14" s="757">
        <v>0</v>
      </c>
      <c r="P14" s="757">
        <v>0</v>
      </c>
      <c r="Q14" s="757">
        <v>0</v>
      </c>
      <c r="R14" s="757">
        <v>0</v>
      </c>
      <c r="S14" s="757">
        <v>0</v>
      </c>
      <c r="T14" s="757">
        <v>0</v>
      </c>
      <c r="U14" s="757"/>
      <c r="V14" s="757">
        <f t="shared" si="1"/>
        <v>711.71900000000005</v>
      </c>
      <c r="W14" s="757">
        <v>373.28</v>
      </c>
      <c r="X14" s="757" t="s">
        <v>2779</v>
      </c>
      <c r="Y14" s="757">
        <v>516738.65</v>
      </c>
      <c r="Z14" s="757">
        <v>3598024.81</v>
      </c>
      <c r="AA14" s="817"/>
    </row>
    <row r="15" spans="1:27" s="786" customFormat="1" ht="12" customHeight="1">
      <c r="A15" s="820"/>
      <c r="B15" s="757"/>
      <c r="C15" s="757"/>
      <c r="D15" s="827">
        <v>236.697</v>
      </c>
      <c r="E15" s="923"/>
      <c r="F15" s="757"/>
      <c r="G15" s="757"/>
      <c r="H15" s="757"/>
      <c r="I15" s="892"/>
      <c r="J15" s="820"/>
      <c r="K15" s="757"/>
      <c r="L15" s="757"/>
      <c r="M15" s="757"/>
      <c r="N15" s="757"/>
      <c r="O15" s="757"/>
      <c r="P15" s="757"/>
      <c r="Q15" s="757"/>
      <c r="R15" s="757"/>
      <c r="S15" s="757"/>
      <c r="T15" s="757"/>
      <c r="U15" s="757">
        <v>236.697</v>
      </c>
      <c r="V15" s="757"/>
      <c r="W15" s="757"/>
      <c r="X15" s="757"/>
      <c r="Y15" s="757"/>
      <c r="Z15" s="757"/>
      <c r="AA15" s="817" t="s">
        <v>2780</v>
      </c>
    </row>
    <row r="16" spans="1:27" s="786" customFormat="1" ht="12" customHeight="1">
      <c r="A16" s="888">
        <f>A14+1</f>
        <v>6</v>
      </c>
      <c r="B16" s="757" t="s">
        <v>2762</v>
      </c>
      <c r="C16" s="757" t="s">
        <v>1361</v>
      </c>
      <c r="D16" s="827"/>
      <c r="E16" s="923">
        <f t="shared" si="0"/>
        <v>948.41600000000005</v>
      </c>
      <c r="F16" s="757" t="s">
        <v>2763</v>
      </c>
      <c r="G16" s="757">
        <v>517425.65</v>
      </c>
      <c r="H16" s="757">
        <v>3594793.72</v>
      </c>
      <c r="I16" s="892"/>
      <c r="J16" s="888">
        <f>J14+1</f>
        <v>6</v>
      </c>
      <c r="K16" s="757" t="s">
        <v>2762</v>
      </c>
      <c r="L16" s="757" t="s">
        <v>2212</v>
      </c>
      <c r="M16" s="757">
        <v>0</v>
      </c>
      <c r="N16" s="757">
        <v>0</v>
      </c>
      <c r="O16" s="757">
        <v>0</v>
      </c>
      <c r="P16" s="757">
        <v>0</v>
      </c>
      <c r="Q16" s="757">
        <v>0</v>
      </c>
      <c r="R16" s="757">
        <v>0</v>
      </c>
      <c r="S16" s="757">
        <v>0</v>
      </c>
      <c r="T16" s="757">
        <v>0</v>
      </c>
      <c r="U16" s="757"/>
      <c r="V16" s="757">
        <f t="shared" si="1"/>
        <v>948.41600000000005</v>
      </c>
      <c r="W16" s="757">
        <v>364.06299999999999</v>
      </c>
      <c r="X16" s="757" t="s">
        <v>2781</v>
      </c>
      <c r="Y16" s="757">
        <v>516633</v>
      </c>
      <c r="Z16" s="757">
        <v>3597813</v>
      </c>
      <c r="AA16" s="817"/>
    </row>
    <row r="17" spans="1:27" s="786" customFormat="1" ht="12" customHeight="1">
      <c r="A17" s="820"/>
      <c r="B17" s="757"/>
      <c r="C17" s="757"/>
      <c r="D17" s="827">
        <v>213.25200000000001</v>
      </c>
      <c r="E17" s="923"/>
      <c r="F17" s="757"/>
      <c r="G17" s="757"/>
      <c r="H17" s="757"/>
      <c r="I17" s="892"/>
      <c r="J17" s="820"/>
      <c r="K17" s="757"/>
      <c r="L17" s="757"/>
      <c r="M17" s="757"/>
      <c r="N17" s="757"/>
      <c r="O17" s="757"/>
      <c r="P17" s="757"/>
      <c r="Q17" s="757"/>
      <c r="R17" s="757"/>
      <c r="S17" s="757"/>
      <c r="T17" s="757"/>
      <c r="U17" s="757">
        <v>213.25200000000001</v>
      </c>
      <c r="V17" s="757"/>
      <c r="W17" s="757"/>
      <c r="X17" s="757"/>
      <c r="Y17" s="757"/>
      <c r="Z17" s="757"/>
      <c r="AA17" s="819"/>
    </row>
    <row r="18" spans="1:27" s="786" customFormat="1" ht="12" customHeight="1">
      <c r="A18" s="888">
        <f>A16+1</f>
        <v>7</v>
      </c>
      <c r="B18" s="757" t="s">
        <v>2764</v>
      </c>
      <c r="C18" s="757" t="s">
        <v>1361</v>
      </c>
      <c r="D18" s="827"/>
      <c r="E18" s="923">
        <f t="shared" si="0"/>
        <v>1161.6680000000001</v>
      </c>
      <c r="F18" s="757" t="s">
        <v>2765</v>
      </c>
      <c r="G18" s="757">
        <v>517777.57199999999</v>
      </c>
      <c r="H18" s="757">
        <v>3594601.159</v>
      </c>
      <c r="I18" s="892"/>
      <c r="J18" s="888">
        <f>J16+1</f>
        <v>7</v>
      </c>
      <c r="K18" s="757" t="s">
        <v>2764</v>
      </c>
      <c r="L18" s="757" t="s">
        <v>1988</v>
      </c>
      <c r="M18" s="757">
        <v>0</v>
      </c>
      <c r="N18" s="757">
        <v>0</v>
      </c>
      <c r="O18" s="757">
        <v>0</v>
      </c>
      <c r="P18" s="757">
        <v>0</v>
      </c>
      <c r="Q18" s="757">
        <v>0</v>
      </c>
      <c r="R18" s="757">
        <v>0</v>
      </c>
      <c r="S18" s="757">
        <v>0</v>
      </c>
      <c r="T18" s="757">
        <v>0</v>
      </c>
      <c r="U18" s="757"/>
      <c r="V18" s="757">
        <f t="shared" si="1"/>
        <v>1161.6680000000001</v>
      </c>
      <c r="W18" s="757">
        <v>361.99</v>
      </c>
      <c r="X18" s="757" t="s">
        <v>2782</v>
      </c>
      <c r="Y18" s="757">
        <v>516611.32199999999</v>
      </c>
      <c r="Z18" s="757">
        <v>3597600.8530000001</v>
      </c>
      <c r="AA18" s="817"/>
    </row>
    <row r="19" spans="1:27" s="786" customFormat="1" ht="12" customHeight="1">
      <c r="A19" s="820"/>
      <c r="B19" s="757"/>
      <c r="C19" s="757"/>
      <c r="D19" s="827">
        <v>206.59200000000001</v>
      </c>
      <c r="E19" s="923"/>
      <c r="F19" s="757"/>
      <c r="G19" s="757"/>
      <c r="H19" s="757"/>
      <c r="I19" s="892"/>
      <c r="J19" s="820"/>
      <c r="K19" s="757"/>
      <c r="L19" s="757"/>
      <c r="M19" s="757"/>
      <c r="N19" s="757"/>
      <c r="O19" s="757"/>
      <c r="P19" s="757"/>
      <c r="Q19" s="757"/>
      <c r="R19" s="757"/>
      <c r="S19" s="757"/>
      <c r="T19" s="757"/>
      <c r="U19" s="757">
        <v>206.59299999999999</v>
      </c>
      <c r="V19" s="757"/>
      <c r="W19" s="757"/>
      <c r="X19" s="757"/>
      <c r="Y19" s="757"/>
      <c r="Z19" s="757"/>
      <c r="AA19" s="817" t="s">
        <v>2783</v>
      </c>
    </row>
    <row r="20" spans="1:27" s="786" customFormat="1" ht="12" customHeight="1">
      <c r="A20" s="888">
        <f>A18+1</f>
        <v>8</v>
      </c>
      <c r="B20" s="757" t="s">
        <v>2766</v>
      </c>
      <c r="C20" s="757" t="s">
        <v>76</v>
      </c>
      <c r="D20" s="827"/>
      <c r="E20" s="923">
        <f t="shared" si="0"/>
        <v>1368.2600000000002</v>
      </c>
      <c r="F20" s="757" t="s">
        <v>2767</v>
      </c>
      <c r="G20" s="757">
        <v>517986.277</v>
      </c>
      <c r="H20" s="757">
        <v>3594326.446</v>
      </c>
      <c r="I20" s="892"/>
      <c r="J20" s="888">
        <f>J18+1</f>
        <v>8</v>
      </c>
      <c r="K20" s="757" t="s">
        <v>2766</v>
      </c>
      <c r="L20" s="757" t="s">
        <v>2023</v>
      </c>
      <c r="M20" s="757">
        <v>0</v>
      </c>
      <c r="N20" s="757">
        <v>0</v>
      </c>
      <c r="O20" s="757">
        <v>0</v>
      </c>
      <c r="P20" s="757">
        <v>0</v>
      </c>
      <c r="Q20" s="757">
        <v>0</v>
      </c>
      <c r="R20" s="757">
        <v>0</v>
      </c>
      <c r="S20" s="757">
        <v>0</v>
      </c>
      <c r="T20" s="757">
        <v>0</v>
      </c>
      <c r="U20" s="757"/>
      <c r="V20" s="757">
        <f t="shared" si="1"/>
        <v>1368.2610000000002</v>
      </c>
      <c r="W20" s="757">
        <v>353.88299999999998</v>
      </c>
      <c r="X20" s="757" t="s">
        <v>2784</v>
      </c>
      <c r="Y20" s="757">
        <v>516437.27399999998</v>
      </c>
      <c r="Z20" s="757">
        <v>3597489.5520000001</v>
      </c>
      <c r="AA20" s="817"/>
    </row>
    <row r="21" spans="1:27" s="786" customFormat="1" ht="12" customHeight="1">
      <c r="A21" s="820"/>
      <c r="B21" s="757"/>
      <c r="C21" s="757"/>
      <c r="D21" s="827">
        <v>289.86200000000002</v>
      </c>
      <c r="E21" s="923"/>
      <c r="F21" s="757"/>
      <c r="G21" s="757"/>
      <c r="H21" s="757"/>
      <c r="I21" s="892"/>
      <c r="J21" s="820"/>
      <c r="K21" s="757"/>
      <c r="L21" s="757"/>
      <c r="M21" s="757"/>
      <c r="N21" s="757"/>
      <c r="O21" s="757"/>
      <c r="P21" s="757"/>
      <c r="Q21" s="757"/>
      <c r="R21" s="757"/>
      <c r="S21" s="757"/>
      <c r="T21" s="757"/>
      <c r="U21" s="757">
        <v>289.86200000000002</v>
      </c>
      <c r="V21" s="757"/>
      <c r="W21" s="757"/>
      <c r="X21" s="757"/>
      <c r="Y21" s="757"/>
      <c r="Z21" s="757"/>
      <c r="AA21" s="817" t="s">
        <v>2785</v>
      </c>
    </row>
    <row r="22" spans="1:27" s="786" customFormat="1" ht="12" customHeight="1">
      <c r="A22" s="888">
        <f>A20+1</f>
        <v>9</v>
      </c>
      <c r="B22" s="757" t="s">
        <v>2768</v>
      </c>
      <c r="C22" s="757" t="s">
        <v>76</v>
      </c>
      <c r="D22" s="827"/>
      <c r="E22" s="923">
        <f t="shared" si="0"/>
        <v>1658.1220000000003</v>
      </c>
      <c r="F22" s="757" t="s">
        <v>2769</v>
      </c>
      <c r="G22" s="757">
        <v>518204.05699999997</v>
      </c>
      <c r="H22" s="757">
        <v>3594039.7889999999</v>
      </c>
      <c r="I22" s="892"/>
      <c r="J22" s="888">
        <f>J20+1</f>
        <v>9</v>
      </c>
      <c r="K22" s="757" t="s">
        <v>2768</v>
      </c>
      <c r="L22" s="757" t="s">
        <v>1988</v>
      </c>
      <c r="M22" s="757">
        <v>0</v>
      </c>
      <c r="N22" s="757">
        <v>0</v>
      </c>
      <c r="O22" s="757">
        <v>0</v>
      </c>
      <c r="P22" s="757">
        <v>0</v>
      </c>
      <c r="Q22" s="757">
        <v>1.5</v>
      </c>
      <c r="R22" s="757">
        <v>1.5</v>
      </c>
      <c r="S22" s="757">
        <v>0</v>
      </c>
      <c r="T22" s="757">
        <v>0</v>
      </c>
      <c r="U22" s="757"/>
      <c r="V22" s="757">
        <f t="shared" si="1"/>
        <v>1658.1230000000003</v>
      </c>
      <c r="W22" s="757">
        <v>348.38</v>
      </c>
      <c r="X22" s="757" t="s">
        <v>2786</v>
      </c>
      <c r="Y22" s="757">
        <v>516389.11</v>
      </c>
      <c r="Z22" s="757">
        <v>3597203.72</v>
      </c>
      <c r="AA22" s="817"/>
    </row>
    <row r="23" spans="1:27" s="786" customFormat="1" ht="12" customHeight="1">
      <c r="A23" s="820"/>
      <c r="B23" s="757"/>
      <c r="C23" s="757"/>
      <c r="D23" s="827">
        <v>402.93799999999999</v>
      </c>
      <c r="E23" s="923"/>
      <c r="F23" s="757"/>
      <c r="G23" s="757"/>
      <c r="H23" s="757"/>
      <c r="I23" s="892"/>
      <c r="J23" s="820"/>
      <c r="K23" s="757"/>
      <c r="L23" s="757"/>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88">
        <f>A22+1</f>
        <v>10</v>
      </c>
      <c r="B24" s="757" t="s">
        <v>2770</v>
      </c>
      <c r="C24" s="757" t="s">
        <v>1277</v>
      </c>
      <c r="D24" s="827"/>
      <c r="E24" s="923">
        <f t="shared" si="0"/>
        <v>2061.0600000000004</v>
      </c>
      <c r="F24" s="757" t="s">
        <v>2771</v>
      </c>
      <c r="G24" s="757">
        <v>518415.91800000001</v>
      </c>
      <c r="H24" s="757">
        <v>3593760.9219999998</v>
      </c>
      <c r="I24" s="892"/>
      <c r="J24" s="888">
        <f>J22+1</f>
        <v>10</v>
      </c>
      <c r="K24" s="757" t="s">
        <v>2770</v>
      </c>
      <c r="L24" s="757" t="s">
        <v>1977</v>
      </c>
      <c r="M24" s="757">
        <v>0</v>
      </c>
      <c r="N24" s="757">
        <v>0</v>
      </c>
      <c r="O24" s="757">
        <v>0</v>
      </c>
      <c r="P24" s="757">
        <v>0</v>
      </c>
      <c r="Q24" s="757">
        <v>0</v>
      </c>
      <c r="R24" s="757">
        <v>0</v>
      </c>
      <c r="S24" s="757">
        <v>2</v>
      </c>
      <c r="T24" s="757">
        <v>0</v>
      </c>
      <c r="U24" s="757"/>
      <c r="V24" s="757">
        <f t="shared" si="1"/>
        <v>2061.0610000000001</v>
      </c>
      <c r="W24" s="757">
        <v>345.17</v>
      </c>
      <c r="X24" s="757" t="s">
        <v>2788</v>
      </c>
      <c r="Y24" s="757">
        <v>516588.02</v>
      </c>
      <c r="Z24" s="757">
        <v>3596853.3</v>
      </c>
      <c r="AA24" s="817"/>
    </row>
    <row r="25" spans="1:27" s="786" customFormat="1" ht="12" customHeight="1">
      <c r="A25" s="820"/>
      <c r="B25" s="757"/>
      <c r="C25" s="757"/>
      <c r="D25" s="827">
        <v>284.88299999999998</v>
      </c>
      <c r="E25" s="923"/>
      <c r="F25" s="757"/>
      <c r="G25" s="757"/>
      <c r="H25" s="757"/>
      <c r="I25" s="892"/>
      <c r="J25" s="820"/>
      <c r="K25" s="757"/>
      <c r="L25" s="757"/>
      <c r="M25" s="757"/>
      <c r="N25" s="757"/>
      <c r="O25" s="757"/>
      <c r="P25" s="757"/>
      <c r="Q25" s="757"/>
      <c r="R25" s="757"/>
      <c r="S25" s="757"/>
      <c r="T25" s="757"/>
      <c r="U25" s="757">
        <v>284.88299999999998</v>
      </c>
      <c r="V25" s="757"/>
      <c r="W25" s="757"/>
      <c r="X25" s="757"/>
      <c r="Y25" s="757"/>
      <c r="Z25" s="757"/>
      <c r="AA25" s="817" t="s">
        <v>2789</v>
      </c>
    </row>
    <row r="26" spans="1:27" s="786" customFormat="1" ht="12" customHeight="1">
      <c r="A26" s="888">
        <f>A24+1</f>
        <v>11</v>
      </c>
      <c r="B26" s="757" t="s">
        <v>2428</v>
      </c>
      <c r="C26" s="757" t="s">
        <v>76</v>
      </c>
      <c r="D26" s="757"/>
      <c r="E26" s="923">
        <f t="shared" si="0"/>
        <v>2345.9430000000002</v>
      </c>
      <c r="F26" s="757" t="s">
        <v>2772</v>
      </c>
      <c r="G26" s="757">
        <v>518741.12199999997</v>
      </c>
      <c r="H26" s="757">
        <v>3593584.4509999999</v>
      </c>
      <c r="I26" s="892"/>
      <c r="J26" s="888">
        <f>J24+1</f>
        <v>11</v>
      </c>
      <c r="K26" s="757" t="s">
        <v>2428</v>
      </c>
      <c r="L26" s="757" t="s">
        <v>2197</v>
      </c>
      <c r="M26" s="757">
        <v>0</v>
      </c>
      <c r="N26" s="757">
        <v>0</v>
      </c>
      <c r="O26" s="757">
        <v>0</v>
      </c>
      <c r="P26" s="757">
        <v>0</v>
      </c>
      <c r="Q26" s="757">
        <v>1.5</v>
      </c>
      <c r="R26" s="757">
        <v>0</v>
      </c>
      <c r="S26" s="757">
        <v>0</v>
      </c>
      <c r="T26" s="757">
        <v>0</v>
      </c>
      <c r="U26" s="757"/>
      <c r="V26" s="757">
        <f t="shared" si="1"/>
        <v>2345.944</v>
      </c>
      <c r="W26" s="757">
        <v>341.28199999999998</v>
      </c>
      <c r="X26" s="757" t="s">
        <v>2444</v>
      </c>
      <c r="Y26" s="757">
        <v>516661.837</v>
      </c>
      <c r="Z26" s="757">
        <v>3596578.1469999999</v>
      </c>
      <c r="AA26" s="817"/>
    </row>
    <row r="27" spans="1:27" s="786" customFormat="1" ht="12" customHeight="1">
      <c r="A27" s="820"/>
      <c r="B27" s="757"/>
      <c r="C27" s="757"/>
      <c r="D27" s="757">
        <v>420.19900000000001</v>
      </c>
      <c r="E27" s="757"/>
      <c r="F27" s="757"/>
      <c r="G27" s="757"/>
      <c r="H27" s="757"/>
      <c r="I27" s="892"/>
      <c r="J27" s="820"/>
      <c r="K27" s="757"/>
      <c r="L27" s="757"/>
      <c r="M27" s="757"/>
      <c r="N27" s="757"/>
      <c r="O27" s="757"/>
      <c r="P27" s="757"/>
      <c r="Q27" s="757"/>
      <c r="R27" s="757"/>
      <c r="S27" s="757"/>
      <c r="T27" s="757"/>
      <c r="U27" s="759">
        <v>412.19900000000001</v>
      </c>
      <c r="V27" s="757"/>
      <c r="W27" s="757"/>
      <c r="X27" s="757"/>
      <c r="Y27" s="757"/>
      <c r="Z27" s="757"/>
      <c r="AA27" s="816" t="s">
        <v>2429</v>
      </c>
    </row>
    <row r="28" spans="1:27" s="786" customFormat="1" ht="12" customHeight="1">
      <c r="A28" s="888">
        <f>A26+1</f>
        <v>12</v>
      </c>
      <c r="B28" s="757" t="s">
        <v>1630</v>
      </c>
      <c r="C28" s="757" t="s">
        <v>76</v>
      </c>
      <c r="D28" s="757"/>
      <c r="E28" s="757"/>
      <c r="F28" s="757"/>
      <c r="G28" s="757">
        <v>516805.33199999999</v>
      </c>
      <c r="H28" s="757">
        <v>3596183.2080000001</v>
      </c>
      <c r="I28" s="892"/>
      <c r="J28" s="888">
        <f>J26+1</f>
        <v>12</v>
      </c>
      <c r="K28" s="757" t="s">
        <v>1630</v>
      </c>
      <c r="L28" s="757" t="s">
        <v>76</v>
      </c>
      <c r="M28" s="757">
        <v>0</v>
      </c>
      <c r="N28" s="757">
        <v>0</v>
      </c>
      <c r="O28" s="757">
        <v>0</v>
      </c>
      <c r="P28" s="757">
        <v>0</v>
      </c>
      <c r="Q28" s="757">
        <v>0</v>
      </c>
      <c r="R28" s="757">
        <v>0</v>
      </c>
      <c r="S28" s="757">
        <v>0</v>
      </c>
      <c r="T28" s="757">
        <v>0</v>
      </c>
      <c r="U28" s="759"/>
      <c r="V28" s="757"/>
      <c r="W28" s="757">
        <v>337.11799999999999</v>
      </c>
      <c r="X28" s="757"/>
      <c r="Y28" s="757">
        <v>516802.6</v>
      </c>
      <c r="Z28" s="757">
        <v>3596190.7280000001</v>
      </c>
      <c r="AA28" s="817"/>
    </row>
    <row r="29" spans="1:27" s="786" customFormat="1" ht="12" customHeight="1">
      <c r="A29" s="820"/>
      <c r="B29" s="757"/>
      <c r="C29" s="757"/>
      <c r="D29" s="757">
        <v>420.12700000000001</v>
      </c>
      <c r="E29" s="757"/>
      <c r="F29" s="757"/>
      <c r="G29" s="757"/>
      <c r="H29" s="757"/>
      <c r="I29" s="892"/>
      <c r="J29" s="820"/>
      <c r="K29" s="757"/>
      <c r="L29" s="757"/>
      <c r="M29" s="757"/>
      <c r="N29" s="757"/>
      <c r="O29" s="757"/>
      <c r="P29" s="757"/>
      <c r="Q29" s="757"/>
      <c r="R29" s="757"/>
      <c r="S29" s="757"/>
      <c r="T29" s="757"/>
      <c r="U29" s="759">
        <v>428.12799999999999</v>
      </c>
      <c r="V29" s="757"/>
      <c r="W29" s="757"/>
      <c r="X29" s="757"/>
      <c r="Y29" s="757"/>
      <c r="Z29" s="757"/>
      <c r="AA29" s="817"/>
    </row>
    <row r="30" spans="1:27" s="786" customFormat="1" ht="12" customHeight="1">
      <c r="A30" s="888">
        <f>A28+1</f>
        <v>13</v>
      </c>
      <c r="B30" s="757" t="s">
        <v>1631</v>
      </c>
      <c r="C30" s="757" t="s">
        <v>76</v>
      </c>
      <c r="D30" s="757"/>
      <c r="E30" s="757"/>
      <c r="F30" s="757"/>
      <c r="G30" s="757">
        <v>516948.80200000003</v>
      </c>
      <c r="H30" s="757">
        <v>3595788.3369999998</v>
      </c>
      <c r="I30" s="892"/>
      <c r="J30" s="888">
        <f>J28+1</f>
        <v>13</v>
      </c>
      <c r="K30" s="757" t="s">
        <v>1631</v>
      </c>
      <c r="L30" s="757" t="s">
        <v>76</v>
      </c>
      <c r="M30" s="757">
        <v>0</v>
      </c>
      <c r="N30" s="757">
        <v>0</v>
      </c>
      <c r="O30" s="757">
        <v>0</v>
      </c>
      <c r="P30" s="757">
        <v>0</v>
      </c>
      <c r="Q30" s="757">
        <v>0</v>
      </c>
      <c r="R30" s="757">
        <v>0</v>
      </c>
      <c r="S30" s="757">
        <v>0</v>
      </c>
      <c r="T30" s="757">
        <v>0</v>
      </c>
      <c r="U30" s="759"/>
      <c r="V30" s="757"/>
      <c r="W30" s="757">
        <v>331.59100000000001</v>
      </c>
      <c r="X30" s="757"/>
      <c r="Y30" s="757">
        <v>516948.80300000001</v>
      </c>
      <c r="Z30" s="757">
        <v>3595788.3369999998</v>
      </c>
      <c r="AA30" s="818"/>
    </row>
    <row r="31" spans="1:27" s="786" customFormat="1" ht="12" customHeight="1">
      <c r="A31" s="820"/>
      <c r="B31" s="757"/>
      <c r="C31" s="757"/>
      <c r="D31" s="757">
        <v>405.15199999999999</v>
      </c>
      <c r="E31" s="757"/>
      <c r="F31" s="757"/>
      <c r="G31" s="757"/>
      <c r="H31" s="757"/>
      <c r="I31" s="892"/>
      <c r="J31" s="820"/>
      <c r="K31" s="757"/>
      <c r="L31" s="757"/>
      <c r="M31" s="757"/>
      <c r="N31" s="757"/>
      <c r="O31" s="757"/>
      <c r="P31" s="757"/>
      <c r="Q31" s="757"/>
      <c r="R31" s="757"/>
      <c r="S31" s="757"/>
      <c r="T31" s="757"/>
      <c r="U31" s="759">
        <v>405.15199999999999</v>
      </c>
      <c r="V31" s="757"/>
      <c r="W31" s="757"/>
      <c r="X31" s="757"/>
      <c r="Y31" s="757"/>
      <c r="Z31" s="757"/>
      <c r="AA31" s="817" t="s">
        <v>2430</v>
      </c>
    </row>
    <row r="32" spans="1:27" s="786" customFormat="1" ht="12" customHeight="1">
      <c r="A32" s="888">
        <f>A30+1</f>
        <v>14</v>
      </c>
      <c r="B32" s="757" t="s">
        <v>1632</v>
      </c>
      <c r="C32" s="757" t="s">
        <v>53</v>
      </c>
      <c r="D32" s="757"/>
      <c r="E32" s="757"/>
      <c r="F32" s="757"/>
      <c r="G32" s="757">
        <v>517087.15899999999</v>
      </c>
      <c r="H32" s="757">
        <v>3595407.5410000002</v>
      </c>
      <c r="I32" s="892"/>
      <c r="J32" s="888">
        <f>J30+1</f>
        <v>14</v>
      </c>
      <c r="K32" s="757" t="s">
        <v>1632</v>
      </c>
      <c r="L32" s="757" t="s">
        <v>249</v>
      </c>
      <c r="M32" s="757">
        <v>0</v>
      </c>
      <c r="N32" s="757">
        <v>0</v>
      </c>
      <c r="O32" s="757">
        <v>0</v>
      </c>
      <c r="P32" s="757">
        <v>0</v>
      </c>
      <c r="Q32" s="757">
        <v>0</v>
      </c>
      <c r="R32" s="757">
        <v>0</v>
      </c>
      <c r="S32" s="757">
        <v>0</v>
      </c>
      <c r="T32" s="757">
        <v>0</v>
      </c>
      <c r="U32" s="759"/>
      <c r="V32" s="757"/>
      <c r="W32" s="757">
        <v>327.06299999999999</v>
      </c>
      <c r="X32" s="757"/>
      <c r="Y32" s="757">
        <v>517087.15899999999</v>
      </c>
      <c r="Z32" s="757">
        <v>3595407.5410000002</v>
      </c>
      <c r="AA32" s="817"/>
    </row>
    <row r="33" spans="1:27" s="786" customFormat="1" ht="12" customHeight="1">
      <c r="A33" s="820"/>
      <c r="B33" s="757"/>
      <c r="C33" s="757"/>
      <c r="D33" s="757">
        <v>427.96</v>
      </c>
      <c r="E33" s="757"/>
      <c r="F33" s="757"/>
      <c r="G33" s="757"/>
      <c r="H33" s="757"/>
      <c r="I33" s="892"/>
      <c r="J33" s="820"/>
      <c r="K33" s="757"/>
      <c r="L33" s="757"/>
      <c r="M33" s="757"/>
      <c r="N33" s="757"/>
      <c r="O33" s="757"/>
      <c r="P33" s="757"/>
      <c r="Q33" s="757"/>
      <c r="R33" s="757"/>
      <c r="S33" s="757"/>
      <c r="T33" s="757"/>
      <c r="U33" s="759">
        <v>427.96</v>
      </c>
      <c r="V33" s="757"/>
      <c r="W33" s="757"/>
      <c r="X33" s="757"/>
      <c r="Y33" s="757"/>
      <c r="Z33" s="757"/>
      <c r="AA33" s="817"/>
    </row>
    <row r="34" spans="1:27" s="786" customFormat="1" ht="12" customHeight="1">
      <c r="A34" s="888">
        <f>A32+1</f>
        <v>15</v>
      </c>
      <c r="B34" s="757" t="s">
        <v>2431</v>
      </c>
      <c r="C34" s="757" t="s">
        <v>1402</v>
      </c>
      <c r="D34" s="757"/>
      <c r="E34" s="757">
        <f>D27+D29+D31+D33</f>
        <v>1673.4380000000001</v>
      </c>
      <c r="F34" s="757" t="s">
        <v>2432</v>
      </c>
      <c r="G34" s="757">
        <v>517233.304</v>
      </c>
      <c r="H34" s="757">
        <v>3595005.3080000002</v>
      </c>
      <c r="I34" s="892"/>
      <c r="J34" s="888">
        <f>J32+1</f>
        <v>15</v>
      </c>
      <c r="K34" s="757" t="s">
        <v>2431</v>
      </c>
      <c r="L34" s="757" t="s">
        <v>1277</v>
      </c>
      <c r="M34" s="757">
        <v>0</v>
      </c>
      <c r="N34" s="757">
        <v>0</v>
      </c>
      <c r="O34" s="757">
        <v>0</v>
      </c>
      <c r="P34" s="757">
        <v>0</v>
      </c>
      <c r="Q34" s="757">
        <v>0</v>
      </c>
      <c r="R34" s="757">
        <v>0</v>
      </c>
      <c r="S34" s="757">
        <v>0</v>
      </c>
      <c r="T34" s="757">
        <v>0</v>
      </c>
      <c r="U34" s="759"/>
      <c r="V34" s="757">
        <f>U27+U29+U31+U33</f>
        <v>1673.4390000000001</v>
      </c>
      <c r="W34" s="757">
        <v>320.40600000000001</v>
      </c>
      <c r="X34" s="757" t="s">
        <v>2432</v>
      </c>
      <c r="Y34" s="757">
        <v>517233.304</v>
      </c>
      <c r="Z34" s="757">
        <v>3595005.3080000002</v>
      </c>
      <c r="AA34" s="817"/>
    </row>
    <row r="35" spans="1:27" s="786" customFormat="1" ht="12" customHeight="1">
      <c r="A35" s="820"/>
      <c r="B35" s="757"/>
      <c r="C35" s="757"/>
      <c r="D35" s="757">
        <v>285.94799999999998</v>
      </c>
      <c r="E35" s="757"/>
      <c r="F35" s="757"/>
      <c r="G35" s="757"/>
      <c r="H35" s="757"/>
      <c r="I35" s="892"/>
      <c r="J35" s="820"/>
      <c r="K35" s="757"/>
      <c r="L35" s="757"/>
      <c r="M35" s="757"/>
      <c r="N35" s="757"/>
      <c r="O35" s="757"/>
      <c r="P35" s="757"/>
      <c r="Q35" s="757"/>
      <c r="R35" s="757"/>
      <c r="S35" s="757"/>
      <c r="T35" s="757"/>
      <c r="U35" s="759">
        <v>285.94799999999998</v>
      </c>
      <c r="V35" s="757"/>
      <c r="W35" s="757"/>
      <c r="X35" s="757"/>
      <c r="Y35" s="757"/>
      <c r="Z35" s="757"/>
      <c r="AA35" s="817" t="s">
        <v>2433</v>
      </c>
    </row>
    <row r="36" spans="1:27" s="786" customFormat="1" ht="12" customHeight="1">
      <c r="A36" s="888">
        <f>A34+1</f>
        <v>16</v>
      </c>
      <c r="B36" s="757" t="s">
        <v>2434</v>
      </c>
      <c r="C36" s="757" t="s">
        <v>1361</v>
      </c>
      <c r="D36" s="757"/>
      <c r="E36" s="757">
        <f>D35</f>
        <v>285.94799999999998</v>
      </c>
      <c r="F36" s="757" t="s">
        <v>2435</v>
      </c>
      <c r="G36" s="757">
        <v>517425.65</v>
      </c>
      <c r="H36" s="757">
        <v>3594793.72</v>
      </c>
      <c r="I36" s="892"/>
      <c r="J36" s="888">
        <f>J34+1</f>
        <v>16</v>
      </c>
      <c r="K36" s="757" t="s">
        <v>2434</v>
      </c>
      <c r="L36" s="757" t="s">
        <v>1361</v>
      </c>
      <c r="M36" s="757">
        <v>0</v>
      </c>
      <c r="N36" s="757">
        <v>0</v>
      </c>
      <c r="O36" s="757">
        <v>0</v>
      </c>
      <c r="P36" s="757">
        <v>0</v>
      </c>
      <c r="Q36" s="757">
        <v>0</v>
      </c>
      <c r="R36" s="757">
        <v>0</v>
      </c>
      <c r="S36" s="757">
        <v>0</v>
      </c>
      <c r="T36" s="757">
        <v>0</v>
      </c>
      <c r="U36" s="759"/>
      <c r="V36" s="757">
        <f>U35</f>
        <v>285.94799999999998</v>
      </c>
      <c r="W36" s="757">
        <v>317.23200000000003</v>
      </c>
      <c r="X36" s="757" t="s">
        <v>2435</v>
      </c>
      <c r="Y36" s="757">
        <v>517425.65</v>
      </c>
      <c r="Z36" s="757">
        <v>3594793.72</v>
      </c>
      <c r="AA36" s="817" t="s">
        <v>2436</v>
      </c>
    </row>
    <row r="37" spans="1:27" s="786" customFormat="1" ht="12" customHeight="1">
      <c r="A37" s="820"/>
      <c r="B37" s="757"/>
      <c r="C37" s="757"/>
      <c r="D37" s="757">
        <v>401.15899999999999</v>
      </c>
      <c r="E37" s="757"/>
      <c r="F37" s="757"/>
      <c r="G37" s="757"/>
      <c r="H37" s="757"/>
      <c r="I37" s="892"/>
      <c r="J37" s="820"/>
      <c r="K37" s="757"/>
      <c r="L37" s="757"/>
      <c r="M37" s="757"/>
      <c r="N37" s="757"/>
      <c r="O37" s="757"/>
      <c r="P37" s="757"/>
      <c r="Q37" s="757"/>
      <c r="R37" s="757"/>
      <c r="S37" s="757"/>
      <c r="T37" s="757"/>
      <c r="U37" s="759">
        <v>401.15899999999999</v>
      </c>
      <c r="V37" s="757"/>
      <c r="W37" s="757"/>
      <c r="X37" s="757"/>
      <c r="Y37" s="757"/>
      <c r="Z37" s="757"/>
      <c r="AA37" s="819" t="s">
        <v>2437</v>
      </c>
    </row>
    <row r="38" spans="1:27" s="786" customFormat="1" ht="12" customHeight="1">
      <c r="A38" s="888">
        <f>A36+1</f>
        <v>17</v>
      </c>
      <c r="B38" s="757" t="s">
        <v>2438</v>
      </c>
      <c r="C38" s="757" t="s">
        <v>1361</v>
      </c>
      <c r="D38" s="757"/>
      <c r="E38" s="757">
        <f>D37</f>
        <v>401.15899999999999</v>
      </c>
      <c r="F38" s="757" t="s">
        <v>2439</v>
      </c>
      <c r="G38" s="757">
        <v>517777.57199999999</v>
      </c>
      <c r="H38" s="757">
        <v>3594601.159</v>
      </c>
      <c r="I38" s="892"/>
      <c r="J38" s="888">
        <f>J36+1</f>
        <v>17</v>
      </c>
      <c r="K38" s="757" t="s">
        <v>2438</v>
      </c>
      <c r="L38" s="757" t="s">
        <v>1277</v>
      </c>
      <c r="M38" s="757">
        <v>0</v>
      </c>
      <c r="N38" s="757">
        <v>0</v>
      </c>
      <c r="O38" s="757">
        <v>0</v>
      </c>
      <c r="P38" s="757">
        <v>0</v>
      </c>
      <c r="Q38" s="757">
        <v>0</v>
      </c>
      <c r="R38" s="757">
        <v>0</v>
      </c>
      <c r="S38" s="757">
        <v>0</v>
      </c>
      <c r="T38" s="757">
        <v>0</v>
      </c>
      <c r="U38" s="759"/>
      <c r="V38" s="757">
        <f>U37</f>
        <v>401.15899999999999</v>
      </c>
      <c r="W38" s="757">
        <v>315.04599999999999</v>
      </c>
      <c r="X38" s="757" t="s">
        <v>2439</v>
      </c>
      <c r="Y38" s="757">
        <v>517777.57199999999</v>
      </c>
      <c r="Z38" s="757">
        <v>3594601.159</v>
      </c>
      <c r="AA38" s="817"/>
    </row>
    <row r="39" spans="1:27" s="786" customFormat="1" ht="12" customHeight="1">
      <c r="A39" s="820"/>
      <c r="B39" s="757"/>
      <c r="C39" s="757"/>
      <c r="D39" s="757">
        <v>345</v>
      </c>
      <c r="E39" s="757"/>
      <c r="F39" s="757"/>
      <c r="G39" s="757"/>
      <c r="H39" s="757"/>
      <c r="I39" s="892"/>
      <c r="J39" s="820"/>
      <c r="K39" s="757"/>
      <c r="L39" s="757"/>
      <c r="M39" s="757"/>
      <c r="N39" s="757"/>
      <c r="O39" s="757"/>
      <c r="P39" s="757"/>
      <c r="Q39" s="757"/>
      <c r="R39" s="757"/>
      <c r="S39" s="757"/>
      <c r="T39" s="757"/>
      <c r="U39" s="759">
        <v>345</v>
      </c>
      <c r="V39" s="757"/>
      <c r="W39" s="757"/>
      <c r="X39" s="757"/>
      <c r="Y39" s="757"/>
      <c r="Z39" s="757"/>
      <c r="AA39" s="817" t="s">
        <v>2170</v>
      </c>
    </row>
    <row r="40" spans="1:27" s="786" customFormat="1" ht="12" customHeight="1">
      <c r="A40" s="888">
        <f>A38+1</f>
        <v>18</v>
      </c>
      <c r="B40" s="757" t="s">
        <v>1635</v>
      </c>
      <c r="C40" s="757" t="s">
        <v>76</v>
      </c>
      <c r="D40" s="757"/>
      <c r="E40" s="757"/>
      <c r="F40" s="757"/>
      <c r="G40" s="757">
        <v>517986.277</v>
      </c>
      <c r="H40" s="757">
        <v>3594326.446</v>
      </c>
      <c r="I40" s="892"/>
      <c r="J40" s="888">
        <f>J38+1</f>
        <v>18</v>
      </c>
      <c r="K40" s="757" t="s">
        <v>1635</v>
      </c>
      <c r="L40" s="757" t="s">
        <v>76</v>
      </c>
      <c r="M40" s="757">
        <v>0</v>
      </c>
      <c r="N40" s="757">
        <v>0</v>
      </c>
      <c r="O40" s="757">
        <v>0</v>
      </c>
      <c r="P40" s="757">
        <v>0</v>
      </c>
      <c r="Q40" s="757">
        <v>0</v>
      </c>
      <c r="R40" s="757">
        <v>0</v>
      </c>
      <c r="S40" s="757">
        <v>0</v>
      </c>
      <c r="T40" s="757">
        <v>0</v>
      </c>
      <c r="U40" s="759"/>
      <c r="V40" s="757"/>
      <c r="W40" s="757">
        <v>316.21699999999998</v>
      </c>
      <c r="X40" s="757"/>
      <c r="Y40" s="757">
        <v>517986.277</v>
      </c>
      <c r="Z40" s="757">
        <v>3594326.446</v>
      </c>
      <c r="AA40" s="817"/>
    </row>
    <row r="41" spans="1:27" s="786" customFormat="1" ht="12" customHeight="1">
      <c r="A41" s="820"/>
      <c r="B41" s="757"/>
      <c r="C41" s="757"/>
      <c r="D41" s="757">
        <v>360</v>
      </c>
      <c r="E41" s="757"/>
      <c r="F41" s="757"/>
      <c r="G41" s="757"/>
      <c r="H41" s="757"/>
      <c r="I41" s="892"/>
      <c r="J41" s="820"/>
      <c r="K41" s="757"/>
      <c r="L41" s="757"/>
      <c r="M41" s="757"/>
      <c r="N41" s="757"/>
      <c r="O41" s="757"/>
      <c r="P41" s="757"/>
      <c r="Q41" s="757"/>
      <c r="R41" s="757"/>
      <c r="S41" s="757"/>
      <c r="T41" s="757"/>
      <c r="U41" s="759">
        <v>360.00099999999998</v>
      </c>
      <c r="V41" s="757"/>
      <c r="W41" s="757"/>
      <c r="X41" s="757"/>
      <c r="Y41" s="757"/>
      <c r="Z41" s="757"/>
      <c r="AA41" s="817"/>
    </row>
    <row r="42" spans="1:27" s="786" customFormat="1" ht="12" customHeight="1">
      <c r="A42" s="888">
        <f>A40+1</f>
        <v>19</v>
      </c>
      <c r="B42" s="757" t="s">
        <v>1636</v>
      </c>
      <c r="C42" s="757" t="s">
        <v>76</v>
      </c>
      <c r="D42" s="757"/>
      <c r="E42" s="757"/>
      <c r="F42" s="757"/>
      <c r="G42" s="757">
        <v>518204.05699999997</v>
      </c>
      <c r="H42" s="757">
        <v>3594039.7889999999</v>
      </c>
      <c r="I42" s="892"/>
      <c r="J42" s="888">
        <f>J40+1</f>
        <v>19</v>
      </c>
      <c r="K42" s="757" t="s">
        <v>1636</v>
      </c>
      <c r="L42" s="757" t="s">
        <v>76</v>
      </c>
      <c r="M42" s="757">
        <v>0</v>
      </c>
      <c r="N42" s="757">
        <v>0</v>
      </c>
      <c r="O42" s="757">
        <v>0</v>
      </c>
      <c r="P42" s="757">
        <v>0</v>
      </c>
      <c r="Q42" s="757">
        <v>0</v>
      </c>
      <c r="R42" s="757">
        <v>0</v>
      </c>
      <c r="S42" s="757">
        <v>0</v>
      </c>
      <c r="T42" s="757">
        <v>0</v>
      </c>
      <c r="U42" s="759"/>
      <c r="V42" s="757"/>
      <c r="W42" s="757">
        <v>317.21499999999997</v>
      </c>
      <c r="X42" s="757"/>
      <c r="Y42" s="757">
        <v>518204.05699999997</v>
      </c>
      <c r="Z42" s="757">
        <v>3594039.7889999999</v>
      </c>
      <c r="AA42" s="817"/>
    </row>
    <row r="43" spans="1:27" s="786" customFormat="1" ht="12" customHeight="1">
      <c r="A43" s="820"/>
      <c r="B43" s="757"/>
      <c r="C43" s="757"/>
      <c r="D43" s="757">
        <v>350.21699999999998</v>
      </c>
      <c r="E43" s="757"/>
      <c r="F43" s="757"/>
      <c r="G43" s="757"/>
      <c r="H43" s="757"/>
      <c r="I43" s="892"/>
      <c r="J43" s="820"/>
      <c r="K43" s="757"/>
      <c r="L43" s="757"/>
      <c r="M43" s="757"/>
      <c r="N43" s="757"/>
      <c r="O43" s="757"/>
      <c r="P43" s="757"/>
      <c r="Q43" s="757"/>
      <c r="R43" s="757"/>
      <c r="S43" s="757"/>
      <c r="T43" s="757"/>
      <c r="U43" s="759">
        <v>350.21699999999998</v>
      </c>
      <c r="V43" s="757"/>
      <c r="W43" s="757"/>
      <c r="X43" s="757"/>
      <c r="Y43" s="757"/>
      <c r="Z43" s="757"/>
      <c r="AA43" s="817" t="s">
        <v>2429</v>
      </c>
    </row>
    <row r="44" spans="1:27" s="786" customFormat="1" ht="12" customHeight="1">
      <c r="A44" s="888">
        <f>A42+1</f>
        <v>20</v>
      </c>
      <c r="B44" s="757" t="s">
        <v>2440</v>
      </c>
      <c r="C44" s="757" t="s">
        <v>1277</v>
      </c>
      <c r="D44" s="757"/>
      <c r="E44" s="757">
        <f>D39+D41+D43</f>
        <v>1055.2170000000001</v>
      </c>
      <c r="F44" s="757" t="s">
        <v>2441</v>
      </c>
      <c r="G44" s="757">
        <v>518415.91800000001</v>
      </c>
      <c r="H44" s="757">
        <v>3593760.9219999998</v>
      </c>
      <c r="I44" s="892"/>
      <c r="J44" s="888">
        <f>J42+1</f>
        <v>20</v>
      </c>
      <c r="K44" s="757" t="s">
        <v>2440</v>
      </c>
      <c r="L44" s="757" t="s">
        <v>1277</v>
      </c>
      <c r="M44" s="757">
        <v>0</v>
      </c>
      <c r="N44" s="757">
        <v>0</v>
      </c>
      <c r="O44" s="757">
        <v>0</v>
      </c>
      <c r="P44" s="757">
        <v>0</v>
      </c>
      <c r="Q44" s="757">
        <v>0</v>
      </c>
      <c r="R44" s="757">
        <v>0</v>
      </c>
      <c r="S44" s="757">
        <v>0</v>
      </c>
      <c r="T44" s="757">
        <v>0</v>
      </c>
      <c r="U44" s="759"/>
      <c r="V44" s="757">
        <f>U39+U41+U43</f>
        <v>1055.2179999999998</v>
      </c>
      <c r="W44" s="757">
        <v>317.08</v>
      </c>
      <c r="X44" s="757" t="s">
        <v>2441</v>
      </c>
      <c r="Y44" s="757">
        <v>518415.91800000001</v>
      </c>
      <c r="Z44" s="757">
        <v>3593760.9219999998</v>
      </c>
      <c r="AA44" s="817"/>
    </row>
    <row r="45" spans="1:27" s="786" customFormat="1" ht="12" customHeight="1">
      <c r="A45" s="820"/>
      <c r="B45" s="757"/>
      <c r="C45" s="757"/>
      <c r="D45" s="757">
        <v>370</v>
      </c>
      <c r="E45" s="757"/>
      <c r="F45" s="757"/>
      <c r="G45" s="757"/>
      <c r="H45" s="757"/>
      <c r="I45" s="892"/>
      <c r="J45" s="820"/>
      <c r="K45" s="757"/>
      <c r="L45" s="757"/>
      <c r="M45" s="757"/>
      <c r="N45" s="757"/>
      <c r="O45" s="757"/>
      <c r="P45" s="757"/>
      <c r="Q45" s="757"/>
      <c r="R45" s="757"/>
      <c r="S45" s="757"/>
      <c r="T45" s="757"/>
      <c r="U45" s="759">
        <v>369.99900000000002</v>
      </c>
      <c r="V45" s="757"/>
      <c r="W45" s="757"/>
      <c r="X45" s="757"/>
      <c r="Y45" s="757"/>
      <c r="Z45" s="757"/>
      <c r="AA45" s="817" t="s">
        <v>2442</v>
      </c>
    </row>
    <row r="46" spans="1:27" s="786" customFormat="1" ht="12" customHeight="1">
      <c r="A46" s="888">
        <f>A44+1</f>
        <v>21</v>
      </c>
      <c r="B46" s="757" t="s">
        <v>1637</v>
      </c>
      <c r="C46" s="757" t="s">
        <v>76</v>
      </c>
      <c r="D46" s="757"/>
      <c r="E46" s="757"/>
      <c r="F46" s="757"/>
      <c r="G46" s="757">
        <v>518741.12199999997</v>
      </c>
      <c r="H46" s="757">
        <v>3593584.4509999999</v>
      </c>
      <c r="I46" s="892"/>
      <c r="J46" s="888">
        <f>J44+1</f>
        <v>21</v>
      </c>
      <c r="K46" s="757" t="s">
        <v>1637</v>
      </c>
      <c r="L46" s="757" t="s">
        <v>76</v>
      </c>
      <c r="M46" s="757">
        <v>0</v>
      </c>
      <c r="N46" s="757">
        <v>0</v>
      </c>
      <c r="O46" s="757">
        <v>0</v>
      </c>
      <c r="P46" s="757">
        <v>0</v>
      </c>
      <c r="Q46" s="757">
        <v>0</v>
      </c>
      <c r="R46" s="757">
        <v>0</v>
      </c>
      <c r="S46" s="757">
        <v>0</v>
      </c>
      <c r="T46" s="757">
        <v>0</v>
      </c>
      <c r="U46" s="759"/>
      <c r="V46" s="757"/>
      <c r="W46" s="757">
        <v>318.75299999999999</v>
      </c>
      <c r="X46" s="757"/>
      <c r="Y46" s="757">
        <v>518741.12199999997</v>
      </c>
      <c r="Z46" s="757">
        <v>3593584.4509999999</v>
      </c>
      <c r="AA46" s="817"/>
    </row>
    <row r="47" spans="1:27" s="786" customFormat="1" ht="12" customHeight="1">
      <c r="A47" s="820"/>
      <c r="B47" s="757"/>
      <c r="C47" s="757"/>
      <c r="D47" s="757">
        <v>360</v>
      </c>
      <c r="E47" s="757"/>
      <c r="F47" s="757"/>
      <c r="G47" s="757"/>
      <c r="H47" s="757"/>
      <c r="I47" s="892"/>
      <c r="J47" s="820"/>
      <c r="K47" s="757"/>
      <c r="L47" s="757"/>
      <c r="M47" s="757"/>
      <c r="N47" s="757"/>
      <c r="O47" s="757"/>
      <c r="P47" s="757"/>
      <c r="Q47" s="757"/>
      <c r="R47" s="757"/>
      <c r="S47" s="757"/>
      <c r="T47" s="757"/>
      <c r="U47" s="759">
        <v>360</v>
      </c>
      <c r="V47" s="757"/>
      <c r="W47" s="757"/>
      <c r="X47" s="757"/>
      <c r="Y47" s="757"/>
      <c r="Z47" s="757"/>
      <c r="AA47" s="817" t="s">
        <v>2443</v>
      </c>
    </row>
    <row r="48" spans="1:27" s="786" customFormat="1" ht="12" customHeight="1">
      <c r="A48" s="888">
        <f>A46+1</f>
        <v>22</v>
      </c>
      <c r="B48" s="757" t="s">
        <v>1638</v>
      </c>
      <c r="C48" s="757" t="s">
        <v>76</v>
      </c>
      <c r="D48" s="757"/>
      <c r="E48" s="757"/>
      <c r="F48" s="757"/>
      <c r="G48" s="757">
        <v>519057.53700000001</v>
      </c>
      <c r="H48" s="757">
        <v>3593412.7489999998</v>
      </c>
      <c r="I48" s="892"/>
      <c r="J48" s="888">
        <f>J46+1</f>
        <v>22</v>
      </c>
      <c r="K48" s="757" t="s">
        <v>1638</v>
      </c>
      <c r="L48" s="757" t="s">
        <v>76</v>
      </c>
      <c r="M48" s="757">
        <v>0</v>
      </c>
      <c r="N48" s="757">
        <v>0</v>
      </c>
      <c r="O48" s="757">
        <v>0</v>
      </c>
      <c r="P48" s="757">
        <v>0</v>
      </c>
      <c r="Q48" s="757">
        <v>0</v>
      </c>
      <c r="R48" s="757">
        <v>0</v>
      </c>
      <c r="S48" s="757">
        <v>0</v>
      </c>
      <c r="T48" s="757">
        <v>0</v>
      </c>
      <c r="U48" s="759"/>
      <c r="V48" s="757"/>
      <c r="W48" s="757">
        <v>318.952</v>
      </c>
      <c r="X48" s="757"/>
      <c r="Y48" s="757">
        <v>519057.53700000001</v>
      </c>
      <c r="Z48" s="757">
        <v>3593412.7489999998</v>
      </c>
      <c r="AA48" s="817"/>
    </row>
    <row r="49" spans="1:27" s="786" customFormat="1" ht="12" customHeight="1">
      <c r="A49" s="820"/>
      <c r="B49" s="757"/>
      <c r="C49" s="757"/>
      <c r="D49" s="757">
        <v>358.74700000000001</v>
      </c>
      <c r="E49" s="757"/>
      <c r="F49" s="757"/>
      <c r="G49" s="757"/>
      <c r="H49" s="757"/>
      <c r="I49" s="892"/>
      <c r="J49" s="820"/>
      <c r="K49" s="757"/>
      <c r="L49" s="757"/>
      <c r="M49" s="757"/>
      <c r="N49" s="757"/>
      <c r="O49" s="757"/>
      <c r="P49" s="757"/>
      <c r="Q49" s="757"/>
      <c r="R49" s="757"/>
      <c r="S49" s="757"/>
      <c r="T49" s="757"/>
      <c r="U49" s="759">
        <v>358.74799999999999</v>
      </c>
      <c r="V49" s="757"/>
      <c r="W49" s="757"/>
      <c r="X49" s="757"/>
      <c r="Y49" s="757"/>
      <c r="Z49" s="757"/>
      <c r="AA49" s="817" t="s">
        <v>2430</v>
      </c>
    </row>
    <row r="50" spans="1:27">
      <c r="A50" s="888">
        <f>A48+1</f>
        <v>23</v>
      </c>
      <c r="B50" s="55" t="s">
        <v>1639</v>
      </c>
      <c r="C50" s="757" t="s">
        <v>1934</v>
      </c>
      <c r="D50" s="758"/>
      <c r="E50" s="758">
        <v>0</v>
      </c>
      <c r="F50" s="55"/>
      <c r="G50" s="759">
        <v>519372.85100000002</v>
      </c>
      <c r="H50" s="759" t="s">
        <v>2848</v>
      </c>
      <c r="I50" s="892"/>
      <c r="J50" s="888">
        <f>J48+1</f>
        <v>23</v>
      </c>
      <c r="K50" s="55" t="s">
        <v>1639</v>
      </c>
      <c r="L50" s="757" t="s">
        <v>1934</v>
      </c>
      <c r="M50" s="757" t="s">
        <v>2828</v>
      </c>
      <c r="N50" s="757">
        <v>1.5</v>
      </c>
      <c r="O50" s="757">
        <v>1.5</v>
      </c>
      <c r="P50" s="757">
        <v>1.5</v>
      </c>
      <c r="Q50" s="757"/>
      <c r="R50" s="757"/>
      <c r="S50" s="757"/>
      <c r="T50" s="757"/>
      <c r="U50" s="760"/>
      <c r="V50" s="760">
        <v>0</v>
      </c>
      <c r="W50" s="758">
        <v>320.649</v>
      </c>
      <c r="X50" s="55"/>
      <c r="Y50" s="760">
        <v>519372.85100000002</v>
      </c>
      <c r="Z50" s="760">
        <v>3593241.6439999999</v>
      </c>
      <c r="AA50" s="766"/>
    </row>
    <row r="51" spans="1:27">
      <c r="A51" s="893"/>
      <c r="B51" s="55"/>
      <c r="C51" s="55"/>
      <c r="D51" s="761">
        <v>485.93</v>
      </c>
      <c r="E51" s="758"/>
      <c r="F51" s="55"/>
      <c r="G51" s="760"/>
      <c r="H51" s="760"/>
      <c r="I51" s="892"/>
      <c r="J51" s="894"/>
      <c r="K51" s="55"/>
      <c r="L51" s="55"/>
      <c r="M51" s="55"/>
      <c r="N51" s="55"/>
      <c r="O51" s="55"/>
      <c r="P51" s="55"/>
      <c r="Q51" s="55"/>
      <c r="R51" s="55"/>
      <c r="S51" s="55"/>
      <c r="T51" s="55"/>
      <c r="U51" s="762">
        <v>485.93</v>
      </c>
      <c r="V51" s="760"/>
      <c r="W51" s="758"/>
      <c r="X51" s="55"/>
      <c r="Y51" s="760"/>
      <c r="Z51" s="760"/>
      <c r="AA51" s="767" t="s">
        <v>2114</v>
      </c>
    </row>
    <row r="52" spans="1:27">
      <c r="A52" s="893">
        <f>A50+1</f>
        <v>24</v>
      </c>
      <c r="B52" s="55" t="s">
        <v>1640</v>
      </c>
      <c r="C52" s="757" t="s">
        <v>1935</v>
      </c>
      <c r="D52" s="758"/>
      <c r="E52" s="758">
        <f>D51</f>
        <v>485.93</v>
      </c>
      <c r="F52" s="55" t="s">
        <v>1936</v>
      </c>
      <c r="G52" s="760">
        <v>519776.09700000001</v>
      </c>
      <c r="H52" s="760">
        <v>3592970.4980000001</v>
      </c>
      <c r="I52" s="892"/>
      <c r="J52" s="893">
        <f>J50+1</f>
        <v>24</v>
      </c>
      <c r="K52" s="55" t="s">
        <v>1640</v>
      </c>
      <c r="L52" s="757" t="s">
        <v>1935</v>
      </c>
      <c r="M52" s="757">
        <v>1.5</v>
      </c>
      <c r="N52" s="757">
        <v>1.5</v>
      </c>
      <c r="O52" s="757">
        <v>1.5</v>
      </c>
      <c r="P52" s="757">
        <v>1.5</v>
      </c>
      <c r="Q52" s="757"/>
      <c r="R52" s="757"/>
      <c r="S52" s="757"/>
      <c r="T52" s="757"/>
      <c r="U52" s="760"/>
      <c r="V52" s="760">
        <f>U51</f>
        <v>485.93</v>
      </c>
      <c r="W52" s="758">
        <v>319.74</v>
      </c>
      <c r="X52" s="55" t="s">
        <v>1937</v>
      </c>
      <c r="Y52" s="760">
        <v>519776.09700000001</v>
      </c>
      <c r="Z52" s="760">
        <v>3592970.4980000001</v>
      </c>
      <c r="AA52" s="768"/>
    </row>
    <row r="53" spans="1:27">
      <c r="A53" s="893"/>
      <c r="B53" s="55"/>
      <c r="C53" s="55"/>
      <c r="D53" s="761">
        <v>325</v>
      </c>
      <c r="E53" s="758"/>
      <c r="F53" s="55"/>
      <c r="G53" s="760"/>
      <c r="H53" s="760"/>
      <c r="I53" s="892"/>
      <c r="J53" s="895"/>
      <c r="K53" s="55"/>
      <c r="L53" s="55"/>
      <c r="M53" s="55"/>
      <c r="N53" s="55"/>
      <c r="O53" s="55"/>
      <c r="P53" s="55"/>
      <c r="Q53" s="55"/>
      <c r="R53" s="55"/>
      <c r="S53" s="55"/>
      <c r="T53" s="55"/>
      <c r="U53" s="762">
        <v>325</v>
      </c>
      <c r="V53" s="760"/>
      <c r="W53" s="758"/>
      <c r="X53" s="55"/>
      <c r="Y53" s="760"/>
      <c r="Z53" s="760"/>
      <c r="AA53" s="768" t="s">
        <v>2115</v>
      </c>
    </row>
    <row r="54" spans="1:27">
      <c r="A54" s="893">
        <f>A52+1</f>
        <v>25</v>
      </c>
      <c r="B54" s="55" t="s">
        <v>1641</v>
      </c>
      <c r="C54" s="757" t="s">
        <v>76</v>
      </c>
      <c r="D54" s="758"/>
      <c r="E54" s="758"/>
      <c r="F54" s="55" t="s">
        <v>1938</v>
      </c>
      <c r="G54" s="760">
        <v>519869.95600000001</v>
      </c>
      <c r="H54" s="760">
        <v>3592659.3459999999</v>
      </c>
      <c r="I54" s="892"/>
      <c r="J54" s="893">
        <f>J52+1</f>
        <v>25</v>
      </c>
      <c r="K54" s="55" t="s">
        <v>1641</v>
      </c>
      <c r="L54" s="757" t="s">
        <v>76</v>
      </c>
      <c r="M54" s="757">
        <v>0</v>
      </c>
      <c r="N54" s="757">
        <v>0</v>
      </c>
      <c r="O54" s="757">
        <v>0</v>
      </c>
      <c r="P54" s="757">
        <v>0</v>
      </c>
      <c r="Q54" s="757"/>
      <c r="R54" s="757"/>
      <c r="S54" s="757"/>
      <c r="T54" s="757"/>
      <c r="U54" s="762"/>
      <c r="V54" s="760"/>
      <c r="W54" s="758">
        <v>316.858</v>
      </c>
      <c r="X54" s="55" t="s">
        <v>1938</v>
      </c>
      <c r="Y54" s="760">
        <v>519869.95600000001</v>
      </c>
      <c r="Z54" s="760">
        <v>3592659.3459999999</v>
      </c>
      <c r="AA54" s="769" t="s">
        <v>1939</v>
      </c>
    </row>
    <row r="55" spans="1:27">
      <c r="A55" s="893"/>
      <c r="B55" s="55"/>
      <c r="C55" s="55"/>
      <c r="D55" s="761">
        <v>387.33699999999999</v>
      </c>
      <c r="E55" s="758"/>
      <c r="F55" s="55"/>
      <c r="G55" s="760"/>
      <c r="H55" s="760"/>
      <c r="I55" s="892"/>
      <c r="J55" s="895"/>
      <c r="K55" s="55"/>
      <c r="L55" s="55"/>
      <c r="M55" s="55"/>
      <c r="N55" s="55"/>
      <c r="O55" s="55"/>
      <c r="P55" s="55"/>
      <c r="Q55" s="55"/>
      <c r="R55" s="55"/>
      <c r="S55" s="55"/>
      <c r="T55" s="55"/>
      <c r="U55" s="762">
        <v>387.33699999999999</v>
      </c>
      <c r="V55" s="760"/>
      <c r="W55" s="758"/>
      <c r="X55" s="55"/>
      <c r="Y55" s="760"/>
      <c r="Z55" s="760"/>
      <c r="AA55" s="768" t="s">
        <v>2116</v>
      </c>
    </row>
    <row r="56" spans="1:27">
      <c r="A56" s="893">
        <f>A54+1</f>
        <v>26</v>
      </c>
      <c r="B56" s="55" t="s">
        <v>1642</v>
      </c>
      <c r="C56" s="757" t="s">
        <v>1361</v>
      </c>
      <c r="D56" s="758"/>
      <c r="E56" s="758">
        <f>D53+D55</f>
        <v>712.33699999999999</v>
      </c>
      <c r="F56" s="55" t="s">
        <v>1940</v>
      </c>
      <c r="G56" s="760">
        <v>519981.81599999999</v>
      </c>
      <c r="H56" s="760">
        <v>3592288.5120000001</v>
      </c>
      <c r="I56" s="892"/>
      <c r="J56" s="893">
        <f>J54+1</f>
        <v>26</v>
      </c>
      <c r="K56" s="55" t="s">
        <v>1642</v>
      </c>
      <c r="L56" s="757" t="s">
        <v>1361</v>
      </c>
      <c r="M56" s="757">
        <v>0</v>
      </c>
      <c r="N56" s="757">
        <v>0</v>
      </c>
      <c r="O56" s="757">
        <v>0</v>
      </c>
      <c r="P56" s="757">
        <v>0</v>
      </c>
      <c r="Q56" s="757"/>
      <c r="R56" s="757"/>
      <c r="S56" s="757"/>
      <c r="T56" s="757"/>
      <c r="U56" s="762"/>
      <c r="V56" s="760">
        <f>U53+U55</f>
        <v>712.33699999999999</v>
      </c>
      <c r="W56" s="758">
        <v>312.93</v>
      </c>
      <c r="X56" s="55" t="s">
        <v>1940</v>
      </c>
      <c r="Y56" s="760">
        <v>519981.81599999999</v>
      </c>
      <c r="Z56" s="760">
        <v>3592288.5120000001</v>
      </c>
      <c r="AA56" s="768"/>
    </row>
    <row r="57" spans="1:27">
      <c r="A57" s="893"/>
      <c r="B57" s="55"/>
      <c r="C57" s="55"/>
      <c r="D57" s="761">
        <v>390</v>
      </c>
      <c r="E57" s="758"/>
      <c r="F57" s="55"/>
      <c r="G57" s="760"/>
      <c r="H57" s="760"/>
      <c r="I57" s="892"/>
      <c r="J57" s="895"/>
      <c r="K57" s="55"/>
      <c r="L57" s="55"/>
      <c r="M57" s="55"/>
      <c r="N57" s="55"/>
      <c r="O57" s="55"/>
      <c r="P57" s="55"/>
      <c r="Q57" s="55"/>
      <c r="R57" s="55"/>
      <c r="S57" s="55"/>
      <c r="T57" s="55"/>
      <c r="U57" s="762">
        <v>390</v>
      </c>
      <c r="V57" s="760"/>
      <c r="W57" s="758"/>
      <c r="X57" s="55"/>
      <c r="Y57" s="760"/>
      <c r="Z57" s="760"/>
      <c r="AA57" s="768" t="s">
        <v>2117</v>
      </c>
    </row>
    <row r="58" spans="1:27">
      <c r="A58" s="893">
        <f>A56+1</f>
        <v>27</v>
      </c>
      <c r="B58" s="55" t="s">
        <v>1643</v>
      </c>
      <c r="C58" s="757" t="s">
        <v>62</v>
      </c>
      <c r="D58" s="758"/>
      <c r="E58" s="758"/>
      <c r="F58" s="55" t="s">
        <v>1938</v>
      </c>
      <c r="G58" s="760">
        <v>520192.87800000003</v>
      </c>
      <c r="H58" s="760">
        <v>3591960.56</v>
      </c>
      <c r="I58" s="892"/>
      <c r="J58" s="893">
        <f>J56+1</f>
        <v>27</v>
      </c>
      <c r="K58" s="55" t="s">
        <v>1643</v>
      </c>
      <c r="L58" s="757" t="s">
        <v>62</v>
      </c>
      <c r="M58" s="757">
        <v>0</v>
      </c>
      <c r="N58" s="757">
        <v>0</v>
      </c>
      <c r="O58" s="757">
        <v>0</v>
      </c>
      <c r="P58" s="757">
        <v>0</v>
      </c>
      <c r="Q58" s="757"/>
      <c r="R58" s="757"/>
      <c r="S58" s="757"/>
      <c r="T58" s="757"/>
      <c r="U58" s="762"/>
      <c r="V58" s="760"/>
      <c r="W58" s="758">
        <v>310.637</v>
      </c>
      <c r="X58" s="55" t="s">
        <v>1938</v>
      </c>
      <c r="Y58" s="760">
        <v>520192.87800000003</v>
      </c>
      <c r="Z58" s="760">
        <v>3591960.56</v>
      </c>
      <c r="AA58" s="768"/>
    </row>
    <row r="59" spans="1:27">
      <c r="A59" s="893"/>
      <c r="B59" s="55"/>
      <c r="C59" s="55"/>
      <c r="D59" s="761">
        <v>388.62900000000002</v>
      </c>
      <c r="E59" s="758"/>
      <c r="F59" s="55"/>
      <c r="G59" s="760"/>
      <c r="H59" s="760"/>
      <c r="I59" s="892"/>
      <c r="J59" s="895"/>
      <c r="K59" s="55"/>
      <c r="L59" s="55"/>
      <c r="M59" s="55"/>
      <c r="N59" s="55"/>
      <c r="O59" s="55"/>
      <c r="P59" s="55"/>
      <c r="Q59" s="55"/>
      <c r="R59" s="55"/>
      <c r="S59" s="55"/>
      <c r="T59" s="55"/>
      <c r="U59" s="762">
        <v>388.62900000000002</v>
      </c>
      <c r="V59" s="760"/>
      <c r="W59" s="758"/>
      <c r="X59" s="55"/>
      <c r="Y59" s="760"/>
      <c r="Z59" s="760"/>
      <c r="AA59" s="768" t="s">
        <v>2118</v>
      </c>
    </row>
    <row r="60" spans="1:27">
      <c r="A60" s="893">
        <f>A58+1</f>
        <v>28</v>
      </c>
      <c r="B60" s="55" t="s">
        <v>1644</v>
      </c>
      <c r="C60" s="757" t="s">
        <v>62</v>
      </c>
      <c r="D60" s="758"/>
      <c r="E60" s="758"/>
      <c r="F60" s="55" t="s">
        <v>1938</v>
      </c>
      <c r="G60" s="760">
        <v>520403.19799999997</v>
      </c>
      <c r="H60" s="760">
        <v>3591633.76</v>
      </c>
      <c r="I60" s="892"/>
      <c r="J60" s="893">
        <f>J58+1</f>
        <v>28</v>
      </c>
      <c r="K60" s="55" t="s">
        <v>1644</v>
      </c>
      <c r="L60" s="757" t="s">
        <v>62</v>
      </c>
      <c r="M60" s="757">
        <v>0</v>
      </c>
      <c r="N60" s="757">
        <v>0</v>
      </c>
      <c r="O60" s="757">
        <v>0</v>
      </c>
      <c r="P60" s="757">
        <v>0</v>
      </c>
      <c r="Q60" s="757"/>
      <c r="R60" s="757"/>
      <c r="S60" s="757"/>
      <c r="T60" s="757"/>
      <c r="U60" s="762"/>
      <c r="V60" s="760"/>
      <c r="W60" s="758">
        <v>306.67099999999999</v>
      </c>
      <c r="X60" s="55" t="s">
        <v>1938</v>
      </c>
      <c r="Y60" s="760">
        <v>520403.19799999997</v>
      </c>
      <c r="Z60" s="760">
        <v>3591633.76</v>
      </c>
      <c r="AA60" s="768"/>
    </row>
    <row r="61" spans="1:27">
      <c r="A61" s="893"/>
      <c r="B61" s="55"/>
      <c r="C61" s="55"/>
      <c r="D61" s="761">
        <v>398.45</v>
      </c>
      <c r="E61" s="758"/>
      <c r="F61" s="55"/>
      <c r="G61" s="760"/>
      <c r="H61" s="760"/>
      <c r="I61" s="892"/>
      <c r="J61" s="895"/>
      <c r="K61" s="55"/>
      <c r="L61" s="55"/>
      <c r="M61" s="55"/>
      <c r="N61" s="55"/>
      <c r="O61" s="55"/>
      <c r="P61" s="55"/>
      <c r="Q61" s="55"/>
      <c r="R61" s="55"/>
      <c r="S61" s="55"/>
      <c r="T61" s="55"/>
      <c r="U61" s="762">
        <v>398.45</v>
      </c>
      <c r="V61" s="760"/>
      <c r="W61" s="758"/>
      <c r="X61" s="55"/>
      <c r="Y61" s="760"/>
      <c r="Z61" s="760"/>
      <c r="AA61" s="768" t="s">
        <v>2119</v>
      </c>
    </row>
    <row r="62" spans="1:27">
      <c r="A62" s="893">
        <f>A60+1</f>
        <v>29</v>
      </c>
      <c r="B62" s="55" t="s">
        <v>1115</v>
      </c>
      <c r="C62" s="757" t="s">
        <v>1269</v>
      </c>
      <c r="D62" s="758"/>
      <c r="E62" s="758">
        <f>D57+D59+D61</f>
        <v>1177.079</v>
      </c>
      <c r="F62" s="55" t="s">
        <v>1941</v>
      </c>
      <c r="G62" s="760">
        <v>520618.83299999998</v>
      </c>
      <c r="H62" s="760">
        <v>3591298.7030000002</v>
      </c>
      <c r="I62" s="892"/>
      <c r="J62" s="893">
        <f>J60+1</f>
        <v>29</v>
      </c>
      <c r="K62" s="55" t="s">
        <v>1115</v>
      </c>
      <c r="L62" s="757" t="s">
        <v>1269</v>
      </c>
      <c r="M62" s="757">
        <v>0</v>
      </c>
      <c r="N62" s="757">
        <v>0</v>
      </c>
      <c r="O62" s="757">
        <v>0</v>
      </c>
      <c r="P62" s="757">
        <v>0</v>
      </c>
      <c r="Q62" s="757"/>
      <c r="R62" s="757"/>
      <c r="S62" s="757"/>
      <c r="T62" s="757"/>
      <c r="U62" s="762"/>
      <c r="V62" s="760">
        <f>U57+U59+U61</f>
        <v>1177.079</v>
      </c>
      <c r="W62" s="758">
        <v>303.47199999999998</v>
      </c>
      <c r="X62" s="55" t="s">
        <v>1941</v>
      </c>
      <c r="Y62" s="760">
        <v>520618.83299999998</v>
      </c>
      <c r="Z62" s="760">
        <v>3591298.7030000002</v>
      </c>
      <c r="AA62" s="768"/>
    </row>
    <row r="63" spans="1:27">
      <c r="A63" s="893"/>
      <c r="B63" s="55"/>
      <c r="C63" s="55"/>
      <c r="D63" s="761">
        <v>419.99900000000002</v>
      </c>
      <c r="E63" s="758"/>
      <c r="F63" s="55"/>
      <c r="G63" s="760"/>
      <c r="H63" s="760"/>
      <c r="I63" s="892"/>
      <c r="J63" s="895"/>
      <c r="K63" s="55"/>
      <c r="L63" s="55"/>
      <c r="M63" s="55"/>
      <c r="N63" s="55"/>
      <c r="O63" s="55"/>
      <c r="P63" s="55"/>
      <c r="Q63" s="55"/>
      <c r="R63" s="55"/>
      <c r="S63" s="55"/>
      <c r="T63" s="55"/>
      <c r="U63" s="762">
        <v>435.99900000000002</v>
      </c>
      <c r="V63" s="760"/>
      <c r="W63" s="758"/>
      <c r="X63" s="55"/>
      <c r="Y63" s="760"/>
      <c r="Z63" s="760"/>
      <c r="AA63" s="768" t="s">
        <v>2120</v>
      </c>
    </row>
    <row r="64" spans="1:27">
      <c r="A64" s="893">
        <f>A62+1</f>
        <v>30</v>
      </c>
      <c r="B64" s="55" t="s">
        <v>1116</v>
      </c>
      <c r="C64" s="757" t="s">
        <v>53</v>
      </c>
      <c r="D64" s="758"/>
      <c r="E64" s="758"/>
      <c r="F64" s="55" t="s">
        <v>1938</v>
      </c>
      <c r="G64" s="760">
        <v>520901.37599999999</v>
      </c>
      <c r="H64" s="760">
        <v>3590987.9470000002</v>
      </c>
      <c r="I64" s="892"/>
      <c r="J64" s="893">
        <f>J62+1</f>
        <v>30</v>
      </c>
      <c r="K64" s="55" t="s">
        <v>1116</v>
      </c>
      <c r="L64" s="757" t="s">
        <v>53</v>
      </c>
      <c r="M64" s="757">
        <v>0</v>
      </c>
      <c r="N64" s="757">
        <v>0</v>
      </c>
      <c r="O64" s="757">
        <v>0</v>
      </c>
      <c r="P64" s="757">
        <v>0</v>
      </c>
      <c r="Q64" s="757"/>
      <c r="R64" s="757"/>
      <c r="S64" s="757"/>
      <c r="T64" s="757"/>
      <c r="U64" s="762"/>
      <c r="V64" s="760"/>
      <c r="W64" s="758">
        <v>299.95100000000002</v>
      </c>
      <c r="X64" s="55" t="s">
        <v>1938</v>
      </c>
      <c r="Y64" s="760">
        <v>520912.13929999998</v>
      </c>
      <c r="Z64" s="760">
        <v>3590976.1085000001</v>
      </c>
      <c r="AA64" s="768"/>
    </row>
    <row r="65" spans="1:27">
      <c r="A65" s="893"/>
      <c r="B65" s="55"/>
      <c r="C65" s="55"/>
      <c r="D65" s="761">
        <v>400</v>
      </c>
      <c r="E65" s="758"/>
      <c r="F65" s="55"/>
      <c r="G65" s="760"/>
      <c r="H65" s="760"/>
      <c r="I65" s="892"/>
      <c r="J65" s="895"/>
      <c r="K65" s="55"/>
      <c r="L65" s="55"/>
      <c r="M65" s="55"/>
      <c r="N65" s="55"/>
      <c r="O65" s="55"/>
      <c r="P65" s="55"/>
      <c r="Q65" s="55"/>
      <c r="R65" s="55"/>
      <c r="S65" s="55"/>
      <c r="T65" s="55"/>
      <c r="U65" s="762">
        <v>384</v>
      </c>
      <c r="V65" s="760"/>
      <c r="W65" s="758"/>
      <c r="X65" s="55"/>
      <c r="Y65" s="760"/>
      <c r="Z65" s="760"/>
      <c r="AA65" s="768" t="s">
        <v>2121</v>
      </c>
    </row>
    <row r="66" spans="1:27">
      <c r="A66" s="893">
        <f>A64+1</f>
        <v>31</v>
      </c>
      <c r="B66" s="55" t="s">
        <v>1645</v>
      </c>
      <c r="C66" s="757" t="s">
        <v>62</v>
      </c>
      <c r="D66" s="758"/>
      <c r="E66" s="758"/>
      <c r="F66" s="55"/>
      <c r="G66" s="760">
        <v>521170.46399999998</v>
      </c>
      <c r="H66" s="760">
        <v>3590691.9890000001</v>
      </c>
      <c r="I66" s="892"/>
      <c r="J66" s="893">
        <f>J64+1</f>
        <v>31</v>
      </c>
      <c r="K66" s="55" t="s">
        <v>1645</v>
      </c>
      <c r="L66" s="757" t="s">
        <v>62</v>
      </c>
      <c r="M66" s="757">
        <v>0</v>
      </c>
      <c r="N66" s="757">
        <v>0</v>
      </c>
      <c r="O66" s="757">
        <v>0</v>
      </c>
      <c r="P66" s="757">
        <v>0</v>
      </c>
      <c r="Q66" s="757"/>
      <c r="R66" s="757"/>
      <c r="S66" s="757"/>
      <c r="T66" s="757"/>
      <c r="U66" s="762"/>
      <c r="V66" s="760"/>
      <c r="W66" s="758">
        <v>296.476</v>
      </c>
      <c r="X66" s="55"/>
      <c r="Y66" s="760">
        <v>521170.46399999998</v>
      </c>
      <c r="Z66" s="760">
        <v>3590691.9890000001</v>
      </c>
      <c r="AA66" s="768"/>
    </row>
    <row r="67" spans="1:27">
      <c r="A67" s="893"/>
      <c r="B67" s="55"/>
      <c r="C67" s="55"/>
      <c r="D67" s="761">
        <v>420</v>
      </c>
      <c r="E67" s="758"/>
      <c r="F67" s="55"/>
      <c r="G67" s="760"/>
      <c r="H67" s="760"/>
      <c r="I67" s="892"/>
      <c r="J67" s="895"/>
      <c r="K67" s="55"/>
      <c r="L67" s="55"/>
      <c r="M67" s="55"/>
      <c r="N67" s="55"/>
      <c r="O67" s="55"/>
      <c r="P67" s="55"/>
      <c r="Q67" s="55"/>
      <c r="R67" s="55"/>
      <c r="S67" s="55"/>
      <c r="T67" s="55"/>
      <c r="U67" s="762">
        <v>420</v>
      </c>
      <c r="V67" s="760"/>
      <c r="W67" s="758"/>
      <c r="X67" s="55"/>
      <c r="Y67" s="760"/>
      <c r="Z67" s="760"/>
      <c r="AA67" s="768" t="s">
        <v>2122</v>
      </c>
    </row>
    <row r="68" spans="1:27">
      <c r="A68" s="893">
        <f>A66+1</f>
        <v>32</v>
      </c>
      <c r="B68" s="55" t="s">
        <v>1117</v>
      </c>
      <c r="C68" s="757" t="s">
        <v>62</v>
      </c>
      <c r="D68" s="758"/>
      <c r="E68" s="758"/>
      <c r="F68" s="55"/>
      <c r="G68" s="760">
        <v>521453.00799999997</v>
      </c>
      <c r="H68" s="760">
        <v>3590381.233</v>
      </c>
      <c r="I68" s="892"/>
      <c r="J68" s="893">
        <f>J66+1</f>
        <v>32</v>
      </c>
      <c r="K68" s="55" t="s">
        <v>1117</v>
      </c>
      <c r="L68" s="757" t="s">
        <v>62</v>
      </c>
      <c r="M68" s="757">
        <v>0</v>
      </c>
      <c r="N68" s="757">
        <v>0</v>
      </c>
      <c r="O68" s="757">
        <v>0</v>
      </c>
      <c r="P68" s="757">
        <v>0</v>
      </c>
      <c r="Q68" s="757"/>
      <c r="R68" s="757"/>
      <c r="S68" s="757"/>
      <c r="T68" s="757"/>
      <c r="U68" s="762"/>
      <c r="V68" s="760"/>
      <c r="W68" s="758">
        <v>293.58699999999999</v>
      </c>
      <c r="X68" s="55"/>
      <c r="Y68" s="760">
        <v>521453.00799999997</v>
      </c>
      <c r="Z68" s="760">
        <v>3590381.233</v>
      </c>
      <c r="AA68" s="768"/>
    </row>
    <row r="69" spans="1:27">
      <c r="A69" s="893"/>
      <c r="B69" s="55"/>
      <c r="C69" s="55"/>
      <c r="D69" s="761">
        <v>410</v>
      </c>
      <c r="E69" s="758"/>
      <c r="F69" s="55"/>
      <c r="G69" s="760"/>
      <c r="H69" s="760"/>
      <c r="I69" s="892"/>
      <c r="J69" s="895"/>
      <c r="K69" s="55"/>
      <c r="L69" s="55"/>
      <c r="M69" s="55"/>
      <c r="N69" s="55"/>
      <c r="O69" s="55"/>
      <c r="P69" s="55"/>
      <c r="Q69" s="55"/>
      <c r="R69" s="55"/>
      <c r="S69" s="55"/>
      <c r="T69" s="55"/>
      <c r="U69" s="762">
        <v>410</v>
      </c>
      <c r="V69" s="760"/>
      <c r="W69" s="758"/>
      <c r="X69" s="55"/>
      <c r="Y69" s="760"/>
      <c r="Z69" s="760"/>
      <c r="AA69" s="768" t="s">
        <v>2119</v>
      </c>
    </row>
    <row r="70" spans="1:27">
      <c r="A70" s="893">
        <f>A68+1</f>
        <v>33</v>
      </c>
      <c r="B70" s="55" t="s">
        <v>1646</v>
      </c>
      <c r="C70" s="757" t="s">
        <v>62</v>
      </c>
      <c r="D70" s="758"/>
      <c r="E70" s="758"/>
      <c r="F70" s="55"/>
      <c r="G70" s="760">
        <v>521728.82400000002</v>
      </c>
      <c r="H70" s="760">
        <v>3590077.875</v>
      </c>
      <c r="I70" s="892"/>
      <c r="J70" s="893">
        <f>J68+1</f>
        <v>33</v>
      </c>
      <c r="K70" s="55" t="s">
        <v>1646</v>
      </c>
      <c r="L70" s="757" t="s">
        <v>62</v>
      </c>
      <c r="M70" s="757">
        <v>0</v>
      </c>
      <c r="N70" s="757">
        <v>0</v>
      </c>
      <c r="O70" s="757">
        <v>0</v>
      </c>
      <c r="P70" s="757">
        <v>0</v>
      </c>
      <c r="Q70" s="757"/>
      <c r="R70" s="757"/>
      <c r="S70" s="757"/>
      <c r="T70" s="757"/>
      <c r="U70" s="762"/>
      <c r="V70" s="760"/>
      <c r="W70" s="758">
        <v>290.26400000000001</v>
      </c>
      <c r="X70" s="55"/>
      <c r="Y70" s="760">
        <v>521728.82400000002</v>
      </c>
      <c r="Z70" s="760">
        <v>3590077.875</v>
      </c>
      <c r="AA70" s="768"/>
    </row>
    <row r="71" spans="1:27">
      <c r="A71" s="893"/>
      <c r="B71" s="55"/>
      <c r="C71" s="55"/>
      <c r="D71" s="761">
        <v>407.25</v>
      </c>
      <c r="E71" s="758"/>
      <c r="F71" s="55"/>
      <c r="G71" s="760"/>
      <c r="H71" s="760"/>
      <c r="I71" s="892"/>
      <c r="J71" s="895"/>
      <c r="K71" s="55"/>
      <c r="L71" s="55"/>
      <c r="M71" s="55"/>
      <c r="N71" s="55"/>
      <c r="O71" s="55"/>
      <c r="P71" s="55"/>
      <c r="Q71" s="55"/>
      <c r="R71" s="55"/>
      <c r="S71" s="55"/>
      <c r="T71" s="55"/>
      <c r="U71" s="762">
        <v>407.25</v>
      </c>
      <c r="V71" s="760"/>
      <c r="W71" s="758"/>
      <c r="X71" s="55"/>
      <c r="Y71" s="760"/>
      <c r="Z71" s="760"/>
      <c r="AA71" s="768" t="s">
        <v>2123</v>
      </c>
    </row>
    <row r="72" spans="1:27">
      <c r="A72" s="893">
        <f>A70+1</f>
        <v>34</v>
      </c>
      <c r="B72" s="55" t="s">
        <v>1647</v>
      </c>
      <c r="C72" s="757" t="s">
        <v>62</v>
      </c>
      <c r="D72" s="758"/>
      <c r="E72" s="758"/>
      <c r="F72" s="55"/>
      <c r="G72" s="760">
        <v>522002.79</v>
      </c>
      <c r="H72" s="760">
        <v>3589776.5529999998</v>
      </c>
      <c r="I72" s="892"/>
      <c r="J72" s="893">
        <f>J70+1</f>
        <v>34</v>
      </c>
      <c r="K72" s="55" t="s">
        <v>1647</v>
      </c>
      <c r="L72" s="757" t="s">
        <v>62</v>
      </c>
      <c r="M72" s="55">
        <v>0</v>
      </c>
      <c r="N72" s="55">
        <v>0</v>
      </c>
      <c r="O72" s="55">
        <v>0</v>
      </c>
      <c r="P72" s="55">
        <v>0</v>
      </c>
      <c r="Q72" s="757"/>
      <c r="R72" s="757"/>
      <c r="S72" s="757"/>
      <c r="T72" s="757"/>
      <c r="U72" s="762"/>
      <c r="V72" s="760"/>
      <c r="W72" s="758">
        <v>286.22899999999998</v>
      </c>
      <c r="X72" s="55"/>
      <c r="Y72" s="760">
        <v>522002.79</v>
      </c>
      <c r="Z72" s="760">
        <v>3589776.5529999998</v>
      </c>
      <c r="AA72" s="768"/>
    </row>
    <row r="73" spans="1:27">
      <c r="A73" s="893"/>
      <c r="B73" s="55"/>
      <c r="C73" s="55"/>
      <c r="D73" s="761">
        <v>397.702</v>
      </c>
      <c r="E73" s="758"/>
      <c r="F73" s="55"/>
      <c r="G73" s="760"/>
      <c r="H73" s="760"/>
      <c r="I73" s="892"/>
      <c r="J73" s="895"/>
      <c r="K73" s="55"/>
      <c r="L73" s="55"/>
      <c r="M73" s="55"/>
      <c r="N73" s="55"/>
      <c r="O73" s="55"/>
      <c r="P73" s="55"/>
      <c r="Q73" s="55"/>
      <c r="R73" s="55"/>
      <c r="S73" s="55"/>
      <c r="T73" s="55"/>
      <c r="U73" s="762">
        <v>397.702</v>
      </c>
      <c r="V73" s="760"/>
      <c r="W73" s="758"/>
      <c r="X73" s="55"/>
      <c r="Y73" s="760"/>
      <c r="Z73" s="760"/>
      <c r="AA73" s="768" t="s">
        <v>2124</v>
      </c>
    </row>
    <row r="74" spans="1:27">
      <c r="A74" s="893">
        <f>A72+1</f>
        <v>35</v>
      </c>
      <c r="B74" s="55" t="s">
        <v>1122</v>
      </c>
      <c r="C74" s="757" t="s">
        <v>1277</v>
      </c>
      <c r="D74" s="758"/>
      <c r="E74" s="758">
        <f>D63+D65+D67+D69+D71+D73</f>
        <v>2454.951</v>
      </c>
      <c r="F74" s="55" t="s">
        <v>1942</v>
      </c>
      <c r="G74" s="760">
        <v>522270.33199999999</v>
      </c>
      <c r="H74" s="760">
        <v>3589482.2949999999</v>
      </c>
      <c r="I74" s="892"/>
      <c r="J74" s="893">
        <f>J72+1</f>
        <v>35</v>
      </c>
      <c r="K74" s="55" t="s">
        <v>1122</v>
      </c>
      <c r="L74" s="757" t="s">
        <v>1361</v>
      </c>
      <c r="M74" s="55">
        <v>0</v>
      </c>
      <c r="N74" s="55">
        <v>0</v>
      </c>
      <c r="O74" s="55">
        <v>0</v>
      </c>
      <c r="P74" s="55">
        <v>0</v>
      </c>
      <c r="Q74" s="757"/>
      <c r="R74" s="757"/>
      <c r="S74" s="757"/>
      <c r="T74" s="757"/>
      <c r="U74" s="762"/>
      <c r="V74" s="760">
        <f>U63+U65+U67+U69+U71+U73</f>
        <v>2454.951</v>
      </c>
      <c r="W74" s="758">
        <v>284.90100000000001</v>
      </c>
      <c r="X74" s="55" t="s">
        <v>1943</v>
      </c>
      <c r="Y74" s="760">
        <v>522270.33199999999</v>
      </c>
      <c r="Z74" s="760">
        <v>3589482.2949999999</v>
      </c>
      <c r="AA74" s="768"/>
    </row>
    <row r="75" spans="1:27">
      <c r="A75" s="893"/>
      <c r="B75" s="55"/>
      <c r="C75" s="55"/>
      <c r="D75" s="761">
        <v>310.14699999999999</v>
      </c>
      <c r="E75" s="758"/>
      <c r="F75" s="55"/>
      <c r="G75" s="760"/>
      <c r="H75" s="760"/>
      <c r="I75" s="892"/>
      <c r="J75" s="895"/>
      <c r="K75" s="55"/>
      <c r="L75" s="55"/>
      <c r="M75" s="55"/>
      <c r="N75" s="55"/>
      <c r="O75" s="55"/>
      <c r="P75" s="55"/>
      <c r="Q75" s="55"/>
      <c r="R75" s="55"/>
      <c r="S75" s="55"/>
      <c r="T75" s="55"/>
      <c r="U75" s="762">
        <v>366.00400000000002</v>
      </c>
      <c r="V75" s="760"/>
      <c r="W75" s="758"/>
      <c r="X75" s="55"/>
      <c r="Y75" s="760"/>
      <c r="Z75" s="760"/>
      <c r="AA75" s="768" t="s">
        <v>2125</v>
      </c>
    </row>
    <row r="76" spans="1:27">
      <c r="A76" s="893">
        <f>A74+1</f>
        <v>36</v>
      </c>
      <c r="B76" s="55" t="s">
        <v>1124</v>
      </c>
      <c r="C76" s="757" t="s">
        <v>1319</v>
      </c>
      <c r="D76" s="758"/>
      <c r="E76" s="758">
        <f>D75</f>
        <v>310.14699999999999</v>
      </c>
      <c r="F76" s="55" t="s">
        <v>1944</v>
      </c>
      <c r="G76" s="760">
        <v>522356.68699999998</v>
      </c>
      <c r="H76" s="760">
        <v>3589184.412</v>
      </c>
      <c r="I76" s="892"/>
      <c r="J76" s="893">
        <f>J74+1</f>
        <v>36</v>
      </c>
      <c r="K76" s="55" t="s">
        <v>1124</v>
      </c>
      <c r="L76" s="757" t="s">
        <v>1319</v>
      </c>
      <c r="M76" s="55">
        <v>0</v>
      </c>
      <c r="N76" s="55">
        <v>0</v>
      </c>
      <c r="O76" s="55">
        <v>0</v>
      </c>
      <c r="P76" s="55">
        <v>0</v>
      </c>
      <c r="Q76" s="757"/>
      <c r="R76" s="757"/>
      <c r="S76" s="757"/>
      <c r="T76" s="757"/>
      <c r="U76" s="762"/>
      <c r="V76" s="760">
        <f>U75</f>
        <v>366.00400000000002</v>
      </c>
      <c r="W76" s="758">
        <v>282.93400000000003</v>
      </c>
      <c r="X76" s="55" t="s">
        <v>1945</v>
      </c>
      <c r="Y76" s="760">
        <v>522372.24</v>
      </c>
      <c r="Z76" s="760">
        <v>3589130.764</v>
      </c>
      <c r="AA76" s="767"/>
    </row>
    <row r="77" spans="1:27">
      <c r="A77" s="893"/>
      <c r="B77" s="55"/>
      <c r="C77" s="55"/>
      <c r="D77" s="761">
        <v>374.99900000000002</v>
      </c>
      <c r="E77" s="758"/>
      <c r="F77" s="55"/>
      <c r="G77" s="760"/>
      <c r="H77" s="760"/>
      <c r="I77" s="892"/>
      <c r="J77" s="895"/>
      <c r="K77" s="55"/>
      <c r="L77" s="55"/>
      <c r="M77" s="55"/>
      <c r="N77" s="55"/>
      <c r="O77" s="55"/>
      <c r="P77" s="55"/>
      <c r="Q77" s="55"/>
      <c r="R77" s="55"/>
      <c r="S77" s="55"/>
      <c r="T77" s="55"/>
      <c r="U77" s="762">
        <v>372.4</v>
      </c>
      <c r="V77" s="760"/>
      <c r="W77" s="758"/>
      <c r="X77" s="55"/>
      <c r="Y77" s="760"/>
      <c r="Z77" s="760"/>
      <c r="AA77" s="767" t="s">
        <v>2126</v>
      </c>
    </row>
    <row r="78" spans="1:27">
      <c r="A78" s="893">
        <f>A76+1</f>
        <v>37</v>
      </c>
      <c r="B78" s="55" t="s">
        <v>1648</v>
      </c>
      <c r="C78" s="757" t="s">
        <v>76</v>
      </c>
      <c r="D78" s="758"/>
      <c r="E78" s="758"/>
      <c r="F78" s="55"/>
      <c r="G78" s="760">
        <v>522649.61099999998</v>
      </c>
      <c r="H78" s="760">
        <v>3588950.2749999999</v>
      </c>
      <c r="I78" s="892"/>
      <c r="J78" s="893">
        <f>J76+1</f>
        <v>37</v>
      </c>
      <c r="K78" s="55" t="s">
        <v>1648</v>
      </c>
      <c r="L78" s="757" t="s">
        <v>76</v>
      </c>
      <c r="M78" s="55">
        <v>0</v>
      </c>
      <c r="N78" s="55">
        <v>0</v>
      </c>
      <c r="O78" s="55">
        <v>0</v>
      </c>
      <c r="P78" s="55">
        <v>0</v>
      </c>
      <c r="Q78" s="757"/>
      <c r="R78" s="757"/>
      <c r="S78" s="757"/>
      <c r="T78" s="757"/>
      <c r="U78" s="762"/>
      <c r="V78" s="760"/>
      <c r="W78" s="758">
        <v>282.87400000000002</v>
      </c>
      <c r="X78" s="55"/>
      <c r="Y78" s="760">
        <v>522669.712</v>
      </c>
      <c r="Z78" s="760">
        <v>3588906.7289999998</v>
      </c>
      <c r="AA78" s="767"/>
    </row>
    <row r="79" spans="1:27">
      <c r="A79" s="893"/>
      <c r="B79" s="55"/>
      <c r="C79" s="55"/>
      <c r="D79" s="761">
        <v>330</v>
      </c>
      <c r="E79" s="758"/>
      <c r="F79" s="55"/>
      <c r="G79" s="760"/>
      <c r="H79" s="760"/>
      <c r="I79" s="892"/>
      <c r="J79" s="895"/>
      <c r="K79" s="55"/>
      <c r="L79" s="55"/>
      <c r="M79" s="55"/>
      <c r="N79" s="55"/>
      <c r="O79" s="55"/>
      <c r="P79" s="55"/>
      <c r="Q79" s="55"/>
      <c r="R79" s="55"/>
      <c r="S79" s="55"/>
      <c r="T79" s="55"/>
      <c r="U79" s="762">
        <v>311.86599999999999</v>
      </c>
      <c r="V79" s="760"/>
      <c r="W79" s="758"/>
      <c r="X79" s="55"/>
      <c r="Y79" s="760"/>
      <c r="Z79" s="760"/>
      <c r="AA79" s="767" t="s">
        <v>2127</v>
      </c>
    </row>
    <row r="80" spans="1:27">
      <c r="A80" s="893">
        <f>A78+1</f>
        <v>38</v>
      </c>
      <c r="B80" s="55" t="s">
        <v>1125</v>
      </c>
      <c r="C80" s="757" t="s">
        <v>76</v>
      </c>
      <c r="D80" s="758"/>
      <c r="E80" s="758"/>
      <c r="F80" s="55"/>
      <c r="G80" s="760">
        <v>522907.38500000001</v>
      </c>
      <c r="H80" s="760">
        <v>3588744.2340000002</v>
      </c>
      <c r="I80" s="892"/>
      <c r="J80" s="893">
        <f>J78+1</f>
        <v>38</v>
      </c>
      <c r="K80" s="55" t="s">
        <v>1125</v>
      </c>
      <c r="L80" s="757" t="s">
        <v>76</v>
      </c>
      <c r="M80" s="55">
        <v>0</v>
      </c>
      <c r="N80" s="55">
        <v>0</v>
      </c>
      <c r="O80" s="55">
        <v>0</v>
      </c>
      <c r="P80" s="55">
        <v>0</v>
      </c>
      <c r="Q80" s="757"/>
      <c r="R80" s="757"/>
      <c r="S80" s="757"/>
      <c r="T80" s="757"/>
      <c r="U80" s="762"/>
      <c r="V80" s="760"/>
      <c r="W80" s="758">
        <v>283.88</v>
      </c>
      <c r="X80" s="55"/>
      <c r="Y80" s="760">
        <v>522918.83</v>
      </c>
      <c r="Z80" s="760">
        <v>3588719.11</v>
      </c>
      <c r="AA80" s="767"/>
    </row>
    <row r="81" spans="1:27">
      <c r="A81" s="893"/>
      <c r="B81" s="55"/>
      <c r="C81" s="55"/>
      <c r="D81" s="761">
        <v>366.04599999999999</v>
      </c>
      <c r="E81" s="758"/>
      <c r="F81" s="55"/>
      <c r="G81" s="760"/>
      <c r="H81" s="760"/>
      <c r="I81" s="892"/>
      <c r="J81" s="895"/>
      <c r="K81" s="55"/>
      <c r="L81" s="55"/>
      <c r="M81" s="55"/>
      <c r="N81" s="55"/>
      <c r="O81" s="55"/>
      <c r="P81" s="55"/>
      <c r="Q81" s="55"/>
      <c r="R81" s="55"/>
      <c r="S81" s="55"/>
      <c r="T81" s="55"/>
      <c r="U81" s="762">
        <v>343.76299999999998</v>
      </c>
      <c r="V81" s="760"/>
      <c r="W81" s="758"/>
      <c r="X81" s="55"/>
      <c r="Y81" s="760"/>
      <c r="Z81" s="760"/>
      <c r="AA81" s="767" t="s">
        <v>2122</v>
      </c>
    </row>
    <row r="82" spans="1:27">
      <c r="A82" s="893">
        <f>A80+1</f>
        <v>39</v>
      </c>
      <c r="B82" s="55" t="s">
        <v>1649</v>
      </c>
      <c r="C82" s="757" t="s">
        <v>1319</v>
      </c>
      <c r="D82" s="758"/>
      <c r="E82" s="760">
        <f>D77+D79+D81</f>
        <v>1071.0450000000001</v>
      </c>
      <c r="F82" s="55" t="s">
        <v>1946</v>
      </c>
      <c r="G82" s="760">
        <v>523193.315</v>
      </c>
      <c r="H82" s="760">
        <v>3588515.6880000001</v>
      </c>
      <c r="I82" s="892"/>
      <c r="J82" s="893">
        <f>J80+1</f>
        <v>39</v>
      </c>
      <c r="K82" s="55" t="s">
        <v>1649</v>
      </c>
      <c r="L82" s="757" t="s">
        <v>1319</v>
      </c>
      <c r="M82" s="55">
        <v>0</v>
      </c>
      <c r="N82" s="55">
        <v>0</v>
      </c>
      <c r="O82" s="55">
        <v>0</v>
      </c>
      <c r="P82" s="55">
        <v>0</v>
      </c>
      <c r="Q82" s="757"/>
      <c r="R82" s="757"/>
      <c r="S82" s="757"/>
      <c r="T82" s="757"/>
      <c r="U82" s="762"/>
      <c r="V82" s="760">
        <f>U77+U79+U81</f>
        <v>1028.029</v>
      </c>
      <c r="W82" s="758">
        <v>284.27100000000002</v>
      </c>
      <c r="X82" s="55" t="s">
        <v>1947</v>
      </c>
      <c r="Y82" s="760">
        <v>523193.42700000003</v>
      </c>
      <c r="Z82" s="760">
        <v>3588512.3029999998</v>
      </c>
      <c r="AA82" s="767"/>
    </row>
    <row r="83" spans="1:27">
      <c r="A83" s="893"/>
      <c r="B83" s="55"/>
      <c r="C83" s="55"/>
      <c r="D83" s="761">
        <v>445.75700000000001</v>
      </c>
      <c r="E83" s="758"/>
      <c r="F83" s="55"/>
      <c r="G83" s="760"/>
      <c r="H83" s="760"/>
      <c r="I83" s="892"/>
      <c r="J83" s="895"/>
      <c r="K83" s="55"/>
      <c r="L83" s="55"/>
      <c r="M83" s="55"/>
      <c r="N83" s="55"/>
      <c r="O83" s="55"/>
      <c r="P83" s="55"/>
      <c r="Q83" s="55"/>
      <c r="R83" s="55"/>
      <c r="S83" s="55"/>
      <c r="T83" s="55"/>
      <c r="U83" s="762">
        <v>442.37099999999998</v>
      </c>
      <c r="V83" s="760"/>
      <c r="W83" s="758"/>
      <c r="X83" s="55"/>
      <c r="Y83" s="760"/>
      <c r="Z83" s="760"/>
      <c r="AA83" s="767" t="s">
        <v>2114</v>
      </c>
    </row>
    <row r="84" spans="1:27">
      <c r="A84" s="893">
        <f>A82+1</f>
        <v>40</v>
      </c>
      <c r="B84" s="55" t="s">
        <v>1138</v>
      </c>
      <c r="C84" s="757" t="s">
        <v>1269</v>
      </c>
      <c r="D84" s="758"/>
      <c r="E84" s="758">
        <f>D83</f>
        <v>445.75700000000001</v>
      </c>
      <c r="F84" s="55" t="s">
        <v>1948</v>
      </c>
      <c r="G84" s="760">
        <v>523205.04700000002</v>
      </c>
      <c r="H84" s="760">
        <v>3588070.085</v>
      </c>
      <c r="I84" s="892"/>
      <c r="J84" s="893">
        <f>J82+1</f>
        <v>40</v>
      </c>
      <c r="K84" s="55" t="s">
        <v>1138</v>
      </c>
      <c r="L84" s="757" t="s">
        <v>1269</v>
      </c>
      <c r="M84" s="55">
        <v>0</v>
      </c>
      <c r="N84" s="55">
        <v>0</v>
      </c>
      <c r="O84" s="55">
        <v>0</v>
      </c>
      <c r="P84" s="55">
        <v>0</v>
      </c>
      <c r="Q84" s="757"/>
      <c r="R84" s="757"/>
      <c r="S84" s="757"/>
      <c r="T84" s="757"/>
      <c r="U84" s="759"/>
      <c r="V84" s="760">
        <f>U83</f>
        <v>442.37099999999998</v>
      </c>
      <c r="W84" s="758">
        <v>299.46499999999997</v>
      </c>
      <c r="X84" s="55" t="s">
        <v>1949</v>
      </c>
      <c r="Y84" s="760">
        <v>523205.04700000002</v>
      </c>
      <c r="Z84" s="760">
        <v>3588070.085</v>
      </c>
      <c r="AA84" s="767"/>
    </row>
    <row r="85" spans="1:27">
      <c r="A85" s="893"/>
      <c r="B85" s="55"/>
      <c r="C85" s="55"/>
      <c r="D85" s="761">
        <v>320</v>
      </c>
      <c r="E85" s="758"/>
      <c r="F85" s="55"/>
      <c r="G85" s="760"/>
      <c r="H85" s="760"/>
      <c r="I85" s="892"/>
      <c r="J85" s="895"/>
      <c r="K85" s="55"/>
      <c r="L85" s="55"/>
      <c r="M85" s="55"/>
      <c r="N85" s="55"/>
      <c r="O85" s="55"/>
      <c r="P85" s="55"/>
      <c r="Q85" s="55"/>
      <c r="R85" s="55"/>
      <c r="S85" s="55"/>
      <c r="T85" s="55"/>
      <c r="U85" s="762">
        <v>360</v>
      </c>
      <c r="V85" s="760"/>
      <c r="W85" s="758"/>
      <c r="X85" s="55"/>
      <c r="Y85" s="760"/>
      <c r="Z85" s="760"/>
      <c r="AA85" s="768" t="s">
        <v>2122</v>
      </c>
    </row>
    <row r="86" spans="1:27">
      <c r="A86" s="893">
        <f>A84+1</f>
        <v>41</v>
      </c>
      <c r="B86" s="55" t="s">
        <v>1140</v>
      </c>
      <c r="C86" s="757" t="s">
        <v>62</v>
      </c>
      <c r="D86" s="758"/>
      <c r="E86" s="758"/>
      <c r="F86" s="55"/>
      <c r="G86" s="760">
        <v>523153.97600000002</v>
      </c>
      <c r="H86" s="760">
        <v>3587754.1869999999</v>
      </c>
      <c r="I86" s="892"/>
      <c r="J86" s="893">
        <f>J84+1</f>
        <v>41</v>
      </c>
      <c r="K86" s="55" t="s">
        <v>1140</v>
      </c>
      <c r="L86" s="757" t="s">
        <v>62</v>
      </c>
      <c r="M86" s="55">
        <v>1</v>
      </c>
      <c r="N86" s="55">
        <v>1</v>
      </c>
      <c r="O86" s="55">
        <v>1</v>
      </c>
      <c r="P86" s="55">
        <v>1</v>
      </c>
      <c r="Q86" s="757"/>
      <c r="R86" s="757"/>
      <c r="S86" s="757"/>
      <c r="T86" s="757"/>
      <c r="U86" s="762"/>
      <c r="V86" s="760"/>
      <c r="W86" s="758">
        <v>295.54000000000002</v>
      </c>
      <c r="X86" s="55"/>
      <c r="Y86" s="760">
        <v>523147.5919</v>
      </c>
      <c r="Z86" s="760">
        <v>3587714.6997000002</v>
      </c>
      <c r="AA86" s="768" t="s">
        <v>1950</v>
      </c>
    </row>
    <row r="87" spans="1:27">
      <c r="A87" s="893"/>
      <c r="B87" s="55"/>
      <c r="C87" s="55"/>
      <c r="D87" s="761">
        <v>419.73899999999998</v>
      </c>
      <c r="E87" s="758"/>
      <c r="F87" s="55"/>
      <c r="G87" s="760"/>
      <c r="H87" s="760"/>
      <c r="I87" s="892"/>
      <c r="J87" s="895"/>
      <c r="K87" s="55"/>
      <c r="L87" s="55"/>
      <c r="M87" s="55"/>
      <c r="N87" s="55"/>
      <c r="O87" s="55"/>
      <c r="P87" s="55"/>
      <c r="Q87" s="55"/>
      <c r="R87" s="55"/>
      <c r="S87" s="55"/>
      <c r="T87" s="55"/>
      <c r="U87" s="762">
        <v>379.73899999999998</v>
      </c>
      <c r="V87" s="760"/>
      <c r="W87" s="758"/>
      <c r="X87" s="55"/>
      <c r="Y87" s="760"/>
      <c r="Z87" s="760"/>
      <c r="AA87" s="768" t="s">
        <v>2128</v>
      </c>
    </row>
    <row r="88" spans="1:27">
      <c r="A88" s="893">
        <f>A86+1</f>
        <v>42</v>
      </c>
      <c r="B88" s="55" t="s">
        <v>1650</v>
      </c>
      <c r="C88" s="757" t="s">
        <v>1402</v>
      </c>
      <c r="D88" s="758"/>
      <c r="E88" s="758">
        <f>D85+D87</f>
        <v>739.73900000000003</v>
      </c>
      <c r="F88" s="55" t="s">
        <v>1951</v>
      </c>
      <c r="G88" s="760">
        <v>523086.98499999999</v>
      </c>
      <c r="H88" s="760">
        <v>3587339.8280000002</v>
      </c>
      <c r="I88" s="892"/>
      <c r="J88" s="893">
        <f>J86+1</f>
        <v>42</v>
      </c>
      <c r="K88" s="55" t="s">
        <v>1650</v>
      </c>
      <c r="L88" s="757" t="s">
        <v>1402</v>
      </c>
      <c r="M88" s="55">
        <v>2</v>
      </c>
      <c r="N88" s="55">
        <v>2</v>
      </c>
      <c r="O88" s="55">
        <v>2</v>
      </c>
      <c r="P88" s="55">
        <v>2</v>
      </c>
      <c r="Q88" s="757"/>
      <c r="R88" s="757"/>
      <c r="S88" s="757"/>
      <c r="T88" s="757"/>
      <c r="U88" s="762"/>
      <c r="V88" s="760">
        <f>U85+U87</f>
        <v>739.73900000000003</v>
      </c>
      <c r="W88" s="758">
        <v>299.02699999999999</v>
      </c>
      <c r="X88" s="55" t="s">
        <v>1952</v>
      </c>
      <c r="Y88" s="760">
        <v>523086.98499999999</v>
      </c>
      <c r="Z88" s="760">
        <v>3587339.8280000002</v>
      </c>
      <c r="AA88" s="768" t="s">
        <v>1950</v>
      </c>
    </row>
    <row r="89" spans="1:27">
      <c r="A89" s="893"/>
      <c r="B89" s="55"/>
      <c r="C89" s="55"/>
      <c r="D89" s="761">
        <v>445.99099999999999</v>
      </c>
      <c r="E89" s="758"/>
      <c r="F89" s="55"/>
      <c r="G89" s="760"/>
      <c r="H89" s="760"/>
      <c r="I89" s="892"/>
      <c r="J89" s="895"/>
      <c r="K89" s="55"/>
      <c r="L89" s="55"/>
      <c r="M89" s="55"/>
      <c r="N89" s="55"/>
      <c r="O89" s="55"/>
      <c r="P89" s="55"/>
      <c r="Q89" s="55"/>
      <c r="R89" s="55"/>
      <c r="S89" s="55"/>
      <c r="T89" s="55"/>
      <c r="U89" s="762">
        <v>445.99099999999999</v>
      </c>
      <c r="V89" s="760"/>
      <c r="W89" s="758"/>
      <c r="X89" s="55"/>
      <c r="Y89" s="760"/>
      <c r="Z89" s="760"/>
      <c r="AA89" s="768" t="s">
        <v>2129</v>
      </c>
    </row>
    <row r="90" spans="1:27">
      <c r="A90" s="893">
        <f>A88+1</f>
        <v>43</v>
      </c>
      <c r="B90" s="55" t="s">
        <v>1651</v>
      </c>
      <c r="C90" s="757" t="s">
        <v>1953</v>
      </c>
      <c r="D90" s="758"/>
      <c r="E90" s="758">
        <f>D89</f>
        <v>445.99099999999999</v>
      </c>
      <c r="F90" s="55" t="s">
        <v>1954</v>
      </c>
      <c r="G90" s="760">
        <v>523229.30200000003</v>
      </c>
      <c r="H90" s="760">
        <v>3586917.1529999999</v>
      </c>
      <c r="I90" s="892"/>
      <c r="J90" s="893">
        <f>J88+1</f>
        <v>43</v>
      </c>
      <c r="K90" s="55" t="s">
        <v>1651</v>
      </c>
      <c r="L90" s="757" t="s">
        <v>1953</v>
      </c>
      <c r="M90" s="55">
        <v>2</v>
      </c>
      <c r="N90" s="55">
        <v>2</v>
      </c>
      <c r="O90" s="55">
        <v>2</v>
      </c>
      <c r="P90" s="55">
        <v>2</v>
      </c>
      <c r="Q90" s="757"/>
      <c r="R90" s="757"/>
      <c r="S90" s="757"/>
      <c r="T90" s="757"/>
      <c r="U90" s="762"/>
      <c r="V90" s="760">
        <f>U89</f>
        <v>445.99099999999999</v>
      </c>
      <c r="W90" s="758">
        <v>297.02100000000002</v>
      </c>
      <c r="X90" s="55" t="s">
        <v>1955</v>
      </c>
      <c r="Y90" s="760">
        <v>523229.30200000003</v>
      </c>
      <c r="Z90" s="760">
        <v>3586917.1529999999</v>
      </c>
      <c r="AA90" s="768" t="s">
        <v>1950</v>
      </c>
    </row>
    <row r="91" spans="1:27">
      <c r="A91" s="893"/>
      <c r="B91" s="55"/>
      <c r="C91" s="55"/>
      <c r="D91" s="761">
        <v>378</v>
      </c>
      <c r="E91" s="758"/>
      <c r="F91" s="55"/>
      <c r="G91" s="760"/>
      <c r="H91" s="760"/>
      <c r="I91" s="892"/>
      <c r="J91" s="895"/>
      <c r="K91" s="55"/>
      <c r="L91" s="55"/>
      <c r="M91" s="55"/>
      <c r="N91" s="55"/>
      <c r="O91" s="55"/>
      <c r="P91" s="55"/>
      <c r="Q91" s="55"/>
      <c r="R91" s="55"/>
      <c r="S91" s="55"/>
      <c r="T91" s="55"/>
      <c r="U91" s="762">
        <v>373</v>
      </c>
      <c r="V91" s="760"/>
      <c r="W91" s="758"/>
      <c r="X91" s="55"/>
      <c r="Y91" s="760"/>
      <c r="Z91" s="760"/>
      <c r="AA91" s="768" t="s">
        <v>2122</v>
      </c>
    </row>
    <row r="92" spans="1:27">
      <c r="A92" s="893">
        <f>A90+1</f>
        <v>44</v>
      </c>
      <c r="B92" s="55" t="s">
        <v>1652</v>
      </c>
      <c r="C92" s="757" t="s">
        <v>76</v>
      </c>
      <c r="D92" s="758"/>
      <c r="E92" s="758"/>
      <c r="F92" s="55"/>
      <c r="G92" s="760">
        <v>523480.30200000003</v>
      </c>
      <c r="H92" s="760">
        <v>3586634.517</v>
      </c>
      <c r="I92" s="892"/>
      <c r="J92" s="893">
        <f>J90+1</f>
        <v>44</v>
      </c>
      <c r="K92" s="55" t="s">
        <v>1652</v>
      </c>
      <c r="L92" s="55" t="s">
        <v>76</v>
      </c>
      <c r="M92" s="55">
        <v>0</v>
      </c>
      <c r="N92" s="55">
        <v>0</v>
      </c>
      <c r="O92" s="55">
        <v>0</v>
      </c>
      <c r="P92" s="55">
        <v>0</v>
      </c>
      <c r="Q92" s="757"/>
      <c r="R92" s="757"/>
      <c r="S92" s="757"/>
      <c r="T92" s="757"/>
      <c r="U92" s="762"/>
      <c r="V92" s="760"/>
      <c r="W92" s="758">
        <v>295.767</v>
      </c>
      <c r="X92" s="55"/>
      <c r="Y92" s="760">
        <v>523476.98190000001</v>
      </c>
      <c r="Z92" s="760">
        <v>3586638.2555999998</v>
      </c>
      <c r="AA92" s="769" t="s">
        <v>2132</v>
      </c>
    </row>
    <row r="93" spans="1:27">
      <c r="A93" s="893"/>
      <c r="B93" s="55"/>
      <c r="C93" s="55"/>
      <c r="D93" s="761">
        <v>361</v>
      </c>
      <c r="E93" s="758"/>
      <c r="F93" s="55"/>
      <c r="G93" s="760"/>
      <c r="H93" s="760"/>
      <c r="I93" s="892"/>
      <c r="J93" s="895"/>
      <c r="K93" s="55"/>
      <c r="L93" s="55"/>
      <c r="M93" s="55"/>
      <c r="N93" s="55"/>
      <c r="O93" s="55"/>
      <c r="P93" s="55"/>
      <c r="Q93" s="55"/>
      <c r="R93" s="55"/>
      <c r="S93" s="55"/>
      <c r="T93" s="55"/>
      <c r="U93" s="762">
        <v>374</v>
      </c>
      <c r="V93" s="760"/>
      <c r="W93" s="758"/>
      <c r="X93" s="55"/>
      <c r="Y93" s="760"/>
      <c r="Z93" s="760"/>
      <c r="AA93" s="768"/>
    </row>
    <row r="94" spans="1:27">
      <c r="A94" s="893">
        <f>A92+1</f>
        <v>45</v>
      </c>
      <c r="B94" s="55" t="s">
        <v>1653</v>
      </c>
      <c r="C94" s="757" t="s">
        <v>62</v>
      </c>
      <c r="D94" s="758"/>
      <c r="E94" s="758"/>
      <c r="F94" s="55"/>
      <c r="G94" s="760">
        <v>523720.01400000002</v>
      </c>
      <c r="H94" s="760">
        <v>3586364.5929999999</v>
      </c>
      <c r="I94" s="892"/>
      <c r="J94" s="893">
        <f>J92+1</f>
        <v>45</v>
      </c>
      <c r="K94" s="55" t="s">
        <v>1653</v>
      </c>
      <c r="L94" s="757" t="s">
        <v>62</v>
      </c>
      <c r="M94" s="55">
        <v>1</v>
      </c>
      <c r="N94" s="55">
        <v>1</v>
      </c>
      <c r="O94" s="55">
        <v>1</v>
      </c>
      <c r="P94" s="55">
        <v>1</v>
      </c>
      <c r="Q94" s="757"/>
      <c r="R94" s="757"/>
      <c r="S94" s="757"/>
      <c r="T94" s="757"/>
      <c r="U94" s="762"/>
      <c r="V94" s="760"/>
      <c r="W94" s="758">
        <v>287.94</v>
      </c>
      <c r="X94" s="55"/>
      <c r="Y94" s="760">
        <v>523725.32620000001</v>
      </c>
      <c r="Z94" s="760">
        <v>3586358.6113</v>
      </c>
      <c r="AA94" s="768"/>
    </row>
    <row r="95" spans="1:27">
      <c r="A95" s="893"/>
      <c r="B95" s="55"/>
      <c r="C95" s="55"/>
      <c r="D95" s="761">
        <v>356</v>
      </c>
      <c r="E95" s="758"/>
      <c r="F95" s="55"/>
      <c r="G95" s="760"/>
      <c r="H95" s="760"/>
      <c r="I95" s="892"/>
      <c r="J95" s="895"/>
      <c r="K95" s="55"/>
      <c r="L95" s="55"/>
      <c r="M95" s="55"/>
      <c r="N95" s="55"/>
      <c r="O95" s="55"/>
      <c r="P95" s="55"/>
      <c r="Q95" s="55"/>
      <c r="R95" s="55"/>
      <c r="S95" s="55"/>
      <c r="T95" s="55"/>
      <c r="U95" s="762">
        <v>352</v>
      </c>
      <c r="V95" s="760"/>
      <c r="W95" s="758"/>
      <c r="X95" s="55"/>
      <c r="Y95" s="760"/>
      <c r="Z95" s="760"/>
      <c r="AA95" s="768"/>
    </row>
    <row r="96" spans="1:27">
      <c r="A96" s="893">
        <f>A94+1</f>
        <v>46</v>
      </c>
      <c r="B96" s="55" t="s">
        <v>1654</v>
      </c>
      <c r="C96" s="757" t="s">
        <v>76</v>
      </c>
      <c r="D96" s="758"/>
      <c r="E96" s="758"/>
      <c r="F96" s="55"/>
      <c r="G96" s="760">
        <v>523956.40500000003</v>
      </c>
      <c r="H96" s="760">
        <v>3586098.4070000001</v>
      </c>
      <c r="I96" s="892"/>
      <c r="J96" s="893">
        <f>J94+1</f>
        <v>46</v>
      </c>
      <c r="K96" s="55" t="s">
        <v>1654</v>
      </c>
      <c r="L96" s="757" t="s">
        <v>76</v>
      </c>
      <c r="M96" s="55">
        <v>0</v>
      </c>
      <c r="N96" s="55">
        <v>0</v>
      </c>
      <c r="O96" s="55">
        <v>0</v>
      </c>
      <c r="P96" s="55">
        <v>0</v>
      </c>
      <c r="Q96" s="757"/>
      <c r="R96" s="757"/>
      <c r="S96" s="757"/>
      <c r="T96" s="757"/>
      <c r="U96" s="762"/>
      <c r="V96" s="760"/>
      <c r="W96" s="758">
        <v>296.01400000000001</v>
      </c>
      <c r="X96" s="55"/>
      <c r="Y96" s="760">
        <v>523959.0613</v>
      </c>
      <c r="Z96" s="760">
        <v>3586095.4158999999</v>
      </c>
      <c r="AA96" s="768" t="s">
        <v>1956</v>
      </c>
    </row>
    <row r="97" spans="1:27">
      <c r="A97" s="893"/>
      <c r="B97" s="55"/>
      <c r="C97" s="55"/>
      <c r="D97" s="761">
        <v>410</v>
      </c>
      <c r="E97" s="758"/>
      <c r="F97" s="55"/>
      <c r="G97" s="760"/>
      <c r="H97" s="760"/>
      <c r="I97" s="892"/>
      <c r="J97" s="895"/>
      <c r="K97" s="55"/>
      <c r="L97" s="55"/>
      <c r="M97" s="55"/>
      <c r="N97" s="55"/>
      <c r="O97" s="55"/>
      <c r="P97" s="55"/>
      <c r="Q97" s="55"/>
      <c r="R97" s="55"/>
      <c r="S97" s="55"/>
      <c r="T97" s="55"/>
      <c r="U97" s="762">
        <v>406</v>
      </c>
      <c r="V97" s="760"/>
      <c r="W97" s="758"/>
      <c r="X97" s="55"/>
      <c r="Y97" s="760"/>
      <c r="Z97" s="760"/>
      <c r="AA97" s="768"/>
    </row>
    <row r="98" spans="1:27">
      <c r="A98" s="893">
        <f>A96+1</f>
        <v>47</v>
      </c>
      <c r="B98" s="55" t="s">
        <v>1655</v>
      </c>
      <c r="C98" s="757" t="s">
        <v>76</v>
      </c>
      <c r="D98" s="758"/>
      <c r="E98" s="758"/>
      <c r="F98" s="55"/>
      <c r="G98" s="760">
        <v>524228.65399999998</v>
      </c>
      <c r="H98" s="760">
        <v>3585791.844</v>
      </c>
      <c r="I98" s="892"/>
      <c r="J98" s="893">
        <f>J96+1</f>
        <v>47</v>
      </c>
      <c r="K98" s="55" t="s">
        <v>1655</v>
      </c>
      <c r="L98" s="757" t="s">
        <v>76</v>
      </c>
      <c r="M98" s="55">
        <v>0</v>
      </c>
      <c r="N98" s="55">
        <v>0</v>
      </c>
      <c r="O98" s="55">
        <v>0</v>
      </c>
      <c r="P98" s="55">
        <v>0</v>
      </c>
      <c r="Q98" s="757"/>
      <c r="R98" s="757"/>
      <c r="S98" s="757"/>
      <c r="T98" s="757"/>
      <c r="U98" s="762"/>
      <c r="V98" s="760"/>
      <c r="W98" s="758">
        <v>298.58</v>
      </c>
      <c r="X98" s="55"/>
      <c r="Y98" s="760">
        <v>524228.65399999998</v>
      </c>
      <c r="Z98" s="760">
        <v>3585791.844</v>
      </c>
      <c r="AA98" s="768" t="s">
        <v>1956</v>
      </c>
    </row>
    <row r="99" spans="1:27">
      <c r="A99" s="893"/>
      <c r="B99" s="55"/>
      <c r="C99" s="55"/>
      <c r="D99" s="761">
        <v>358</v>
      </c>
      <c r="E99" s="758"/>
      <c r="F99" s="55"/>
      <c r="G99" s="760"/>
      <c r="H99" s="760"/>
      <c r="I99" s="892"/>
      <c r="J99" s="895"/>
      <c r="K99" s="55"/>
      <c r="L99" s="55"/>
      <c r="M99" s="55"/>
      <c r="N99" s="55"/>
      <c r="O99" s="55"/>
      <c r="P99" s="55"/>
      <c r="Q99" s="55"/>
      <c r="R99" s="55"/>
      <c r="S99" s="55"/>
      <c r="T99" s="55"/>
      <c r="U99" s="762">
        <v>352</v>
      </c>
      <c r="V99" s="760"/>
      <c r="W99" s="758"/>
      <c r="X99" s="55"/>
      <c r="Y99" s="760"/>
      <c r="Z99" s="760"/>
      <c r="AA99" s="768" t="s">
        <v>2130</v>
      </c>
    </row>
    <row r="100" spans="1:27">
      <c r="A100" s="893">
        <f>A98+1</f>
        <v>48</v>
      </c>
      <c r="B100" s="55" t="s">
        <v>1656</v>
      </c>
      <c r="C100" s="757" t="s">
        <v>76</v>
      </c>
      <c r="D100" s="758"/>
      <c r="E100" s="758"/>
      <c r="F100" s="55"/>
      <c r="G100" s="760">
        <v>524466.37300000002</v>
      </c>
      <c r="H100" s="760">
        <v>3585524.162</v>
      </c>
      <c r="I100" s="892"/>
      <c r="J100" s="893">
        <f>J98+1</f>
        <v>48</v>
      </c>
      <c r="K100" s="55" t="s">
        <v>1656</v>
      </c>
      <c r="L100" s="757" t="s">
        <v>76</v>
      </c>
      <c r="M100" s="55">
        <v>0</v>
      </c>
      <c r="N100" s="55">
        <v>0</v>
      </c>
      <c r="O100" s="55">
        <v>0</v>
      </c>
      <c r="P100" s="55">
        <v>0</v>
      </c>
      <c r="Q100" s="757"/>
      <c r="R100" s="757"/>
      <c r="S100" s="757"/>
      <c r="T100" s="757"/>
      <c r="U100" s="762"/>
      <c r="V100" s="760"/>
      <c r="W100" s="758">
        <v>296.73</v>
      </c>
      <c r="X100" s="55"/>
      <c r="Y100" s="760">
        <v>524462.38899999997</v>
      </c>
      <c r="Z100" s="760">
        <v>3585528.6490000002</v>
      </c>
      <c r="AA100" s="770"/>
    </row>
    <row r="101" spans="1:27">
      <c r="A101" s="893"/>
      <c r="B101" s="55"/>
      <c r="C101" s="55"/>
      <c r="D101" s="761">
        <v>324</v>
      </c>
      <c r="E101" s="758"/>
      <c r="F101" s="55"/>
      <c r="G101" s="760"/>
      <c r="H101" s="760"/>
      <c r="I101" s="892"/>
      <c r="J101" s="895"/>
      <c r="K101" s="55"/>
      <c r="L101" s="55"/>
      <c r="M101" s="55"/>
      <c r="N101" s="55"/>
      <c r="O101" s="55"/>
      <c r="P101" s="55"/>
      <c r="Q101" s="55"/>
      <c r="R101" s="55"/>
      <c r="S101" s="55"/>
      <c r="T101" s="55"/>
      <c r="U101" s="762">
        <v>340</v>
      </c>
      <c r="V101" s="760"/>
      <c r="W101" s="758"/>
      <c r="X101" s="55"/>
      <c r="Y101" s="760"/>
      <c r="Z101" s="760"/>
      <c r="AA101" s="768" t="s">
        <v>2128</v>
      </c>
    </row>
    <row r="102" spans="1:27">
      <c r="A102" s="893">
        <f>A100+1</f>
        <v>49</v>
      </c>
      <c r="B102" s="55" t="s">
        <v>1657</v>
      </c>
      <c r="C102" s="757" t="s">
        <v>76</v>
      </c>
      <c r="D102" s="758"/>
      <c r="E102" s="758"/>
      <c r="F102" s="55"/>
      <c r="G102" s="760">
        <v>524681.51599999995</v>
      </c>
      <c r="H102" s="760">
        <v>3585281.9029999999</v>
      </c>
      <c r="I102" s="892"/>
      <c r="J102" s="893">
        <f>J100+1</f>
        <v>49</v>
      </c>
      <c r="K102" s="55" t="s">
        <v>1657</v>
      </c>
      <c r="L102" s="757" t="s">
        <v>62</v>
      </c>
      <c r="M102" s="55">
        <v>0</v>
      </c>
      <c r="N102" s="55">
        <v>0</v>
      </c>
      <c r="O102" s="55">
        <v>0</v>
      </c>
      <c r="P102" s="55">
        <v>0</v>
      </c>
      <c r="Q102" s="757"/>
      <c r="R102" s="757"/>
      <c r="S102" s="757"/>
      <c r="T102" s="757"/>
      <c r="U102" s="762"/>
      <c r="V102" s="760"/>
      <c r="W102" s="758">
        <v>287.32900000000001</v>
      </c>
      <c r="X102" s="55"/>
      <c r="Y102" s="760">
        <v>524688.15599999996</v>
      </c>
      <c r="Z102" s="760">
        <v>3585274.426</v>
      </c>
      <c r="AA102" s="770" t="s">
        <v>1956</v>
      </c>
    </row>
    <row r="103" spans="1:27">
      <c r="A103" s="893"/>
      <c r="B103" s="55"/>
      <c r="C103" s="55"/>
      <c r="D103" s="761">
        <v>386.62900000000002</v>
      </c>
      <c r="E103" s="758"/>
      <c r="F103" s="55"/>
      <c r="G103" s="760"/>
      <c r="H103" s="760"/>
      <c r="I103" s="892"/>
      <c r="J103" s="895"/>
      <c r="K103" s="55"/>
      <c r="L103" s="55"/>
      <c r="M103" s="55"/>
      <c r="N103" s="55"/>
      <c r="O103" s="55"/>
      <c r="P103" s="55"/>
      <c r="Q103" s="55"/>
      <c r="R103" s="55"/>
      <c r="S103" s="55"/>
      <c r="T103" s="55"/>
      <c r="U103" s="762">
        <v>376.62900000000002</v>
      </c>
      <c r="V103" s="760"/>
      <c r="W103" s="758"/>
      <c r="X103" s="55"/>
      <c r="Y103" s="760"/>
      <c r="Z103" s="760"/>
      <c r="AA103" s="768" t="s">
        <v>2131</v>
      </c>
    </row>
    <row r="104" spans="1:27">
      <c r="A104" s="893">
        <f>A102+1</f>
        <v>50</v>
      </c>
      <c r="B104" s="55" t="s">
        <v>1957</v>
      </c>
      <c r="C104" s="55" t="s">
        <v>1269</v>
      </c>
      <c r="D104" s="55"/>
      <c r="E104" s="55">
        <v>2573.6289999999999</v>
      </c>
      <c r="F104" s="55" t="s">
        <v>1958</v>
      </c>
      <c r="G104" s="55">
        <v>524938.24600000004</v>
      </c>
      <c r="H104" s="55">
        <v>3584992.8149999999</v>
      </c>
      <c r="I104" s="892"/>
      <c r="J104" s="893">
        <f>J102+1</f>
        <v>50</v>
      </c>
      <c r="K104" s="55" t="s">
        <v>1957</v>
      </c>
      <c r="L104" s="55" t="s">
        <v>1269</v>
      </c>
      <c r="M104" s="757">
        <v>0</v>
      </c>
      <c r="N104" s="757">
        <v>0</v>
      </c>
      <c r="O104" s="757">
        <v>0</v>
      </c>
      <c r="P104" s="757">
        <v>0</v>
      </c>
      <c r="Q104" s="757"/>
      <c r="R104" s="757"/>
      <c r="S104" s="757"/>
      <c r="T104" s="757"/>
      <c r="U104" s="760"/>
      <c r="V104" s="55">
        <v>2573.6289999999999</v>
      </c>
      <c r="W104" s="55">
        <v>283.95699999999999</v>
      </c>
      <c r="X104" s="55" t="s">
        <v>1958</v>
      </c>
      <c r="Y104" s="55">
        <v>524938.24600000004</v>
      </c>
      <c r="Z104" s="55">
        <v>3584992.8149999999</v>
      </c>
      <c r="AA104" s="766"/>
    </row>
    <row r="105" spans="1:27">
      <c r="A105" s="893"/>
      <c r="B105" s="55"/>
      <c r="C105" s="55"/>
      <c r="D105" s="55">
        <v>423</v>
      </c>
      <c r="E105" s="55"/>
      <c r="F105" s="55"/>
      <c r="G105" s="55"/>
      <c r="H105" s="55"/>
      <c r="I105" s="892"/>
      <c r="J105" s="895"/>
      <c r="K105" s="55"/>
      <c r="L105" s="55"/>
      <c r="M105" s="55"/>
      <c r="N105" s="55"/>
      <c r="O105" s="55"/>
      <c r="P105" s="55"/>
      <c r="Q105" s="55"/>
      <c r="R105" s="55"/>
      <c r="S105" s="55"/>
      <c r="T105" s="55"/>
      <c r="U105" s="760">
        <v>423</v>
      </c>
      <c r="V105" s="55"/>
      <c r="W105" s="55"/>
      <c r="X105" s="55"/>
      <c r="Y105" s="55"/>
      <c r="Z105" s="55"/>
      <c r="AA105" s="767" t="s">
        <v>2130</v>
      </c>
    </row>
    <row r="106" spans="1:27">
      <c r="A106" s="893">
        <f>A104+1</f>
        <v>51</v>
      </c>
      <c r="B106" s="55" t="s">
        <v>1659</v>
      </c>
      <c r="C106" s="55" t="s">
        <v>53</v>
      </c>
      <c r="D106" s="55"/>
      <c r="E106" s="55"/>
      <c r="F106" s="55"/>
      <c r="G106" s="55">
        <v>525248.54200000002</v>
      </c>
      <c r="H106" s="55">
        <v>3584705.335</v>
      </c>
      <c r="I106" s="892"/>
      <c r="J106" s="893">
        <f>J104+1</f>
        <v>51</v>
      </c>
      <c r="K106" s="55" t="s">
        <v>1659</v>
      </c>
      <c r="L106" s="55" t="s">
        <v>53</v>
      </c>
      <c r="M106" s="757">
        <v>0</v>
      </c>
      <c r="N106" s="757">
        <v>0</v>
      </c>
      <c r="O106" s="757">
        <v>0</v>
      </c>
      <c r="P106" s="757">
        <v>0</v>
      </c>
      <c r="Q106" s="757"/>
      <c r="R106" s="757"/>
      <c r="S106" s="757"/>
      <c r="T106" s="757"/>
      <c r="U106" s="760"/>
      <c r="V106" s="55"/>
      <c r="W106" s="55">
        <v>282.42200000000003</v>
      </c>
      <c r="X106" s="55"/>
      <c r="Y106" s="55">
        <v>525248.54200000002</v>
      </c>
      <c r="Z106" s="55">
        <v>3584705.335</v>
      </c>
      <c r="AA106" s="768"/>
    </row>
    <row r="107" spans="1:27">
      <c r="A107" s="893"/>
      <c r="B107" s="55"/>
      <c r="C107" s="55"/>
      <c r="D107" s="55">
        <v>417</v>
      </c>
      <c r="E107" s="55"/>
      <c r="F107" s="55"/>
      <c r="G107" s="55"/>
      <c r="H107" s="55"/>
      <c r="I107" s="892"/>
      <c r="J107" s="895"/>
      <c r="K107" s="55"/>
      <c r="L107" s="55"/>
      <c r="M107" s="55"/>
      <c r="N107" s="55"/>
      <c r="O107" s="55"/>
      <c r="P107" s="55"/>
      <c r="Q107" s="55"/>
      <c r="R107" s="55"/>
      <c r="S107" s="55"/>
      <c r="T107" s="55"/>
      <c r="U107" s="760">
        <v>417</v>
      </c>
      <c r="V107" s="55"/>
      <c r="W107" s="55"/>
      <c r="X107" s="55"/>
      <c r="Y107" s="55"/>
      <c r="Z107" s="55"/>
      <c r="AA107" s="768" t="s">
        <v>2126</v>
      </c>
    </row>
    <row r="108" spans="1:27">
      <c r="A108" s="893">
        <f>A106+1</f>
        <v>52</v>
      </c>
      <c r="B108" s="55" t="s">
        <v>658</v>
      </c>
      <c r="C108" s="55" t="s">
        <v>76</v>
      </c>
      <c r="D108" s="55"/>
      <c r="E108" s="55"/>
      <c r="F108" s="55"/>
      <c r="G108" s="55">
        <v>525554.43799999997</v>
      </c>
      <c r="H108" s="55">
        <v>3584421.932</v>
      </c>
      <c r="I108" s="892"/>
      <c r="J108" s="893">
        <f>J106+1</f>
        <v>52</v>
      </c>
      <c r="K108" s="55" t="s">
        <v>658</v>
      </c>
      <c r="L108" s="55" t="s">
        <v>76</v>
      </c>
      <c r="M108" s="757">
        <v>0</v>
      </c>
      <c r="N108" s="757">
        <v>0</v>
      </c>
      <c r="O108" s="757">
        <v>0</v>
      </c>
      <c r="P108" s="757">
        <v>0</v>
      </c>
      <c r="Q108" s="757"/>
      <c r="R108" s="757"/>
      <c r="S108" s="757"/>
      <c r="T108" s="757"/>
      <c r="U108" s="760"/>
      <c r="V108" s="55"/>
      <c r="W108" s="55">
        <v>281.58100000000002</v>
      </c>
      <c r="X108" s="55"/>
      <c r="Y108" s="55">
        <v>525554.43700000003</v>
      </c>
      <c r="Z108" s="55">
        <v>3584421.932</v>
      </c>
      <c r="AA108" s="769"/>
    </row>
    <row r="109" spans="1:27">
      <c r="A109" s="893"/>
      <c r="B109" s="55"/>
      <c r="C109" s="55"/>
      <c r="D109" s="55">
        <v>415</v>
      </c>
      <c r="E109" s="55"/>
      <c r="F109" s="55"/>
      <c r="G109" s="55"/>
      <c r="H109" s="55"/>
      <c r="I109" s="892"/>
      <c r="J109" s="895"/>
      <c r="K109" s="55"/>
      <c r="L109" s="55"/>
      <c r="M109" s="55"/>
      <c r="N109" s="55"/>
      <c r="O109" s="55"/>
      <c r="P109" s="55"/>
      <c r="Q109" s="55"/>
      <c r="R109" s="55"/>
      <c r="S109" s="55"/>
      <c r="T109" s="55"/>
      <c r="U109" s="760">
        <v>415</v>
      </c>
      <c r="V109" s="55"/>
      <c r="W109" s="55"/>
      <c r="X109" s="55"/>
      <c r="Y109" s="55"/>
      <c r="Z109" s="55"/>
      <c r="AA109" s="768" t="s">
        <v>2126</v>
      </c>
    </row>
    <row r="110" spans="1:27">
      <c r="A110" s="893">
        <f>A108+1</f>
        <v>53</v>
      </c>
      <c r="B110" s="55" t="s">
        <v>1660</v>
      </c>
      <c r="C110" s="55" t="s">
        <v>53</v>
      </c>
      <c r="D110" s="55"/>
      <c r="E110" s="55"/>
      <c r="F110" s="55"/>
      <c r="G110" s="55">
        <v>525858.86600000004</v>
      </c>
      <c r="H110" s="55">
        <v>3584139.8879999998</v>
      </c>
      <c r="I110" s="892"/>
      <c r="J110" s="893">
        <f>J108+1</f>
        <v>53</v>
      </c>
      <c r="K110" s="55" t="s">
        <v>1660</v>
      </c>
      <c r="L110" s="55" t="s">
        <v>53</v>
      </c>
      <c r="M110" s="757">
        <v>0</v>
      </c>
      <c r="N110" s="757">
        <v>0</v>
      </c>
      <c r="O110" s="757">
        <v>0</v>
      </c>
      <c r="P110" s="757">
        <v>0</v>
      </c>
      <c r="Q110" s="757"/>
      <c r="R110" s="757"/>
      <c r="S110" s="757"/>
      <c r="T110" s="757"/>
      <c r="U110" s="760"/>
      <c r="V110" s="55"/>
      <c r="W110" s="55">
        <v>280.86599999999999</v>
      </c>
      <c r="X110" s="55"/>
      <c r="Y110" s="55">
        <v>525858.86499999999</v>
      </c>
      <c r="Z110" s="55">
        <v>3584139.889</v>
      </c>
      <c r="AA110" s="768"/>
    </row>
    <row r="111" spans="1:27">
      <c r="A111" s="893"/>
      <c r="B111" s="55"/>
      <c r="C111" s="55"/>
      <c r="D111" s="55">
        <v>421</v>
      </c>
      <c r="E111" s="55"/>
      <c r="F111" s="55"/>
      <c r="G111" s="55"/>
      <c r="H111" s="55"/>
      <c r="I111" s="892"/>
      <c r="J111" s="895"/>
      <c r="K111" s="55"/>
      <c r="L111" s="55"/>
      <c r="M111" s="55"/>
      <c r="N111" s="55"/>
      <c r="O111" s="55"/>
      <c r="P111" s="55"/>
      <c r="Q111" s="55"/>
      <c r="R111" s="55"/>
      <c r="S111" s="55"/>
      <c r="T111" s="55"/>
      <c r="U111" s="760">
        <v>421</v>
      </c>
      <c r="V111" s="55"/>
      <c r="W111" s="55"/>
      <c r="X111" s="55"/>
      <c r="Y111" s="55"/>
      <c r="Z111" s="55"/>
      <c r="AA111" s="768" t="s">
        <v>2133</v>
      </c>
    </row>
    <row r="112" spans="1:27">
      <c r="A112" s="893">
        <f>A110+1</f>
        <v>54</v>
      </c>
      <c r="B112" s="55" t="s">
        <v>1959</v>
      </c>
      <c r="C112" s="55" t="s">
        <v>76</v>
      </c>
      <c r="D112" s="55"/>
      <c r="E112" s="55"/>
      <c r="F112" s="55"/>
      <c r="G112" s="55">
        <v>526167.69499999995</v>
      </c>
      <c r="H112" s="55">
        <v>3583853.767</v>
      </c>
      <c r="I112" s="892"/>
      <c r="J112" s="893">
        <f>J110+1</f>
        <v>54</v>
      </c>
      <c r="K112" s="55" t="s">
        <v>1959</v>
      </c>
      <c r="L112" s="55" t="s">
        <v>76</v>
      </c>
      <c r="M112" s="757">
        <v>0</v>
      </c>
      <c r="N112" s="757">
        <v>0</v>
      </c>
      <c r="O112" s="757">
        <v>0</v>
      </c>
      <c r="P112" s="757">
        <v>0</v>
      </c>
      <c r="Q112" s="757"/>
      <c r="R112" s="757"/>
      <c r="S112" s="757"/>
      <c r="T112" s="757"/>
      <c r="U112" s="760"/>
      <c r="V112" s="55"/>
      <c r="W112" s="55">
        <v>279.30599999999998</v>
      </c>
      <c r="X112" s="55"/>
      <c r="Y112" s="55">
        <v>526167.69499999995</v>
      </c>
      <c r="Z112" s="55">
        <v>3583853.7680000002</v>
      </c>
      <c r="AA112" s="768"/>
    </row>
    <row r="113" spans="1:27">
      <c r="A113" s="893"/>
      <c r="B113" s="55"/>
      <c r="C113" s="55"/>
      <c r="D113" s="55">
        <v>404</v>
      </c>
      <c r="E113" s="55"/>
      <c r="F113" s="55"/>
      <c r="G113" s="55"/>
      <c r="H113" s="55"/>
      <c r="I113" s="892"/>
      <c r="J113" s="895"/>
      <c r="K113" s="55"/>
      <c r="L113" s="55"/>
      <c r="M113" s="55"/>
      <c r="N113" s="55"/>
      <c r="O113" s="55"/>
      <c r="P113" s="55"/>
      <c r="Q113" s="55"/>
      <c r="R113" s="55"/>
      <c r="S113" s="55"/>
      <c r="T113" s="55"/>
      <c r="U113" s="760">
        <v>404</v>
      </c>
      <c r="V113" s="55"/>
      <c r="W113" s="55"/>
      <c r="X113" s="55"/>
      <c r="Y113" s="55"/>
      <c r="Z113" s="55"/>
      <c r="AA113" s="768"/>
    </row>
    <row r="114" spans="1:27">
      <c r="A114" s="893">
        <f>A112+1</f>
        <v>55</v>
      </c>
      <c r="B114" s="55" t="s">
        <v>1960</v>
      </c>
      <c r="C114" s="55" t="s">
        <v>249</v>
      </c>
      <c r="D114" s="55"/>
      <c r="E114" s="55"/>
      <c r="F114" s="55"/>
      <c r="G114" s="55">
        <v>526464.054</v>
      </c>
      <c r="H114" s="760">
        <v>3583579.2</v>
      </c>
      <c r="I114" s="892"/>
      <c r="J114" s="893">
        <f>J112+1</f>
        <v>55</v>
      </c>
      <c r="K114" s="55" t="s">
        <v>1960</v>
      </c>
      <c r="L114" s="55" t="s">
        <v>249</v>
      </c>
      <c r="M114" s="757">
        <v>0</v>
      </c>
      <c r="N114" s="757">
        <v>0</v>
      </c>
      <c r="O114" s="757">
        <v>0</v>
      </c>
      <c r="P114" s="757">
        <v>0</v>
      </c>
      <c r="Q114" s="757"/>
      <c r="R114" s="757"/>
      <c r="S114" s="757"/>
      <c r="T114" s="757"/>
      <c r="U114" s="760"/>
      <c r="V114" s="55"/>
      <c r="W114" s="55">
        <v>277.73899999999998</v>
      </c>
      <c r="X114" s="55"/>
      <c r="Y114" s="55">
        <v>526464.054</v>
      </c>
      <c r="Z114" s="55">
        <v>3583579.2</v>
      </c>
      <c r="AA114" s="768"/>
    </row>
    <row r="115" spans="1:27">
      <c r="A115" s="893"/>
      <c r="B115" s="55"/>
      <c r="C115" s="55"/>
      <c r="D115" s="55">
        <v>434.72899999999998</v>
      </c>
      <c r="E115" s="55"/>
      <c r="F115" s="55"/>
      <c r="G115" s="55"/>
      <c r="H115" s="55"/>
      <c r="I115" s="892"/>
      <c r="J115" s="895"/>
      <c r="K115" s="55"/>
      <c r="L115" s="55"/>
      <c r="M115" s="55"/>
      <c r="N115" s="55"/>
      <c r="O115" s="55"/>
      <c r="P115" s="55"/>
      <c r="Q115" s="55"/>
      <c r="R115" s="55"/>
      <c r="S115" s="55"/>
      <c r="T115" s="55"/>
      <c r="U115" s="760">
        <v>434.73</v>
      </c>
      <c r="V115" s="55"/>
      <c r="W115" s="55"/>
      <c r="X115" s="55"/>
      <c r="Y115" s="55"/>
      <c r="Z115" s="55"/>
      <c r="AA115" s="768" t="s">
        <v>2134</v>
      </c>
    </row>
    <row r="116" spans="1:27">
      <c r="A116" s="893">
        <f>A114+1</f>
        <v>56</v>
      </c>
      <c r="B116" s="55" t="s">
        <v>1961</v>
      </c>
      <c r="C116" s="55" t="s">
        <v>1269</v>
      </c>
      <c r="D116" s="55"/>
      <c r="E116" s="55">
        <f>D105+D107+D109+D111+D113+D115</f>
        <v>2514.7289999999998</v>
      </c>
      <c r="F116" s="55" t="s">
        <v>1962</v>
      </c>
      <c r="G116" s="55">
        <v>526782.95499999996</v>
      </c>
      <c r="H116" s="55">
        <v>3583283.7480000001</v>
      </c>
      <c r="I116" s="892"/>
      <c r="J116" s="893">
        <f>J114+1</f>
        <v>56</v>
      </c>
      <c r="K116" s="55" t="s">
        <v>1961</v>
      </c>
      <c r="L116" s="55" t="s">
        <v>1269</v>
      </c>
      <c r="M116" s="757">
        <v>0</v>
      </c>
      <c r="N116" s="757">
        <v>0</v>
      </c>
      <c r="O116" s="757">
        <v>0</v>
      </c>
      <c r="P116" s="757">
        <v>0</v>
      </c>
      <c r="Q116" s="757"/>
      <c r="R116" s="757"/>
      <c r="S116" s="757"/>
      <c r="T116" s="757"/>
      <c r="U116" s="760"/>
      <c r="V116" s="55">
        <f>U105+U107+U109+U111+U113+U115</f>
        <v>2514.73</v>
      </c>
      <c r="W116" s="55">
        <v>276.59399999999999</v>
      </c>
      <c r="X116" s="55" t="s">
        <v>1962</v>
      </c>
      <c r="Y116" s="55">
        <v>526782.95499999996</v>
      </c>
      <c r="Z116" s="55">
        <v>3583283.7480000001</v>
      </c>
      <c r="AA116" s="768"/>
    </row>
    <row r="117" spans="1:27">
      <c r="A117" s="893"/>
      <c r="B117" s="55"/>
      <c r="C117" s="55"/>
      <c r="D117" s="55">
        <v>395</v>
      </c>
      <c r="E117" s="55"/>
      <c r="F117" s="55"/>
      <c r="G117" s="55"/>
      <c r="H117" s="55"/>
      <c r="I117" s="892"/>
      <c r="J117" s="895"/>
      <c r="K117" s="55"/>
      <c r="L117" s="55"/>
      <c r="M117" s="55"/>
      <c r="N117" s="55"/>
      <c r="O117" s="55"/>
      <c r="P117" s="55"/>
      <c r="Q117" s="55"/>
      <c r="R117" s="55"/>
      <c r="S117" s="55"/>
      <c r="T117" s="55"/>
      <c r="U117" s="760">
        <v>395</v>
      </c>
      <c r="V117" s="55"/>
      <c r="W117" s="55"/>
      <c r="X117" s="55"/>
      <c r="Y117" s="55"/>
      <c r="Z117" s="55"/>
      <c r="AA117" s="768"/>
    </row>
    <row r="118" spans="1:27">
      <c r="A118" s="893">
        <f>A116+1</f>
        <v>57</v>
      </c>
      <c r="B118" s="55" t="s">
        <v>1661</v>
      </c>
      <c r="C118" s="55" t="s">
        <v>62</v>
      </c>
      <c r="D118" s="55"/>
      <c r="E118" s="55"/>
      <c r="F118" s="55"/>
      <c r="G118" s="55">
        <v>527125.01300000004</v>
      </c>
      <c r="H118" s="55">
        <v>3583086.2110000001</v>
      </c>
      <c r="I118" s="892"/>
      <c r="J118" s="893">
        <f>J116+1</f>
        <v>57</v>
      </c>
      <c r="K118" s="55" t="s">
        <v>1661</v>
      </c>
      <c r="L118" s="55" t="s">
        <v>62</v>
      </c>
      <c r="M118" s="757">
        <v>0</v>
      </c>
      <c r="N118" s="757">
        <v>0</v>
      </c>
      <c r="O118" s="757">
        <v>0</v>
      </c>
      <c r="P118" s="757">
        <v>0</v>
      </c>
      <c r="Q118" s="757"/>
      <c r="R118" s="757"/>
      <c r="S118" s="757"/>
      <c r="T118" s="757"/>
      <c r="U118" s="760"/>
      <c r="V118" s="55"/>
      <c r="W118" s="55">
        <v>276.084</v>
      </c>
      <c r="X118" s="55"/>
      <c r="Y118" s="55">
        <v>527125.01300000004</v>
      </c>
      <c r="Z118" s="55">
        <v>3583086.2110000001</v>
      </c>
      <c r="AA118" s="768"/>
    </row>
    <row r="119" spans="1:27">
      <c r="A119" s="893"/>
      <c r="B119" s="55"/>
      <c r="C119" s="55"/>
      <c r="D119" s="55">
        <v>385</v>
      </c>
      <c r="E119" s="55"/>
      <c r="F119" s="55"/>
      <c r="G119" s="55"/>
      <c r="H119" s="55"/>
      <c r="I119" s="892"/>
      <c r="J119" s="895"/>
      <c r="K119" s="55"/>
      <c r="L119" s="55"/>
      <c r="M119" s="55"/>
      <c r="N119" s="55"/>
      <c r="O119" s="55"/>
      <c r="P119" s="55"/>
      <c r="Q119" s="55"/>
      <c r="R119" s="55"/>
      <c r="S119" s="55"/>
      <c r="T119" s="55"/>
      <c r="U119" s="760">
        <v>385</v>
      </c>
      <c r="V119" s="55"/>
      <c r="W119" s="55"/>
      <c r="X119" s="55"/>
      <c r="Y119" s="55"/>
      <c r="Z119" s="55"/>
      <c r="AA119" s="768"/>
    </row>
    <row r="120" spans="1:27">
      <c r="A120" s="893">
        <f>A118+1</f>
        <v>58</v>
      </c>
      <c r="B120" s="55" t="s">
        <v>1662</v>
      </c>
      <c r="C120" s="55" t="s">
        <v>76</v>
      </c>
      <c r="D120" s="55"/>
      <c r="E120" s="55"/>
      <c r="F120" s="55"/>
      <c r="G120" s="55">
        <v>527458.41299999994</v>
      </c>
      <c r="H120" s="55">
        <v>3582893.6749999998</v>
      </c>
      <c r="I120" s="892"/>
      <c r="J120" s="893">
        <f>J118+1</f>
        <v>58</v>
      </c>
      <c r="K120" s="55" t="s">
        <v>1662</v>
      </c>
      <c r="L120" s="55" t="s">
        <v>76</v>
      </c>
      <c r="M120" s="757">
        <v>0</v>
      </c>
      <c r="N120" s="757">
        <v>0</v>
      </c>
      <c r="O120" s="757">
        <v>0</v>
      </c>
      <c r="P120" s="757">
        <v>0</v>
      </c>
      <c r="Q120" s="757"/>
      <c r="R120" s="757"/>
      <c r="S120" s="757"/>
      <c r="T120" s="757"/>
      <c r="U120" s="760"/>
      <c r="V120" s="55"/>
      <c r="W120" s="55">
        <v>274.62299999999999</v>
      </c>
      <c r="X120" s="55"/>
      <c r="Y120" s="55">
        <v>527458.41200000001</v>
      </c>
      <c r="Z120" s="55">
        <v>3582893.6749999998</v>
      </c>
      <c r="AA120" s="768"/>
    </row>
    <row r="121" spans="1:27">
      <c r="A121" s="893"/>
      <c r="B121" s="55"/>
      <c r="C121" s="55"/>
      <c r="D121" s="55">
        <v>395</v>
      </c>
      <c r="E121" s="55"/>
      <c r="F121" s="55"/>
      <c r="G121" s="55"/>
      <c r="H121" s="55"/>
      <c r="I121" s="892"/>
      <c r="J121" s="895"/>
      <c r="K121" s="55"/>
      <c r="L121" s="55"/>
      <c r="M121" s="55"/>
      <c r="N121" s="55"/>
      <c r="O121" s="55"/>
      <c r="P121" s="55"/>
      <c r="Q121" s="55"/>
      <c r="R121" s="55"/>
      <c r="S121" s="55"/>
      <c r="T121" s="55"/>
      <c r="U121" s="760">
        <v>395</v>
      </c>
      <c r="V121" s="55"/>
      <c r="W121" s="55"/>
      <c r="X121" s="55"/>
      <c r="Y121" s="55"/>
      <c r="Z121" s="55"/>
      <c r="AA121" s="768"/>
    </row>
    <row r="122" spans="1:27">
      <c r="A122" s="893">
        <f>A120+1</f>
        <v>59</v>
      </c>
      <c r="B122" s="55" t="s">
        <v>668</v>
      </c>
      <c r="C122" s="55" t="s">
        <v>76</v>
      </c>
      <c r="D122" s="55"/>
      <c r="E122" s="55"/>
      <c r="F122" s="55"/>
      <c r="G122" s="55">
        <v>527800.47100000002</v>
      </c>
      <c r="H122" s="55">
        <v>3582696.1379999998</v>
      </c>
      <c r="I122" s="892"/>
      <c r="J122" s="893">
        <f>J120+1</f>
        <v>59</v>
      </c>
      <c r="K122" s="55" t="s">
        <v>668</v>
      </c>
      <c r="L122" s="55" t="s">
        <v>76</v>
      </c>
      <c r="M122" s="757">
        <v>0</v>
      </c>
      <c r="N122" s="757">
        <v>0</v>
      </c>
      <c r="O122" s="757">
        <v>0</v>
      </c>
      <c r="P122" s="757">
        <v>0</v>
      </c>
      <c r="Q122" s="757"/>
      <c r="R122" s="757"/>
      <c r="S122" s="757"/>
      <c r="T122" s="757"/>
      <c r="U122" s="760"/>
      <c r="V122" s="55"/>
      <c r="W122" s="55">
        <v>274.09399999999999</v>
      </c>
      <c r="X122" s="55"/>
      <c r="Y122" s="55">
        <v>527800.47100000002</v>
      </c>
      <c r="Z122" s="55">
        <v>3582696.1379999998</v>
      </c>
      <c r="AA122" s="768"/>
    </row>
    <row r="123" spans="1:27">
      <c r="A123" s="893"/>
      <c r="B123" s="55"/>
      <c r="C123" s="55"/>
      <c r="D123" s="55">
        <v>390</v>
      </c>
      <c r="E123" s="55"/>
      <c r="F123" s="55"/>
      <c r="G123" s="55"/>
      <c r="H123" s="55"/>
      <c r="I123" s="892"/>
      <c r="J123" s="895"/>
      <c r="K123" s="55"/>
      <c r="L123" s="55"/>
      <c r="M123" s="55"/>
      <c r="N123" s="55"/>
      <c r="O123" s="55"/>
      <c r="P123" s="55"/>
      <c r="Q123" s="55"/>
      <c r="R123" s="55"/>
      <c r="S123" s="55"/>
      <c r="T123" s="55"/>
      <c r="U123" s="760">
        <v>390</v>
      </c>
      <c r="V123" s="55"/>
      <c r="W123" s="55"/>
      <c r="X123" s="55"/>
      <c r="Y123" s="55"/>
      <c r="Z123" s="55"/>
      <c r="AA123" s="768"/>
    </row>
    <row r="124" spans="1:27">
      <c r="A124" s="893">
        <f>A122+1</f>
        <v>60</v>
      </c>
      <c r="B124" s="55" t="s">
        <v>1663</v>
      </c>
      <c r="C124" s="55" t="s">
        <v>62</v>
      </c>
      <c r="D124" s="55"/>
      <c r="E124" s="55"/>
      <c r="F124" s="55"/>
      <c r="G124" s="55">
        <v>528138.19999999995</v>
      </c>
      <c r="H124" s="55">
        <v>3582501.102</v>
      </c>
      <c r="I124" s="892"/>
      <c r="J124" s="893">
        <f>J122+1</f>
        <v>60</v>
      </c>
      <c r="K124" s="55" t="s">
        <v>1663</v>
      </c>
      <c r="L124" s="55" t="s">
        <v>62</v>
      </c>
      <c r="M124" s="757">
        <v>0</v>
      </c>
      <c r="N124" s="757">
        <v>0</v>
      </c>
      <c r="O124" s="757">
        <v>0</v>
      </c>
      <c r="P124" s="757">
        <v>0</v>
      </c>
      <c r="Q124" s="757"/>
      <c r="R124" s="757"/>
      <c r="S124" s="757"/>
      <c r="T124" s="757"/>
      <c r="U124" s="760"/>
      <c r="V124" s="55"/>
      <c r="W124" s="55">
        <v>271.88</v>
      </c>
      <c r="X124" s="55"/>
      <c r="Y124" s="55">
        <v>528138.19999999995</v>
      </c>
      <c r="Z124" s="55">
        <v>3582501.102</v>
      </c>
      <c r="AA124" s="768"/>
    </row>
    <row r="125" spans="1:27">
      <c r="A125" s="893"/>
      <c r="B125" s="55"/>
      <c r="C125" s="55"/>
      <c r="D125" s="55">
        <v>420</v>
      </c>
      <c r="E125" s="55"/>
      <c r="F125" s="55"/>
      <c r="G125" s="55"/>
      <c r="H125" s="55"/>
      <c r="I125" s="892"/>
      <c r="J125" s="895"/>
      <c r="K125" s="55"/>
      <c r="L125" s="55"/>
      <c r="M125" s="55"/>
      <c r="N125" s="55"/>
      <c r="O125" s="55"/>
      <c r="P125" s="55"/>
      <c r="Q125" s="55"/>
      <c r="R125" s="55"/>
      <c r="S125" s="55"/>
      <c r="T125" s="55"/>
      <c r="U125" s="760">
        <v>420</v>
      </c>
      <c r="V125" s="55"/>
      <c r="W125" s="55"/>
      <c r="X125" s="55"/>
      <c r="Y125" s="55"/>
      <c r="Z125" s="55"/>
      <c r="AA125" s="768" t="s">
        <v>2135</v>
      </c>
    </row>
    <row r="126" spans="1:27">
      <c r="A126" s="893">
        <f>A124+1</f>
        <v>61</v>
      </c>
      <c r="B126" s="55" t="s">
        <v>1963</v>
      </c>
      <c r="C126" s="55" t="s">
        <v>62</v>
      </c>
      <c r="D126" s="55"/>
      <c r="E126" s="55"/>
      <c r="F126" s="55"/>
      <c r="G126" s="55">
        <v>528501.90800000005</v>
      </c>
      <c r="H126" s="55">
        <v>3582291.0630000001</v>
      </c>
      <c r="I126" s="892"/>
      <c r="J126" s="893">
        <f>J124+1</f>
        <v>61</v>
      </c>
      <c r="K126" s="55" t="s">
        <v>1963</v>
      </c>
      <c r="L126" s="55" t="s">
        <v>62</v>
      </c>
      <c r="M126" s="757">
        <v>0</v>
      </c>
      <c r="N126" s="757">
        <v>0</v>
      </c>
      <c r="O126" s="757">
        <v>0</v>
      </c>
      <c r="P126" s="757">
        <v>0</v>
      </c>
      <c r="Q126" s="757"/>
      <c r="R126" s="757"/>
      <c r="S126" s="757"/>
      <c r="T126" s="757"/>
      <c r="U126" s="760"/>
      <c r="V126" s="55"/>
      <c r="W126" s="55">
        <v>271.69</v>
      </c>
      <c r="X126" s="55"/>
      <c r="Y126" s="55">
        <v>528501.90800000005</v>
      </c>
      <c r="Z126" s="55">
        <v>3582291.0630000001</v>
      </c>
      <c r="AA126" s="768"/>
    </row>
    <row r="127" spans="1:27">
      <c r="A127" s="893"/>
      <c r="B127" s="55"/>
      <c r="C127" s="55"/>
      <c r="D127" s="55">
        <v>389.47699999999998</v>
      </c>
      <c r="E127" s="55"/>
      <c r="F127" s="55"/>
      <c r="G127" s="55"/>
      <c r="H127" s="55"/>
      <c r="I127" s="892"/>
      <c r="J127" s="895"/>
      <c r="K127" s="55"/>
      <c r="L127" s="55"/>
      <c r="M127" s="55"/>
      <c r="N127" s="55"/>
      <c r="O127" s="55"/>
      <c r="P127" s="55"/>
      <c r="Q127" s="55"/>
      <c r="R127" s="55"/>
      <c r="S127" s="55"/>
      <c r="T127" s="55"/>
      <c r="U127" s="760">
        <v>389.48</v>
      </c>
      <c r="V127" s="55"/>
      <c r="W127" s="55"/>
      <c r="X127" s="55"/>
      <c r="Y127" s="55"/>
      <c r="Z127" s="55"/>
      <c r="AA127" s="768" t="s">
        <v>2122</v>
      </c>
    </row>
    <row r="128" spans="1:27">
      <c r="A128" s="893">
        <f>A126+1</f>
        <v>62</v>
      </c>
      <c r="B128" s="55" t="s">
        <v>1964</v>
      </c>
      <c r="C128" s="55" t="s">
        <v>1269</v>
      </c>
      <c r="D128" s="55"/>
      <c r="E128" s="55">
        <f>D117+D119+D121+D123+D125+D127</f>
        <v>2374.4769999999999</v>
      </c>
      <c r="F128" s="55" t="s">
        <v>1965</v>
      </c>
      <c r="G128" s="55">
        <v>528839.18400000001</v>
      </c>
      <c r="H128" s="55">
        <v>3582096.2880000002</v>
      </c>
      <c r="I128" s="892"/>
      <c r="J128" s="893">
        <f>J126+1</f>
        <v>62</v>
      </c>
      <c r="K128" s="55" t="s">
        <v>1964</v>
      </c>
      <c r="L128" s="55" t="s">
        <v>1269</v>
      </c>
      <c r="M128" s="757">
        <v>0</v>
      </c>
      <c r="N128" s="757">
        <v>0</v>
      </c>
      <c r="O128" s="757">
        <v>0</v>
      </c>
      <c r="P128" s="757">
        <v>0</v>
      </c>
      <c r="Q128" s="757"/>
      <c r="R128" s="757"/>
      <c r="S128" s="757"/>
      <c r="T128" s="757"/>
      <c r="U128" s="760"/>
      <c r="V128" s="55">
        <f>U117+U119+U121+U123+U125+U127</f>
        <v>2374.48</v>
      </c>
      <c r="W128" s="55">
        <v>270.44400000000002</v>
      </c>
      <c r="X128" s="55" t="s">
        <v>1965</v>
      </c>
      <c r="Y128" s="55">
        <v>528839.18400000001</v>
      </c>
      <c r="Z128" s="55">
        <v>3582096.2880000002</v>
      </c>
      <c r="AA128" s="768"/>
    </row>
    <row r="129" spans="1:27">
      <c r="A129" s="893"/>
      <c r="B129" s="55"/>
      <c r="C129" s="55"/>
      <c r="D129" s="55">
        <v>409.99900000000002</v>
      </c>
      <c r="E129" s="55"/>
      <c r="F129" s="55"/>
      <c r="G129" s="55"/>
      <c r="H129" s="55"/>
      <c r="I129" s="892"/>
      <c r="J129" s="895"/>
      <c r="K129" s="55"/>
      <c r="L129" s="55"/>
      <c r="M129" s="55"/>
      <c r="N129" s="55"/>
      <c r="O129" s="55"/>
      <c r="P129" s="55"/>
      <c r="Q129" s="55"/>
      <c r="R129" s="55"/>
      <c r="S129" s="55"/>
      <c r="T129" s="55"/>
      <c r="U129" s="760">
        <v>410</v>
      </c>
      <c r="V129" s="55"/>
      <c r="W129" s="55"/>
      <c r="X129" s="55"/>
      <c r="Y129" s="55"/>
      <c r="Z129" s="55"/>
      <c r="AA129" s="768" t="s">
        <v>2136</v>
      </c>
    </row>
    <row r="130" spans="1:27">
      <c r="A130" s="893">
        <f>A128+1</f>
        <v>63</v>
      </c>
      <c r="B130" s="55" t="s">
        <v>654</v>
      </c>
      <c r="C130" s="55" t="s">
        <v>53</v>
      </c>
      <c r="D130" s="55"/>
      <c r="E130" s="55"/>
      <c r="F130" s="55"/>
      <c r="G130" s="55">
        <v>529153.89599999995</v>
      </c>
      <c r="H130" s="55">
        <v>3581833.5040000002</v>
      </c>
      <c r="I130" s="892"/>
      <c r="J130" s="893">
        <f>J128+1</f>
        <v>63</v>
      </c>
      <c r="K130" s="55" t="s">
        <v>654</v>
      </c>
      <c r="L130" s="55" t="s">
        <v>53</v>
      </c>
      <c r="M130" s="757">
        <v>0</v>
      </c>
      <c r="N130" s="757">
        <v>0</v>
      </c>
      <c r="O130" s="757">
        <v>0</v>
      </c>
      <c r="P130" s="757">
        <v>0</v>
      </c>
      <c r="Q130" s="757"/>
      <c r="R130" s="757"/>
      <c r="S130" s="757"/>
      <c r="T130" s="757"/>
      <c r="U130" s="760"/>
      <c r="V130" s="55"/>
      <c r="W130" s="55">
        <v>268.214</v>
      </c>
      <c r="X130" s="55"/>
      <c r="Y130" s="55">
        <v>529153.89599999995</v>
      </c>
      <c r="Z130" s="55">
        <v>3581833.5040000002</v>
      </c>
      <c r="AA130" s="767"/>
    </row>
    <row r="131" spans="1:27">
      <c r="A131" s="893"/>
      <c r="B131" s="55"/>
      <c r="C131" s="55"/>
      <c r="D131" s="55">
        <v>426.98399999999998</v>
      </c>
      <c r="E131" s="55"/>
      <c r="F131" s="55"/>
      <c r="G131" s="55"/>
      <c r="H131" s="55"/>
      <c r="I131" s="892"/>
      <c r="J131" s="895"/>
      <c r="K131" s="55"/>
      <c r="L131" s="55"/>
      <c r="M131" s="55"/>
      <c r="N131" s="55"/>
      <c r="O131" s="55"/>
      <c r="P131" s="55"/>
      <c r="Q131" s="55"/>
      <c r="R131" s="55"/>
      <c r="S131" s="55"/>
      <c r="T131" s="55"/>
      <c r="U131" s="760">
        <v>426.98399999999998</v>
      </c>
      <c r="V131" s="55"/>
      <c r="W131" s="55"/>
      <c r="X131" s="55"/>
      <c r="Y131" s="55"/>
      <c r="Z131" s="55"/>
      <c r="AA131" s="767" t="s">
        <v>2126</v>
      </c>
    </row>
    <row r="132" spans="1:27">
      <c r="A132" s="893">
        <f>A130+1</f>
        <v>64</v>
      </c>
      <c r="B132" s="55" t="s">
        <v>1966</v>
      </c>
      <c r="C132" s="55" t="s">
        <v>1277</v>
      </c>
      <c r="D132" s="55"/>
      <c r="E132" s="55">
        <f>D129+D131</f>
        <v>836.98299999999995</v>
      </c>
      <c r="F132" s="55" t="s">
        <v>1967</v>
      </c>
      <c r="G132" s="55">
        <v>529481.64599999995</v>
      </c>
      <c r="H132" s="55">
        <v>3581559.8339999998</v>
      </c>
      <c r="I132" s="892"/>
      <c r="J132" s="893">
        <f>J130+1</f>
        <v>64</v>
      </c>
      <c r="K132" s="55" t="s">
        <v>1966</v>
      </c>
      <c r="L132" s="55" t="s">
        <v>1277</v>
      </c>
      <c r="M132" s="757">
        <v>0</v>
      </c>
      <c r="N132" s="757">
        <v>0</v>
      </c>
      <c r="O132" s="757">
        <v>0</v>
      </c>
      <c r="P132" s="757">
        <v>0</v>
      </c>
      <c r="Q132" s="757"/>
      <c r="R132" s="757"/>
      <c r="S132" s="757"/>
      <c r="T132" s="757"/>
      <c r="U132" s="760"/>
      <c r="V132" s="55">
        <f>U129+U131</f>
        <v>836.98399999999992</v>
      </c>
      <c r="W132" s="55">
        <v>266.75599999999997</v>
      </c>
      <c r="X132" s="55" t="s">
        <v>1967</v>
      </c>
      <c r="Y132" s="55">
        <v>529481.64599999995</v>
      </c>
      <c r="Z132" s="55">
        <v>3581559.8339999998</v>
      </c>
      <c r="AA132" s="767"/>
    </row>
    <row r="133" spans="1:27">
      <c r="A133" s="893"/>
      <c r="B133" s="55"/>
      <c r="C133" s="55"/>
      <c r="D133" s="55">
        <v>289.99900000000002</v>
      </c>
      <c r="E133" s="55"/>
      <c r="F133" s="55"/>
      <c r="G133" s="55"/>
      <c r="H133" s="55"/>
      <c r="I133" s="892"/>
      <c r="J133" s="895"/>
      <c r="K133" s="55"/>
      <c r="L133" s="55"/>
      <c r="M133" s="55"/>
      <c r="N133" s="55"/>
      <c r="O133" s="55"/>
      <c r="P133" s="55"/>
      <c r="Q133" s="55"/>
      <c r="R133" s="55"/>
      <c r="S133" s="55"/>
      <c r="T133" s="55"/>
      <c r="U133" s="760">
        <v>290</v>
      </c>
      <c r="V133" s="55"/>
      <c r="W133" s="55"/>
      <c r="X133" s="55"/>
      <c r="Y133" s="55"/>
      <c r="Z133" s="55"/>
      <c r="AA133" s="767"/>
    </row>
    <row r="134" spans="1:27">
      <c r="A134" s="893">
        <f>A132+1</f>
        <v>65</v>
      </c>
      <c r="B134" s="55" t="s">
        <v>770</v>
      </c>
      <c r="C134" s="55" t="s">
        <v>76</v>
      </c>
      <c r="D134" s="55"/>
      <c r="E134" s="55"/>
      <c r="F134" s="55"/>
      <c r="G134" s="55">
        <v>529602.60699999996</v>
      </c>
      <c r="H134" s="55">
        <v>3581296.2659999998</v>
      </c>
      <c r="I134" s="892"/>
      <c r="J134" s="893">
        <f>J132+1</f>
        <v>65</v>
      </c>
      <c r="K134" s="55" t="s">
        <v>770</v>
      </c>
      <c r="L134" s="55" t="s">
        <v>76</v>
      </c>
      <c r="M134" s="757">
        <v>0</v>
      </c>
      <c r="N134" s="757">
        <v>0</v>
      </c>
      <c r="O134" s="757">
        <v>0</v>
      </c>
      <c r="P134" s="757">
        <v>0</v>
      </c>
      <c r="Q134" s="757"/>
      <c r="R134" s="757"/>
      <c r="S134" s="757"/>
      <c r="T134" s="757"/>
      <c r="U134" s="760"/>
      <c r="V134" s="55"/>
      <c r="W134" s="55">
        <v>264.56700000000001</v>
      </c>
      <c r="X134" s="55"/>
      <c r="Y134" s="55">
        <v>529602.60699999996</v>
      </c>
      <c r="Z134" s="55">
        <v>3581296.267</v>
      </c>
      <c r="AA134" s="767"/>
    </row>
    <row r="135" spans="1:27">
      <c r="A135" s="893"/>
      <c r="B135" s="55"/>
      <c r="C135" s="55"/>
      <c r="D135" s="55">
        <v>360</v>
      </c>
      <c r="E135" s="55"/>
      <c r="F135" s="55"/>
      <c r="G135" s="55"/>
      <c r="H135" s="55"/>
      <c r="I135" s="892"/>
      <c r="J135" s="895"/>
      <c r="K135" s="55"/>
      <c r="L135" s="55"/>
      <c r="M135" s="55"/>
      <c r="N135" s="55"/>
      <c r="O135" s="55"/>
      <c r="P135" s="55"/>
      <c r="Q135" s="55"/>
      <c r="R135" s="55"/>
      <c r="S135" s="55"/>
      <c r="T135" s="55"/>
      <c r="U135" s="760">
        <v>360</v>
      </c>
      <c r="V135" s="55"/>
      <c r="W135" s="55"/>
      <c r="X135" s="55"/>
      <c r="Y135" s="55"/>
      <c r="Z135" s="55"/>
      <c r="AA135" s="767" t="s">
        <v>2126</v>
      </c>
    </row>
    <row r="136" spans="1:27">
      <c r="A136" s="893">
        <f>A134+1</f>
        <v>66</v>
      </c>
      <c r="B136" s="55" t="s">
        <v>984</v>
      </c>
      <c r="C136" s="55" t="s">
        <v>76</v>
      </c>
      <c r="D136" s="55"/>
      <c r="E136" s="55"/>
      <c r="F136" s="55"/>
      <c r="G136" s="55">
        <v>529752.76599999995</v>
      </c>
      <c r="H136" s="55">
        <v>3580969.0780000002</v>
      </c>
      <c r="I136" s="892"/>
      <c r="J136" s="893">
        <f>J134+1</f>
        <v>66</v>
      </c>
      <c r="K136" s="55" t="s">
        <v>984</v>
      </c>
      <c r="L136" s="55" t="s">
        <v>76</v>
      </c>
      <c r="M136" s="757">
        <v>0</v>
      </c>
      <c r="N136" s="757">
        <v>0</v>
      </c>
      <c r="O136" s="757">
        <v>0</v>
      </c>
      <c r="P136" s="757">
        <v>0</v>
      </c>
      <c r="Q136" s="757"/>
      <c r="R136" s="757"/>
      <c r="S136" s="757"/>
      <c r="T136" s="757"/>
      <c r="U136" s="760"/>
      <c r="V136" s="55"/>
      <c r="W136" s="55">
        <v>264.358</v>
      </c>
      <c r="X136" s="55"/>
      <c r="Y136" s="55">
        <v>529752.76599999995</v>
      </c>
      <c r="Z136" s="55">
        <v>3580969.0780000002</v>
      </c>
      <c r="AA136" s="767"/>
    </row>
    <row r="137" spans="1:27">
      <c r="A137" s="893"/>
      <c r="B137" s="55"/>
      <c r="C137" s="55"/>
      <c r="D137" s="55">
        <v>317.79899999999998</v>
      </c>
      <c r="E137" s="55"/>
      <c r="F137" s="55"/>
      <c r="G137" s="55"/>
      <c r="H137" s="55"/>
      <c r="I137" s="892"/>
      <c r="J137" s="895"/>
      <c r="K137" s="55"/>
      <c r="L137" s="55"/>
      <c r="M137" s="55"/>
      <c r="N137" s="55"/>
      <c r="O137" s="55"/>
      <c r="P137" s="55"/>
      <c r="Q137" s="55"/>
      <c r="R137" s="55"/>
      <c r="S137" s="55"/>
      <c r="T137" s="55"/>
      <c r="U137" s="760">
        <v>317.8</v>
      </c>
      <c r="V137" s="55"/>
      <c r="W137" s="55"/>
      <c r="X137" s="55"/>
      <c r="Y137" s="55"/>
      <c r="Z137" s="55"/>
      <c r="AA137" s="767" t="s">
        <v>2137</v>
      </c>
    </row>
    <row r="138" spans="1:27">
      <c r="A138" s="893">
        <f>A136+1</f>
        <v>67</v>
      </c>
      <c r="B138" s="55" t="s">
        <v>1968</v>
      </c>
      <c r="C138" s="55" t="s">
        <v>1269</v>
      </c>
      <c r="D138" s="55"/>
      <c r="E138" s="55">
        <f>D133+D135+D137</f>
        <v>967.798</v>
      </c>
      <c r="F138" s="55" t="s">
        <v>1969</v>
      </c>
      <c r="G138" s="55">
        <v>529885.32299999997</v>
      </c>
      <c r="H138" s="55">
        <v>3580680.2439999999</v>
      </c>
      <c r="I138" s="892"/>
      <c r="J138" s="893">
        <f>J136+1</f>
        <v>67</v>
      </c>
      <c r="K138" s="55" t="s">
        <v>1968</v>
      </c>
      <c r="L138" s="55" t="s">
        <v>1269</v>
      </c>
      <c r="M138" s="757">
        <v>0</v>
      </c>
      <c r="N138" s="757">
        <v>0</v>
      </c>
      <c r="O138" s="757">
        <v>0</v>
      </c>
      <c r="P138" s="757">
        <v>0</v>
      </c>
      <c r="Q138" s="757"/>
      <c r="R138" s="757"/>
      <c r="S138" s="757"/>
      <c r="T138" s="757"/>
      <c r="U138" s="760"/>
      <c r="V138" s="55">
        <f>U133+U135+U137</f>
        <v>967.8</v>
      </c>
      <c r="W138" s="55">
        <v>264.77499999999998</v>
      </c>
      <c r="X138" s="55" t="s">
        <v>1969</v>
      </c>
      <c r="Y138" s="55">
        <v>529885.32299999997</v>
      </c>
      <c r="Z138" s="55">
        <v>3580680.2439999999</v>
      </c>
      <c r="AA138" s="767"/>
    </row>
    <row r="139" spans="1:27">
      <c r="A139" s="893"/>
      <c r="B139" s="55"/>
      <c r="C139" s="55"/>
      <c r="D139" s="55">
        <v>412.154</v>
      </c>
      <c r="E139" s="55"/>
      <c r="F139" s="55"/>
      <c r="G139" s="55"/>
      <c r="H139" s="55"/>
      <c r="I139" s="892"/>
      <c r="J139" s="895"/>
      <c r="K139" s="55"/>
      <c r="L139" s="55"/>
      <c r="M139" s="55"/>
      <c r="N139" s="55"/>
      <c r="O139" s="55"/>
      <c r="P139" s="55"/>
      <c r="Q139" s="55"/>
      <c r="R139" s="55"/>
      <c r="S139" s="55"/>
      <c r="T139" s="55"/>
      <c r="U139" s="760">
        <v>427.154</v>
      </c>
      <c r="V139" s="55"/>
      <c r="W139" s="55"/>
      <c r="X139" s="55"/>
      <c r="Y139" s="55"/>
      <c r="Z139" s="55"/>
      <c r="AA139" s="768" t="s">
        <v>2138</v>
      </c>
    </row>
    <row r="140" spans="1:27">
      <c r="A140" s="893">
        <f>A138+1</f>
        <v>68</v>
      </c>
      <c r="B140" s="55" t="s">
        <v>962</v>
      </c>
      <c r="C140" s="55" t="s">
        <v>62</v>
      </c>
      <c r="D140" s="55"/>
      <c r="E140" s="55"/>
      <c r="F140" s="55"/>
      <c r="G140" s="55">
        <v>530020.17299999995</v>
      </c>
      <c r="H140" s="55">
        <v>3580290.7749999999</v>
      </c>
      <c r="I140" s="892"/>
      <c r="J140" s="893">
        <f>J138+1</f>
        <v>68</v>
      </c>
      <c r="K140" s="55" t="s">
        <v>962</v>
      </c>
      <c r="L140" s="55" t="s">
        <v>53</v>
      </c>
      <c r="M140" s="757">
        <v>0</v>
      </c>
      <c r="N140" s="757">
        <v>0</v>
      </c>
      <c r="O140" s="757">
        <v>0</v>
      </c>
      <c r="P140" s="757">
        <v>0</v>
      </c>
      <c r="Q140" s="757"/>
      <c r="R140" s="757"/>
      <c r="S140" s="757"/>
      <c r="T140" s="757"/>
      <c r="U140" s="760"/>
      <c r="V140" s="55"/>
      <c r="W140" s="55">
        <v>264.71699999999998</v>
      </c>
      <c r="X140" s="55"/>
      <c r="Y140" s="55">
        <v>530025.07999999996</v>
      </c>
      <c r="Z140" s="55">
        <v>3580276.6009999998</v>
      </c>
      <c r="AA140" s="768"/>
    </row>
    <row r="141" spans="1:27">
      <c r="A141" s="893"/>
      <c r="B141" s="55"/>
      <c r="C141" s="55"/>
      <c r="D141" s="55">
        <v>407.75299999999999</v>
      </c>
      <c r="E141" s="55"/>
      <c r="F141" s="55"/>
      <c r="G141" s="55"/>
      <c r="H141" s="55"/>
      <c r="I141" s="892"/>
      <c r="J141" s="895"/>
      <c r="K141" s="55"/>
      <c r="L141" s="55"/>
      <c r="M141" s="55"/>
      <c r="N141" s="55"/>
      <c r="O141" s="55"/>
      <c r="P141" s="55"/>
      <c r="Q141" s="55"/>
      <c r="R141" s="55"/>
      <c r="S141" s="55"/>
      <c r="T141" s="55"/>
      <c r="U141" s="760">
        <v>392.75299999999999</v>
      </c>
      <c r="V141" s="55"/>
      <c r="W141" s="55"/>
      <c r="X141" s="55"/>
      <c r="Y141" s="55"/>
      <c r="Z141" s="55"/>
      <c r="AA141" s="768" t="s">
        <v>2139</v>
      </c>
    </row>
    <row r="142" spans="1:27">
      <c r="A142" s="893">
        <f>A140+1</f>
        <v>69</v>
      </c>
      <c r="B142" s="55" t="s">
        <v>1970</v>
      </c>
      <c r="C142" s="55" t="s">
        <v>1319</v>
      </c>
      <c r="D142" s="55"/>
      <c r="E142" s="55">
        <f>D139+D141</f>
        <v>819.90699999999993</v>
      </c>
      <c r="F142" s="55" t="s">
        <v>1971</v>
      </c>
      <c r="G142" s="55">
        <v>530153.58299999998</v>
      </c>
      <c r="H142" s="55">
        <v>3579905.4640000002</v>
      </c>
      <c r="I142" s="892"/>
      <c r="J142" s="893">
        <f>J140+1</f>
        <v>69</v>
      </c>
      <c r="K142" s="55" t="s">
        <v>1970</v>
      </c>
      <c r="L142" s="55" t="s">
        <v>1319</v>
      </c>
      <c r="M142" s="55">
        <v>2</v>
      </c>
      <c r="N142" s="55">
        <v>2</v>
      </c>
      <c r="O142" s="55">
        <v>2</v>
      </c>
      <c r="P142" s="55">
        <v>2</v>
      </c>
      <c r="Q142" s="757"/>
      <c r="R142" s="757"/>
      <c r="S142" s="757"/>
      <c r="T142" s="757"/>
      <c r="U142" s="760"/>
      <c r="V142" s="55">
        <f>U139+U141</f>
        <v>819.90699999999993</v>
      </c>
      <c r="W142" s="55">
        <v>263.83600000000001</v>
      </c>
      <c r="X142" s="55" t="s">
        <v>1971</v>
      </c>
      <c r="Y142" s="55">
        <v>530153.58299999998</v>
      </c>
      <c r="Z142" s="55">
        <v>3579905.4640000002</v>
      </c>
      <c r="AA142" s="768"/>
    </row>
    <row r="143" spans="1:27">
      <c r="A143" s="893"/>
      <c r="B143" s="55"/>
      <c r="C143" s="55"/>
      <c r="D143" s="55">
        <v>415</v>
      </c>
      <c r="E143" s="55"/>
      <c r="F143" s="55"/>
      <c r="G143" s="55"/>
      <c r="H143" s="55"/>
      <c r="I143" s="892"/>
      <c r="J143" s="895"/>
      <c r="K143" s="55"/>
      <c r="L143" s="55"/>
      <c r="M143" s="55"/>
      <c r="N143" s="55"/>
      <c r="O143" s="55"/>
      <c r="P143" s="55"/>
      <c r="Q143" s="55"/>
      <c r="R143" s="55"/>
      <c r="S143" s="55"/>
      <c r="T143" s="55"/>
      <c r="U143" s="760">
        <v>415</v>
      </c>
      <c r="V143" s="55"/>
      <c r="W143" s="55"/>
      <c r="X143" s="55"/>
      <c r="Y143" s="55"/>
      <c r="Z143" s="55"/>
      <c r="AA143" s="768" t="s">
        <v>2140</v>
      </c>
    </row>
    <row r="144" spans="1:27">
      <c r="A144" s="893">
        <f>A142+1</f>
        <v>70</v>
      </c>
      <c r="B144" s="55" t="s">
        <v>894</v>
      </c>
      <c r="C144" s="55" t="s">
        <v>53</v>
      </c>
      <c r="D144" s="55"/>
      <c r="E144" s="55"/>
      <c r="F144" s="55"/>
      <c r="G144" s="55">
        <v>530492.91700000002</v>
      </c>
      <c r="H144" s="55">
        <v>3579666.5550000002</v>
      </c>
      <c r="I144" s="892"/>
      <c r="J144" s="893">
        <f>J142+1</f>
        <v>70</v>
      </c>
      <c r="K144" s="55" t="s">
        <v>894</v>
      </c>
      <c r="L144" s="55" t="s">
        <v>53</v>
      </c>
      <c r="M144" s="757">
        <v>0</v>
      </c>
      <c r="N144" s="757">
        <v>0</v>
      </c>
      <c r="O144" s="757">
        <v>0</v>
      </c>
      <c r="P144" s="757">
        <v>0</v>
      </c>
      <c r="Q144" s="757"/>
      <c r="R144" s="757"/>
      <c r="S144" s="757"/>
      <c r="T144" s="757"/>
      <c r="U144" s="760"/>
      <c r="V144" s="55"/>
      <c r="W144" s="55">
        <v>264.41699999999997</v>
      </c>
      <c r="X144" s="55"/>
      <c r="Y144" s="55">
        <v>530492.91700000002</v>
      </c>
      <c r="Z144" s="55">
        <v>3579666.5550000002</v>
      </c>
      <c r="AA144" s="768"/>
    </row>
    <row r="145" spans="1:27">
      <c r="A145" s="893"/>
      <c r="B145" s="55"/>
      <c r="C145" s="55"/>
      <c r="D145" s="55">
        <v>405.233</v>
      </c>
      <c r="E145" s="55"/>
      <c r="F145" s="55"/>
      <c r="G145" s="55"/>
      <c r="H145" s="55"/>
      <c r="I145" s="892"/>
      <c r="J145" s="895"/>
      <c r="K145" s="55"/>
      <c r="L145" s="55"/>
      <c r="M145" s="55"/>
      <c r="N145" s="55"/>
      <c r="O145" s="55"/>
      <c r="P145" s="55"/>
      <c r="Q145" s="55"/>
      <c r="R145" s="55"/>
      <c r="S145" s="55"/>
      <c r="T145" s="55"/>
      <c r="U145" s="760">
        <v>405.23399999999998</v>
      </c>
      <c r="V145" s="55"/>
      <c r="W145" s="55"/>
      <c r="X145" s="55"/>
      <c r="Y145" s="55"/>
      <c r="Z145" s="55"/>
      <c r="AA145" s="768" t="s">
        <v>2122</v>
      </c>
    </row>
    <row r="146" spans="1:27">
      <c r="A146" s="893">
        <f>A144+1</f>
        <v>71</v>
      </c>
      <c r="B146" s="55" t="s">
        <v>1972</v>
      </c>
      <c r="C146" s="55" t="s">
        <v>1277</v>
      </c>
      <c r="D146" s="55"/>
      <c r="E146" s="55">
        <f>D143+D145</f>
        <v>820.23299999999995</v>
      </c>
      <c r="F146" s="55" t="s">
        <v>1973</v>
      </c>
      <c r="G146" s="55">
        <v>530824.26500000001</v>
      </c>
      <c r="H146" s="55">
        <v>3579433.2689999999</v>
      </c>
      <c r="I146" s="892"/>
      <c r="J146" s="893">
        <f>J144+1</f>
        <v>71</v>
      </c>
      <c r="K146" s="55" t="s">
        <v>1972</v>
      </c>
      <c r="L146" s="55" t="s">
        <v>1277</v>
      </c>
      <c r="M146" s="757">
        <v>0</v>
      </c>
      <c r="N146" s="757">
        <v>0</v>
      </c>
      <c r="O146" s="757">
        <v>0</v>
      </c>
      <c r="P146" s="757">
        <v>0</v>
      </c>
      <c r="Q146" s="757"/>
      <c r="R146" s="757"/>
      <c r="S146" s="757"/>
      <c r="T146" s="757"/>
      <c r="U146" s="760"/>
      <c r="V146" s="55">
        <f>U143+U145</f>
        <v>820.23399999999992</v>
      </c>
      <c r="W146" s="55">
        <v>263.77600000000001</v>
      </c>
      <c r="X146" s="55" t="s">
        <v>1974</v>
      </c>
      <c r="Y146" s="55">
        <v>530824.26500000001</v>
      </c>
      <c r="Z146" s="55">
        <v>3579433.2689999999</v>
      </c>
      <c r="AA146" s="769"/>
    </row>
    <row r="147" spans="1:27">
      <c r="A147" s="893"/>
      <c r="B147" s="55"/>
      <c r="C147" s="55"/>
      <c r="D147" s="55">
        <v>425.904</v>
      </c>
      <c r="E147" s="55"/>
      <c r="F147" s="55"/>
      <c r="G147" s="55"/>
      <c r="H147" s="55"/>
      <c r="I147" s="892"/>
      <c r="J147" s="895"/>
      <c r="K147" s="55"/>
      <c r="L147" s="55"/>
      <c r="M147" s="55"/>
      <c r="N147" s="55"/>
      <c r="O147" s="55"/>
      <c r="P147" s="55"/>
      <c r="Q147" s="55"/>
      <c r="R147" s="55"/>
      <c r="S147" s="55"/>
      <c r="T147" s="55"/>
      <c r="U147" s="760">
        <v>439.8</v>
      </c>
      <c r="V147" s="55"/>
      <c r="W147" s="55"/>
      <c r="X147" s="55"/>
      <c r="Y147" s="55"/>
      <c r="Z147" s="55"/>
      <c r="AA147" s="768"/>
    </row>
    <row r="148" spans="1:27">
      <c r="A148" s="893">
        <f>A146+1</f>
        <v>72</v>
      </c>
      <c r="B148" s="55" t="s">
        <v>1975</v>
      </c>
      <c r="C148" s="55" t="s">
        <v>53</v>
      </c>
      <c r="D148" s="55"/>
      <c r="E148" s="55"/>
      <c r="F148" s="55"/>
      <c r="G148" s="55">
        <v>531093.45200000005</v>
      </c>
      <c r="H148" s="55">
        <v>3579103.22</v>
      </c>
      <c r="I148" s="892"/>
      <c r="J148" s="893">
        <f>J146+1</f>
        <v>72</v>
      </c>
      <c r="K148" s="55" t="s">
        <v>1976</v>
      </c>
      <c r="L148" s="55" t="s">
        <v>1977</v>
      </c>
      <c r="M148" s="757">
        <v>0</v>
      </c>
      <c r="N148" s="757">
        <v>0</v>
      </c>
      <c r="O148" s="757">
        <v>0</v>
      </c>
      <c r="P148" s="757">
        <v>0</v>
      </c>
      <c r="Q148" s="757"/>
      <c r="R148" s="757"/>
      <c r="S148" s="757"/>
      <c r="T148" s="757"/>
      <c r="U148" s="760"/>
      <c r="V148" s="55">
        <f>U147</f>
        <v>439.8</v>
      </c>
      <c r="W148" s="55">
        <v>264.09100000000001</v>
      </c>
      <c r="X148" s="55" t="s">
        <v>1978</v>
      </c>
      <c r="Y148" s="55">
        <v>531082.82200000004</v>
      </c>
      <c r="Z148" s="55">
        <v>3579077.5019999999</v>
      </c>
      <c r="AA148" s="768"/>
    </row>
    <row r="149" spans="1:27">
      <c r="A149" s="893"/>
      <c r="B149" s="55"/>
      <c r="C149" s="55"/>
      <c r="D149" s="55">
        <v>380.06900000000002</v>
      </c>
      <c r="E149" s="55"/>
      <c r="F149" s="55"/>
      <c r="G149" s="55"/>
      <c r="H149" s="55"/>
      <c r="I149" s="892"/>
      <c r="J149" s="895"/>
      <c r="K149" s="55"/>
      <c r="L149" s="55"/>
      <c r="M149" s="55"/>
      <c r="N149" s="55"/>
      <c r="O149" s="55"/>
      <c r="P149" s="55"/>
      <c r="Q149" s="55"/>
      <c r="R149" s="55"/>
      <c r="S149" s="55"/>
      <c r="T149" s="55"/>
      <c r="U149" s="760">
        <v>376</v>
      </c>
      <c r="V149" s="55"/>
      <c r="W149" s="55"/>
      <c r="X149" s="55"/>
      <c r="Y149" s="55"/>
      <c r="Z149" s="55"/>
      <c r="AA149" s="768" t="s">
        <v>2141</v>
      </c>
    </row>
    <row r="150" spans="1:27">
      <c r="A150" s="893">
        <f>A148+1</f>
        <v>73</v>
      </c>
      <c r="B150" s="55" t="s">
        <v>1979</v>
      </c>
      <c r="C150" s="55" t="s">
        <v>53</v>
      </c>
      <c r="D150" s="55"/>
      <c r="E150" s="55"/>
      <c r="F150" s="55"/>
      <c r="G150" s="55">
        <v>531333.66899999999</v>
      </c>
      <c r="H150" s="55">
        <v>3578808.69</v>
      </c>
      <c r="I150" s="892"/>
      <c r="J150" s="893">
        <f>J148+1</f>
        <v>73</v>
      </c>
      <c r="K150" s="55" t="s">
        <v>974</v>
      </c>
      <c r="L150" s="55" t="s">
        <v>62</v>
      </c>
      <c r="M150" s="757">
        <v>0</v>
      </c>
      <c r="N150" s="757">
        <v>0</v>
      </c>
      <c r="O150" s="757">
        <v>0</v>
      </c>
      <c r="P150" s="757">
        <v>0</v>
      </c>
      <c r="Q150" s="757"/>
      <c r="R150" s="757"/>
      <c r="S150" s="757"/>
      <c r="T150" s="757"/>
      <c r="U150" s="760"/>
      <c r="V150" s="55"/>
      <c r="W150" s="55">
        <v>263.54300000000001</v>
      </c>
      <c r="X150" s="55"/>
      <c r="Y150" s="55">
        <v>531326.34900000005</v>
      </c>
      <c r="Z150" s="55">
        <v>3578791.0219999999</v>
      </c>
      <c r="AA150" s="768"/>
    </row>
    <row r="151" spans="1:27">
      <c r="A151" s="893"/>
      <c r="B151" s="55"/>
      <c r="C151" s="55"/>
      <c r="D151" s="55">
        <v>416.94200000000001</v>
      </c>
      <c r="E151" s="55"/>
      <c r="F151" s="55"/>
      <c r="G151" s="55"/>
      <c r="H151" s="55"/>
      <c r="I151" s="892"/>
      <c r="J151" s="895"/>
      <c r="K151" s="55"/>
      <c r="L151" s="55"/>
      <c r="M151" s="55"/>
      <c r="N151" s="55"/>
      <c r="O151" s="55"/>
      <c r="P151" s="55"/>
      <c r="Q151" s="55"/>
      <c r="R151" s="55"/>
      <c r="S151" s="55"/>
      <c r="T151" s="55"/>
      <c r="U151" s="760">
        <v>416</v>
      </c>
      <c r="V151" s="55"/>
      <c r="W151" s="55"/>
      <c r="X151" s="55"/>
      <c r="Y151" s="55"/>
      <c r="Z151" s="55"/>
      <c r="AA151" s="768" t="s">
        <v>2142</v>
      </c>
    </row>
    <row r="152" spans="1:27">
      <c r="A152" s="893">
        <f>A150+1</f>
        <v>74</v>
      </c>
      <c r="B152" s="55" t="s">
        <v>1980</v>
      </c>
      <c r="C152" s="55" t="s">
        <v>62</v>
      </c>
      <c r="D152" s="55"/>
      <c r="E152" s="55"/>
      <c r="F152" s="55"/>
      <c r="G152" s="55">
        <v>531597.19200000004</v>
      </c>
      <c r="H152" s="55">
        <v>3578485.585</v>
      </c>
      <c r="I152" s="892"/>
      <c r="J152" s="893">
        <f>J150+1</f>
        <v>74</v>
      </c>
      <c r="K152" s="55" t="s">
        <v>814</v>
      </c>
      <c r="L152" s="55" t="s">
        <v>62</v>
      </c>
      <c r="M152" s="757">
        <v>0</v>
      </c>
      <c r="N152" s="757">
        <v>0</v>
      </c>
      <c r="O152" s="757">
        <v>0</v>
      </c>
      <c r="P152" s="757">
        <v>0</v>
      </c>
      <c r="Q152" s="55"/>
      <c r="R152" s="55"/>
      <c r="S152" s="55"/>
      <c r="T152" s="55"/>
      <c r="U152" s="760"/>
      <c r="V152" s="55"/>
      <c r="W152" s="55">
        <v>261.31299999999999</v>
      </c>
      <c r="X152" s="55"/>
      <c r="Y152" s="55">
        <v>531595.78200000001</v>
      </c>
      <c r="Z152" s="55">
        <v>3578474.0660000001</v>
      </c>
      <c r="AA152" s="768"/>
    </row>
    <row r="153" spans="1:27">
      <c r="A153" s="893"/>
      <c r="B153" s="55"/>
      <c r="C153" s="55"/>
      <c r="D153" s="55">
        <v>419.35599999999999</v>
      </c>
      <c r="E153" s="55"/>
      <c r="F153" s="55"/>
      <c r="G153" s="55"/>
      <c r="H153" s="55"/>
      <c r="I153" s="892"/>
      <c r="J153" s="895"/>
      <c r="K153" s="55"/>
      <c r="L153" s="55"/>
      <c r="M153" s="55"/>
      <c r="N153" s="55"/>
      <c r="O153" s="55"/>
      <c r="P153" s="55"/>
      <c r="Q153" s="55"/>
      <c r="R153" s="55"/>
      <c r="S153" s="55"/>
      <c r="T153" s="55"/>
      <c r="U153" s="760">
        <v>411.4</v>
      </c>
      <c r="V153" s="55"/>
      <c r="W153" s="55"/>
      <c r="X153" s="55"/>
      <c r="Y153" s="55"/>
      <c r="Z153" s="55"/>
      <c r="AA153" s="768" t="s">
        <v>2143</v>
      </c>
    </row>
    <row r="154" spans="1:27">
      <c r="A154" s="893">
        <f>A152+1</f>
        <v>75</v>
      </c>
      <c r="B154" s="55" t="s">
        <v>1976</v>
      </c>
      <c r="C154" s="55" t="s">
        <v>1277</v>
      </c>
      <c r="D154" s="55"/>
      <c r="E154" s="55">
        <f>D147+D149+D151+D153</f>
        <v>1642.271</v>
      </c>
      <c r="F154" s="55" t="s">
        <v>1981</v>
      </c>
      <c r="G154" s="55">
        <v>531862.24</v>
      </c>
      <c r="H154" s="55">
        <v>3578160.61</v>
      </c>
      <c r="I154" s="892"/>
      <c r="J154" s="893">
        <f>J152+1</f>
        <v>75</v>
      </c>
      <c r="K154" s="55" t="s">
        <v>1982</v>
      </c>
      <c r="L154" s="55" t="s">
        <v>1269</v>
      </c>
      <c r="M154" s="757">
        <v>0</v>
      </c>
      <c r="N154" s="757">
        <v>0</v>
      </c>
      <c r="O154" s="757">
        <v>0</v>
      </c>
      <c r="P154" s="757">
        <v>0</v>
      </c>
      <c r="Q154" s="55"/>
      <c r="R154" s="55"/>
      <c r="S154" s="55"/>
      <c r="T154" s="55"/>
      <c r="U154" s="760"/>
      <c r="V154" s="55">
        <f>U149+U151+U153</f>
        <v>1203.4000000000001</v>
      </c>
      <c r="W154" s="55">
        <v>261.43200000000002</v>
      </c>
      <c r="X154" s="55" t="s">
        <v>1983</v>
      </c>
      <c r="Y154" s="55">
        <v>531862.24</v>
      </c>
      <c r="Z154" s="55">
        <v>3578160.61</v>
      </c>
      <c r="AA154" s="768"/>
    </row>
    <row r="155" spans="1:27">
      <c r="A155" s="893"/>
      <c r="B155" s="55"/>
      <c r="C155" s="55"/>
      <c r="D155" s="55">
        <v>390</v>
      </c>
      <c r="E155" s="55"/>
      <c r="F155" s="55"/>
      <c r="G155" s="55"/>
      <c r="H155" s="55"/>
      <c r="I155" s="892"/>
      <c r="J155" s="895"/>
      <c r="K155" s="55"/>
      <c r="L155" s="55"/>
      <c r="M155" s="55"/>
      <c r="N155" s="55"/>
      <c r="O155" s="55"/>
      <c r="P155" s="55"/>
      <c r="Q155" s="55"/>
      <c r="R155" s="55"/>
      <c r="S155" s="55"/>
      <c r="T155" s="55"/>
      <c r="U155" s="760">
        <v>390</v>
      </c>
      <c r="V155" s="55"/>
      <c r="W155" s="55"/>
      <c r="X155" s="55"/>
      <c r="Y155" s="55"/>
      <c r="Z155" s="55"/>
      <c r="AA155" s="768"/>
    </row>
    <row r="156" spans="1:27">
      <c r="A156" s="893">
        <f>A154+1</f>
        <v>76</v>
      </c>
      <c r="B156" s="55" t="s">
        <v>974</v>
      </c>
      <c r="C156" s="55" t="s">
        <v>62</v>
      </c>
      <c r="D156" s="55"/>
      <c r="E156" s="55"/>
      <c r="F156" s="55"/>
      <c r="G156" s="55">
        <v>532042.39099999995</v>
      </c>
      <c r="H156" s="55">
        <v>3577814.7119999998</v>
      </c>
      <c r="I156" s="892"/>
      <c r="J156" s="893">
        <f>J154+1</f>
        <v>76</v>
      </c>
      <c r="K156" s="55" t="s">
        <v>825</v>
      </c>
      <c r="L156" s="55" t="s">
        <v>62</v>
      </c>
      <c r="M156" s="757">
        <v>0</v>
      </c>
      <c r="N156" s="757">
        <v>0</v>
      </c>
      <c r="O156" s="757">
        <v>0</v>
      </c>
      <c r="P156" s="757">
        <v>0</v>
      </c>
      <c r="Q156" s="55"/>
      <c r="R156" s="55"/>
      <c r="S156" s="55"/>
      <c r="T156" s="55"/>
      <c r="U156" s="760"/>
      <c r="V156" s="55"/>
      <c r="W156" s="55">
        <v>260.87900000000002</v>
      </c>
      <c r="X156" s="55"/>
      <c r="Y156" s="55">
        <v>532042.39099999995</v>
      </c>
      <c r="Z156" s="55">
        <v>3577814.7119999998</v>
      </c>
      <c r="AA156" s="768"/>
    </row>
    <row r="157" spans="1:27">
      <c r="A157" s="893"/>
      <c r="B157" s="55"/>
      <c r="C157" s="55"/>
      <c r="D157" s="55">
        <v>385.27199999999999</v>
      </c>
      <c r="E157" s="55"/>
      <c r="F157" s="55"/>
      <c r="G157" s="55"/>
      <c r="H157" s="55"/>
      <c r="I157" s="892"/>
      <c r="J157" s="895"/>
      <c r="K157" s="55"/>
      <c r="L157" s="55"/>
      <c r="M157" s="55"/>
      <c r="N157" s="55"/>
      <c r="O157" s="55"/>
      <c r="P157" s="55"/>
      <c r="Q157" s="55"/>
      <c r="R157" s="55"/>
      <c r="S157" s="55"/>
      <c r="T157" s="55"/>
      <c r="U157" s="760">
        <v>385.27199999999999</v>
      </c>
      <c r="V157" s="55"/>
      <c r="W157" s="55"/>
      <c r="X157" s="55"/>
      <c r="Y157" s="55"/>
      <c r="Z157" s="55"/>
      <c r="AA157" s="768"/>
    </row>
    <row r="158" spans="1:27">
      <c r="A158" s="893">
        <f>A156+1</f>
        <v>77</v>
      </c>
      <c r="B158" s="55" t="s">
        <v>1982</v>
      </c>
      <c r="C158" s="55" t="s">
        <v>1277</v>
      </c>
      <c r="D158" s="55"/>
      <c r="E158" s="55">
        <f>D155+D157</f>
        <v>775.27199999999993</v>
      </c>
      <c r="F158" s="55" t="s">
        <v>1984</v>
      </c>
      <c r="G158" s="55">
        <v>532220.35800000001</v>
      </c>
      <c r="H158" s="55">
        <v>3577473.0070000002</v>
      </c>
      <c r="I158" s="892"/>
      <c r="J158" s="893">
        <f>J156+1</f>
        <v>77</v>
      </c>
      <c r="K158" s="55" t="s">
        <v>1985</v>
      </c>
      <c r="L158" s="55" t="s">
        <v>1269</v>
      </c>
      <c r="M158" s="757">
        <v>0</v>
      </c>
      <c r="N158" s="757">
        <v>0</v>
      </c>
      <c r="O158" s="757">
        <v>0</v>
      </c>
      <c r="P158" s="757">
        <v>0</v>
      </c>
      <c r="Q158" s="55"/>
      <c r="R158" s="55"/>
      <c r="S158" s="55"/>
      <c r="T158" s="55"/>
      <c r="U158" s="760"/>
      <c r="V158" s="55">
        <f>U155+U157</f>
        <v>775.27199999999993</v>
      </c>
      <c r="W158" s="55">
        <v>260.63499999999999</v>
      </c>
      <c r="X158" s="55" t="s">
        <v>1984</v>
      </c>
      <c r="Y158" s="55">
        <v>532220.35800000001</v>
      </c>
      <c r="Z158" s="55">
        <v>3577473.0070000002</v>
      </c>
      <c r="AA158" s="768"/>
    </row>
    <row r="159" spans="1:27">
      <c r="A159" s="893"/>
      <c r="B159" s="55"/>
      <c r="C159" s="55"/>
      <c r="D159" s="55">
        <v>399.20600000000002</v>
      </c>
      <c r="E159" s="55"/>
      <c r="F159" s="55"/>
      <c r="G159" s="55"/>
      <c r="H159" s="55"/>
      <c r="I159" s="892"/>
      <c r="J159" s="895"/>
      <c r="K159" s="55"/>
      <c r="L159" s="55"/>
      <c r="M159" s="757"/>
      <c r="N159" s="757"/>
      <c r="O159" s="757"/>
      <c r="P159" s="757"/>
      <c r="Q159" s="757"/>
      <c r="R159" s="757"/>
      <c r="S159" s="757"/>
      <c r="T159" s="757"/>
      <c r="U159" s="760">
        <v>399.20600000000002</v>
      </c>
      <c r="V159" s="55"/>
      <c r="W159" s="55"/>
      <c r="X159" s="55"/>
      <c r="Y159" s="55"/>
      <c r="Z159" s="55"/>
      <c r="AA159" s="768" t="s">
        <v>2144</v>
      </c>
    </row>
    <row r="160" spans="1:27">
      <c r="A160" s="893">
        <f>A158+1</f>
        <v>78</v>
      </c>
      <c r="B160" s="55" t="s">
        <v>825</v>
      </c>
      <c r="C160" s="55" t="s">
        <v>62</v>
      </c>
      <c r="D160" s="55"/>
      <c r="E160" s="55"/>
      <c r="F160" s="55"/>
      <c r="G160" s="55">
        <v>532467.99300000002</v>
      </c>
      <c r="H160" s="55">
        <v>3577159.89</v>
      </c>
      <c r="I160" s="892"/>
      <c r="J160" s="893">
        <f>J158+1</f>
        <v>78</v>
      </c>
      <c r="K160" s="55" t="s">
        <v>829</v>
      </c>
      <c r="L160" s="55" t="s">
        <v>62</v>
      </c>
      <c r="M160" s="757">
        <v>0</v>
      </c>
      <c r="N160" s="757">
        <v>0</v>
      </c>
      <c r="O160" s="757">
        <v>0</v>
      </c>
      <c r="P160" s="757">
        <v>0</v>
      </c>
      <c r="Q160" s="757"/>
      <c r="R160" s="757"/>
      <c r="S160" s="757"/>
      <c r="T160" s="757"/>
      <c r="U160" s="760"/>
      <c r="V160" s="55"/>
      <c r="W160" s="55">
        <v>258.64600000000002</v>
      </c>
      <c r="X160" s="55"/>
      <c r="Y160" s="55">
        <v>532467.99300000002</v>
      </c>
      <c r="Z160" s="55">
        <v>3577159.89</v>
      </c>
      <c r="AA160" s="768"/>
    </row>
    <row r="161" spans="1:27">
      <c r="A161" s="893"/>
      <c r="B161" s="55"/>
      <c r="C161" s="55"/>
      <c r="D161" s="55">
        <v>407.48700000000002</v>
      </c>
      <c r="E161" s="55"/>
      <c r="F161" s="55"/>
      <c r="G161" s="55"/>
      <c r="H161" s="55"/>
      <c r="I161" s="892"/>
      <c r="J161" s="895"/>
      <c r="K161" s="55"/>
      <c r="L161" s="55"/>
      <c r="M161" s="757"/>
      <c r="N161" s="757"/>
      <c r="O161" s="757"/>
      <c r="P161" s="757"/>
      <c r="Q161" s="757"/>
      <c r="R161" s="757"/>
      <c r="S161" s="757"/>
      <c r="T161" s="757"/>
      <c r="U161" s="760">
        <v>407.48700000000002</v>
      </c>
      <c r="V161" s="55"/>
      <c r="W161" s="55"/>
      <c r="X161" s="55"/>
      <c r="Y161" s="55"/>
      <c r="Z161" s="55"/>
      <c r="AA161" s="768" t="s">
        <v>2145</v>
      </c>
    </row>
    <row r="162" spans="1:27">
      <c r="A162" s="893">
        <f>A160+1</f>
        <v>79</v>
      </c>
      <c r="B162" s="55" t="s">
        <v>811</v>
      </c>
      <c r="C162" s="55" t="s">
        <v>76</v>
      </c>
      <c r="D162" s="55"/>
      <c r="E162" s="55"/>
      <c r="F162" s="55"/>
      <c r="G162" s="55">
        <v>532720.76500000001</v>
      </c>
      <c r="H162" s="55">
        <v>3576840.2779999999</v>
      </c>
      <c r="I162" s="892"/>
      <c r="J162" s="893">
        <f>J160+1</f>
        <v>79</v>
      </c>
      <c r="K162" s="55" t="s">
        <v>965</v>
      </c>
      <c r="L162" s="55" t="s">
        <v>76</v>
      </c>
      <c r="M162" s="757">
        <v>0</v>
      </c>
      <c r="N162" s="757">
        <v>0</v>
      </c>
      <c r="O162" s="757">
        <v>0</v>
      </c>
      <c r="P162" s="757">
        <v>0</v>
      </c>
      <c r="Q162" s="757"/>
      <c r="R162" s="757"/>
      <c r="S162" s="757"/>
      <c r="T162" s="757"/>
      <c r="U162" s="760"/>
      <c r="V162" s="55"/>
      <c r="W162" s="55">
        <v>258.60899999999998</v>
      </c>
      <c r="X162" s="55"/>
      <c r="Y162" s="55">
        <v>532720.76500000001</v>
      </c>
      <c r="Z162" s="55">
        <v>3576840.2779999999</v>
      </c>
      <c r="AA162" s="768"/>
    </row>
    <row r="163" spans="1:27">
      <c r="A163" s="893"/>
      <c r="B163" s="55"/>
      <c r="C163" s="55"/>
      <c r="D163" s="55">
        <v>403.20100000000002</v>
      </c>
      <c r="E163" s="55"/>
      <c r="F163" s="55"/>
      <c r="G163" s="55"/>
      <c r="H163" s="55"/>
      <c r="I163" s="892"/>
      <c r="J163" s="895"/>
      <c r="K163" s="55"/>
      <c r="L163" s="55"/>
      <c r="M163" s="757"/>
      <c r="N163" s="757"/>
      <c r="O163" s="757"/>
      <c r="P163" s="757"/>
      <c r="Q163" s="757"/>
      <c r="R163" s="757"/>
      <c r="S163" s="757"/>
      <c r="T163" s="757"/>
      <c r="U163" s="760">
        <v>403.2</v>
      </c>
      <c r="V163" s="55"/>
      <c r="W163" s="55"/>
      <c r="X163" s="55"/>
      <c r="Y163" s="55"/>
      <c r="Z163" s="55"/>
      <c r="AA163" s="768" t="s">
        <v>2146</v>
      </c>
    </row>
    <row r="164" spans="1:27">
      <c r="A164" s="893">
        <f>A162+1</f>
        <v>80</v>
      </c>
      <c r="B164" s="55" t="s">
        <v>1985</v>
      </c>
      <c r="C164" s="55" t="s">
        <v>1361</v>
      </c>
      <c r="D164" s="55"/>
      <c r="E164" s="55">
        <f>D159+D161+D163</f>
        <v>1209.894</v>
      </c>
      <c r="F164" s="55" t="s">
        <v>1986</v>
      </c>
      <c r="G164" s="55">
        <v>532970.87899999996</v>
      </c>
      <c r="H164" s="55">
        <v>3576524.0269999998</v>
      </c>
      <c r="I164" s="892"/>
      <c r="J164" s="893">
        <f>J162+1</f>
        <v>80</v>
      </c>
      <c r="K164" s="55" t="s">
        <v>1987</v>
      </c>
      <c r="L164" s="55" t="s">
        <v>1361</v>
      </c>
      <c r="M164" s="757">
        <v>0</v>
      </c>
      <c r="N164" s="757">
        <v>0</v>
      </c>
      <c r="O164" s="757">
        <v>0</v>
      </c>
      <c r="P164" s="757">
        <v>0</v>
      </c>
      <c r="Q164" s="757"/>
      <c r="R164" s="757"/>
      <c r="S164" s="757"/>
      <c r="T164" s="757"/>
      <c r="U164" s="760"/>
      <c r="V164" s="55">
        <f>U159+U161+U163</f>
        <v>1209.893</v>
      </c>
      <c r="W164" s="55">
        <v>258.404</v>
      </c>
      <c r="X164" s="55" t="s">
        <v>1986</v>
      </c>
      <c r="Y164" s="55">
        <v>532970.87899999996</v>
      </c>
      <c r="Z164" s="55">
        <v>3576524.0269999998</v>
      </c>
      <c r="AA164" s="768"/>
    </row>
    <row r="165" spans="1:27">
      <c r="A165" s="893"/>
      <c r="B165" s="55"/>
      <c r="C165" s="55"/>
      <c r="D165" s="55">
        <v>429.65300000000002</v>
      </c>
      <c r="E165" s="55"/>
      <c r="F165" s="55"/>
      <c r="G165" s="55"/>
      <c r="H165" s="55"/>
      <c r="I165" s="892"/>
      <c r="J165" s="895"/>
      <c r="K165" s="55"/>
      <c r="L165" s="55"/>
      <c r="M165" s="757"/>
      <c r="N165" s="757"/>
      <c r="O165" s="757"/>
      <c r="P165" s="757"/>
      <c r="Q165" s="757"/>
      <c r="R165" s="757"/>
      <c r="S165" s="757"/>
      <c r="T165" s="757"/>
      <c r="U165" s="760">
        <v>429.65300000000002</v>
      </c>
      <c r="V165" s="55"/>
      <c r="W165" s="55"/>
      <c r="X165" s="55"/>
      <c r="Y165" s="55"/>
      <c r="Z165" s="55"/>
      <c r="AA165" s="768"/>
    </row>
    <row r="166" spans="1:27">
      <c r="A166" s="893">
        <f>A164+1</f>
        <v>81</v>
      </c>
      <c r="B166" s="55" t="s">
        <v>829</v>
      </c>
      <c r="C166" s="55" t="s">
        <v>62</v>
      </c>
      <c r="D166" s="55"/>
      <c r="E166" s="55"/>
      <c r="F166" s="55"/>
      <c r="G166" s="55">
        <v>533314.18900000001</v>
      </c>
      <c r="H166" s="55">
        <v>3576265.6869999999</v>
      </c>
      <c r="I166" s="892"/>
      <c r="J166" s="893">
        <f>J164+1</f>
        <v>81</v>
      </c>
      <c r="K166" s="55" t="s">
        <v>964</v>
      </c>
      <c r="L166" s="55" t="s">
        <v>62</v>
      </c>
      <c r="M166" s="757">
        <v>0</v>
      </c>
      <c r="N166" s="757">
        <v>0</v>
      </c>
      <c r="O166" s="757">
        <v>0</v>
      </c>
      <c r="P166" s="757">
        <v>0</v>
      </c>
      <c r="Q166" s="55"/>
      <c r="R166" s="55"/>
      <c r="S166" s="55"/>
      <c r="T166" s="55"/>
      <c r="U166" s="760"/>
      <c r="V166" s="55"/>
      <c r="W166" s="55">
        <v>258.15800000000002</v>
      </c>
      <c r="X166" s="55"/>
      <c r="Y166" s="55">
        <v>533314.18900000001</v>
      </c>
      <c r="Z166" s="55">
        <v>3576265.6869999999</v>
      </c>
      <c r="AA166" s="768"/>
    </row>
    <row r="167" spans="1:27">
      <c r="A167" s="893"/>
      <c r="B167" s="55"/>
      <c r="C167" s="55"/>
      <c r="D167" s="55">
        <v>400.29599999999999</v>
      </c>
      <c r="E167" s="55"/>
      <c r="F167" s="55"/>
      <c r="G167" s="55"/>
      <c r="H167" s="55"/>
      <c r="I167" s="892"/>
      <c r="J167" s="895"/>
      <c r="K167" s="55"/>
      <c r="L167" s="55"/>
      <c r="M167" s="55"/>
      <c r="N167" s="55"/>
      <c r="O167" s="55"/>
      <c r="P167" s="55"/>
      <c r="Q167" s="55"/>
      <c r="R167" s="55"/>
      <c r="S167" s="55"/>
      <c r="T167" s="55"/>
      <c r="U167" s="760">
        <v>400.3</v>
      </c>
      <c r="V167" s="55"/>
      <c r="W167" s="55"/>
      <c r="X167" s="55"/>
      <c r="Y167" s="55"/>
      <c r="Z167" s="55"/>
      <c r="AA167" s="768" t="s">
        <v>2147</v>
      </c>
    </row>
    <row r="168" spans="1:27">
      <c r="A168" s="893">
        <f>A166+1</f>
        <v>82</v>
      </c>
      <c r="B168" s="55" t="s">
        <v>965</v>
      </c>
      <c r="C168" s="55" t="s">
        <v>62</v>
      </c>
      <c r="D168" s="55"/>
      <c r="E168" s="55"/>
      <c r="F168" s="55"/>
      <c r="G168" s="55">
        <v>533634.04200000002</v>
      </c>
      <c r="H168" s="55">
        <v>3576024.9980000001</v>
      </c>
      <c r="I168" s="892"/>
      <c r="J168" s="893">
        <f>J166+1</f>
        <v>82</v>
      </c>
      <c r="K168" s="55" t="s">
        <v>834</v>
      </c>
      <c r="L168" s="55" t="s">
        <v>62</v>
      </c>
      <c r="M168" s="757">
        <v>0</v>
      </c>
      <c r="N168" s="757">
        <v>0</v>
      </c>
      <c r="O168" s="757">
        <v>0</v>
      </c>
      <c r="P168" s="757">
        <v>0</v>
      </c>
      <c r="Q168" s="55"/>
      <c r="R168" s="55"/>
      <c r="S168" s="55"/>
      <c r="T168" s="55"/>
      <c r="U168" s="760"/>
      <c r="V168" s="55"/>
      <c r="W168" s="55">
        <v>256.27100000000002</v>
      </c>
      <c r="X168" s="55"/>
      <c r="Y168" s="55">
        <v>533634.04200000002</v>
      </c>
      <c r="Z168" s="55">
        <v>3576024.9980000001</v>
      </c>
      <c r="AA168" s="768"/>
    </row>
    <row r="169" spans="1:27">
      <c r="A169" s="893"/>
      <c r="B169" s="55"/>
      <c r="C169" s="55"/>
      <c r="D169" s="55">
        <v>414.63</v>
      </c>
      <c r="E169" s="55"/>
      <c r="F169" s="55"/>
      <c r="G169" s="55"/>
      <c r="H169" s="55"/>
      <c r="I169" s="892"/>
      <c r="J169" s="895"/>
      <c r="K169" s="55"/>
      <c r="L169" s="55"/>
      <c r="M169" s="55"/>
      <c r="N169" s="55"/>
      <c r="O169" s="55"/>
      <c r="P169" s="55"/>
      <c r="Q169" s="55"/>
      <c r="R169" s="55"/>
      <c r="S169" s="55"/>
      <c r="T169" s="55"/>
      <c r="U169" s="760">
        <v>414.63</v>
      </c>
      <c r="V169" s="55"/>
      <c r="W169" s="55"/>
      <c r="X169" s="55"/>
      <c r="Y169" s="55"/>
      <c r="Z169" s="55"/>
      <c r="AA169" s="768" t="s">
        <v>2148</v>
      </c>
    </row>
    <row r="170" spans="1:27">
      <c r="A170" s="893">
        <f>A168+1</f>
        <v>83</v>
      </c>
      <c r="B170" s="55" t="s">
        <v>830</v>
      </c>
      <c r="C170" s="55" t="s">
        <v>90</v>
      </c>
      <c r="D170" s="55"/>
      <c r="E170" s="55"/>
      <c r="F170" s="55"/>
      <c r="G170" s="55">
        <v>533965.348</v>
      </c>
      <c r="H170" s="55">
        <v>3575775.69</v>
      </c>
      <c r="I170" s="892"/>
      <c r="J170" s="893">
        <f>J168+1</f>
        <v>83</v>
      </c>
      <c r="K170" s="55" t="s">
        <v>816</v>
      </c>
      <c r="L170" s="55" t="s">
        <v>90</v>
      </c>
      <c r="M170" s="757">
        <v>0</v>
      </c>
      <c r="N170" s="757">
        <v>0</v>
      </c>
      <c r="O170" s="757">
        <v>0</v>
      </c>
      <c r="P170" s="757">
        <v>0</v>
      </c>
      <c r="Q170" s="55"/>
      <c r="R170" s="55"/>
      <c r="S170" s="55"/>
      <c r="T170" s="55"/>
      <c r="U170" s="760"/>
      <c r="V170" s="55"/>
      <c r="W170" s="55">
        <v>256.99299999999999</v>
      </c>
      <c r="X170" s="55"/>
      <c r="Y170" s="55">
        <v>533965.348</v>
      </c>
      <c r="Z170" s="55">
        <v>3575775.69</v>
      </c>
      <c r="AA170" s="768"/>
    </row>
    <row r="171" spans="1:27">
      <c r="A171" s="893"/>
      <c r="B171" s="55"/>
      <c r="C171" s="55"/>
      <c r="D171" s="55">
        <v>515.88599999999997</v>
      </c>
      <c r="E171" s="55"/>
      <c r="F171" s="55"/>
      <c r="G171" s="55"/>
      <c r="H171" s="55"/>
      <c r="I171" s="892"/>
      <c r="J171" s="895"/>
      <c r="K171" s="55"/>
      <c r="L171" s="55"/>
      <c r="M171" s="757"/>
      <c r="N171" s="757"/>
      <c r="O171" s="757"/>
      <c r="P171" s="757"/>
      <c r="Q171" s="757"/>
      <c r="R171" s="757"/>
      <c r="S171" s="757"/>
      <c r="T171" s="757"/>
      <c r="U171" s="760">
        <v>515.89</v>
      </c>
      <c r="V171" s="55"/>
      <c r="W171" s="55"/>
      <c r="X171" s="55"/>
      <c r="Y171" s="55"/>
      <c r="Z171" s="55"/>
      <c r="AA171" s="770" t="s">
        <v>2128</v>
      </c>
    </row>
    <row r="172" spans="1:27">
      <c r="A172" s="893">
        <f>A170+1</f>
        <v>84</v>
      </c>
      <c r="B172" s="55" t="s">
        <v>1987</v>
      </c>
      <c r="C172" s="55" t="s">
        <v>1988</v>
      </c>
      <c r="D172" s="55"/>
      <c r="E172" s="55">
        <f>D165+D167+D169+D171</f>
        <v>1760.4650000000001</v>
      </c>
      <c r="F172" s="55" t="s">
        <v>1989</v>
      </c>
      <c r="G172" s="55">
        <v>534377.56200000003</v>
      </c>
      <c r="H172" s="55">
        <v>3575465.5</v>
      </c>
      <c r="I172" s="892"/>
      <c r="J172" s="893">
        <f>J170+1</f>
        <v>84</v>
      </c>
      <c r="K172" s="55" t="s">
        <v>1990</v>
      </c>
      <c r="L172" s="55" t="s">
        <v>1988</v>
      </c>
      <c r="M172" s="55">
        <v>4</v>
      </c>
      <c r="N172" s="55">
        <v>4</v>
      </c>
      <c r="O172" s="55">
        <v>4</v>
      </c>
      <c r="P172" s="55">
        <v>4</v>
      </c>
      <c r="Q172" s="757"/>
      <c r="R172" s="757"/>
      <c r="S172" s="757"/>
      <c r="T172" s="757"/>
      <c r="U172" s="760"/>
      <c r="V172" s="55"/>
      <c r="W172" s="55">
        <v>256.55</v>
      </c>
      <c r="X172" s="55" t="s">
        <v>1989</v>
      </c>
      <c r="Y172" s="55">
        <v>534377.56200000003</v>
      </c>
      <c r="Z172" s="55">
        <v>3575465.5</v>
      </c>
      <c r="AA172" s="771"/>
    </row>
    <row r="173" spans="1:27">
      <c r="A173" s="895"/>
      <c r="B173" s="55"/>
      <c r="C173" s="55"/>
      <c r="D173" s="55">
        <v>212.44300000000001</v>
      </c>
      <c r="E173" s="55"/>
      <c r="F173" s="55"/>
      <c r="G173" s="55"/>
      <c r="H173" s="55"/>
      <c r="I173" s="892"/>
      <c r="J173" s="895"/>
      <c r="K173" s="55"/>
      <c r="L173" s="55"/>
      <c r="M173" s="55"/>
      <c r="N173" s="55"/>
      <c r="O173" s="55"/>
      <c r="P173" s="55"/>
      <c r="Q173" s="55"/>
      <c r="R173" s="55"/>
      <c r="S173" s="55"/>
      <c r="T173" s="55"/>
      <c r="U173" s="760">
        <v>212.44300000000001</v>
      </c>
      <c r="V173" s="55"/>
      <c r="W173" s="55"/>
      <c r="X173" s="55"/>
      <c r="Y173" s="55"/>
      <c r="Z173" s="55"/>
      <c r="AA173" s="771" t="s">
        <v>2149</v>
      </c>
    </row>
    <row r="174" spans="1:27">
      <c r="A174" s="893">
        <f>A172+1</f>
        <v>85</v>
      </c>
      <c r="B174" s="55" t="s">
        <v>1990</v>
      </c>
      <c r="C174" s="55" t="s">
        <v>1988</v>
      </c>
      <c r="D174" s="55"/>
      <c r="E174" s="55">
        <v>212.44300000000001</v>
      </c>
      <c r="F174" s="55" t="s">
        <v>1991</v>
      </c>
      <c r="G174" s="55">
        <v>534590</v>
      </c>
      <c r="H174" s="55">
        <v>3575464</v>
      </c>
      <c r="I174" s="892"/>
      <c r="J174" s="893">
        <f>J172+1</f>
        <v>85</v>
      </c>
      <c r="K174" s="55" t="s">
        <v>1992</v>
      </c>
      <c r="L174" s="55" t="s">
        <v>1988</v>
      </c>
      <c r="M174" s="55">
        <v>4</v>
      </c>
      <c r="N174" s="55">
        <v>4</v>
      </c>
      <c r="O174" s="55">
        <v>4</v>
      </c>
      <c r="P174" s="55">
        <v>4</v>
      </c>
      <c r="Q174" s="757"/>
      <c r="R174" s="757"/>
      <c r="S174" s="757"/>
      <c r="T174" s="757"/>
      <c r="U174" s="760"/>
      <c r="V174" s="758">
        <f>U173</f>
        <v>212.44300000000001</v>
      </c>
      <c r="W174" s="55">
        <v>255.76400000000001</v>
      </c>
      <c r="X174" s="55" t="s">
        <v>1991</v>
      </c>
      <c r="Y174" s="758">
        <v>534590</v>
      </c>
      <c r="Z174" s="758">
        <v>3575464</v>
      </c>
      <c r="AA174" s="771" t="s">
        <v>1939</v>
      </c>
    </row>
    <row r="175" spans="1:27">
      <c r="A175" s="895"/>
      <c r="B175" s="55"/>
      <c r="C175" s="55"/>
      <c r="D175" s="55">
        <v>440</v>
      </c>
      <c r="E175" s="55"/>
      <c r="F175" s="55"/>
      <c r="G175" s="55"/>
      <c r="H175" s="55"/>
      <c r="I175" s="892"/>
      <c r="J175" s="895"/>
      <c r="K175" s="55"/>
      <c r="L175" s="55"/>
      <c r="M175" s="55"/>
      <c r="N175" s="55"/>
      <c r="O175" s="55"/>
      <c r="P175" s="55"/>
      <c r="Q175" s="55"/>
      <c r="R175" s="55"/>
      <c r="S175" s="55"/>
      <c r="T175" s="55"/>
      <c r="U175" s="760">
        <v>459.99900000000002</v>
      </c>
      <c r="V175" s="55"/>
      <c r="W175" s="55"/>
      <c r="X175" s="55"/>
      <c r="Y175" s="55"/>
      <c r="Z175" s="55"/>
      <c r="AA175" s="771" t="s">
        <v>2150</v>
      </c>
    </row>
    <row r="176" spans="1:27">
      <c r="A176" s="893">
        <f>A174+1</f>
        <v>86</v>
      </c>
      <c r="B176" s="55" t="s">
        <v>932</v>
      </c>
      <c r="C176" s="55" t="s">
        <v>76</v>
      </c>
      <c r="D176" s="55"/>
      <c r="E176" s="55"/>
      <c r="F176" s="55"/>
      <c r="G176" s="55">
        <v>534970.22</v>
      </c>
      <c r="H176" s="55">
        <v>3575242.568</v>
      </c>
      <c r="I176" s="892"/>
      <c r="J176" s="893">
        <f>J174+1</f>
        <v>86</v>
      </c>
      <c r="K176" s="55" t="s">
        <v>1015</v>
      </c>
      <c r="L176" s="55" t="s">
        <v>76</v>
      </c>
      <c r="M176" s="55">
        <v>0</v>
      </c>
      <c r="N176" s="55">
        <v>0</v>
      </c>
      <c r="O176" s="55">
        <v>0</v>
      </c>
      <c r="P176" s="55">
        <v>0</v>
      </c>
      <c r="Q176" s="757"/>
      <c r="R176" s="757"/>
      <c r="S176" s="757"/>
      <c r="T176" s="757"/>
      <c r="U176" s="760"/>
      <c r="V176" s="55"/>
      <c r="W176" s="55">
        <v>255.089</v>
      </c>
      <c r="X176" s="55"/>
      <c r="Y176" s="55">
        <v>534987.50300000003</v>
      </c>
      <c r="Z176" s="55">
        <v>3575232.503</v>
      </c>
      <c r="AA176" s="771"/>
    </row>
    <row r="177" spans="1:27">
      <c r="A177" s="895"/>
      <c r="B177" s="55"/>
      <c r="C177" s="55"/>
      <c r="D177" s="55">
        <v>280</v>
      </c>
      <c r="E177" s="55"/>
      <c r="F177" s="55"/>
      <c r="G177" s="55"/>
      <c r="H177" s="55"/>
      <c r="I177" s="892"/>
      <c r="J177" s="895"/>
      <c r="K177" s="55"/>
      <c r="L177" s="55"/>
      <c r="M177" s="55"/>
      <c r="N177" s="55"/>
      <c r="O177" s="55"/>
      <c r="P177" s="55"/>
      <c r="Q177" s="55"/>
      <c r="R177" s="55"/>
      <c r="S177" s="55"/>
      <c r="T177" s="55"/>
      <c r="U177" s="760">
        <v>260</v>
      </c>
      <c r="V177" s="55"/>
      <c r="W177" s="55"/>
      <c r="X177" s="55"/>
      <c r="Y177" s="55"/>
      <c r="Z177" s="55"/>
      <c r="AA177" s="771"/>
    </row>
    <row r="178" spans="1:27">
      <c r="A178" s="893">
        <f>A176+1</f>
        <v>87</v>
      </c>
      <c r="B178" s="55" t="s">
        <v>920</v>
      </c>
      <c r="C178" s="55" t="s">
        <v>76</v>
      </c>
      <c r="D178" s="55"/>
      <c r="E178" s="55"/>
      <c r="F178" s="55"/>
      <c r="G178" s="55">
        <v>535212.179</v>
      </c>
      <c r="H178" s="55">
        <v>3575101.656</v>
      </c>
      <c r="I178" s="892"/>
      <c r="J178" s="893">
        <f>J176+1</f>
        <v>87</v>
      </c>
      <c r="K178" s="55" t="s">
        <v>1016</v>
      </c>
      <c r="L178" s="55" t="s">
        <v>76</v>
      </c>
      <c r="M178" s="55">
        <v>0</v>
      </c>
      <c r="N178" s="55">
        <v>0</v>
      </c>
      <c r="O178" s="55">
        <v>0</v>
      </c>
      <c r="P178" s="55">
        <v>0</v>
      </c>
      <c r="Q178" s="757"/>
      <c r="R178" s="757"/>
      <c r="S178" s="757"/>
      <c r="T178" s="757"/>
      <c r="U178" s="760"/>
      <c r="V178" s="55"/>
      <c r="W178" s="55">
        <v>255.03299999999999</v>
      </c>
      <c r="X178" s="55"/>
      <c r="Y178" s="55">
        <v>535212.17799999996</v>
      </c>
      <c r="Z178" s="55">
        <v>3575101.656</v>
      </c>
      <c r="AA178" s="771"/>
    </row>
    <row r="179" spans="1:27">
      <c r="A179" s="895"/>
      <c r="B179" s="55"/>
      <c r="C179" s="55"/>
      <c r="D179" s="55">
        <v>330</v>
      </c>
      <c r="E179" s="55"/>
      <c r="F179" s="55"/>
      <c r="G179" s="55"/>
      <c r="H179" s="55"/>
      <c r="I179" s="892"/>
      <c r="J179" s="895"/>
      <c r="K179" s="55"/>
      <c r="L179" s="55"/>
      <c r="M179" s="55"/>
      <c r="N179" s="55"/>
      <c r="O179" s="55"/>
      <c r="P179" s="55"/>
      <c r="Q179" s="55"/>
      <c r="R179" s="55"/>
      <c r="S179" s="55"/>
      <c r="T179" s="55"/>
      <c r="U179" s="760">
        <v>330</v>
      </c>
      <c r="V179" s="55"/>
      <c r="W179" s="55"/>
      <c r="X179" s="55"/>
      <c r="Y179" s="55"/>
      <c r="Z179" s="55"/>
      <c r="AA179" s="771" t="s">
        <v>2151</v>
      </c>
    </row>
    <row r="180" spans="1:27">
      <c r="A180" s="893">
        <f>A178+1</f>
        <v>88</v>
      </c>
      <c r="B180" s="55" t="s">
        <v>926</v>
      </c>
      <c r="C180" s="55" t="s">
        <v>76</v>
      </c>
      <c r="D180" s="55"/>
      <c r="E180" s="55"/>
      <c r="F180" s="55"/>
      <c r="G180" s="55">
        <v>535497.34400000004</v>
      </c>
      <c r="H180" s="55">
        <v>3574935.5819999999</v>
      </c>
      <c r="I180" s="892"/>
      <c r="J180" s="893">
        <f>J178+1</f>
        <v>88</v>
      </c>
      <c r="K180" s="55" t="s">
        <v>1017</v>
      </c>
      <c r="L180" s="55" t="s">
        <v>76</v>
      </c>
      <c r="M180" s="55">
        <v>0</v>
      </c>
      <c r="N180" s="55">
        <v>0</v>
      </c>
      <c r="O180" s="55">
        <v>0</v>
      </c>
      <c r="P180" s="55">
        <v>0</v>
      </c>
      <c r="Q180" s="757"/>
      <c r="R180" s="757"/>
      <c r="S180" s="757"/>
      <c r="T180" s="757"/>
      <c r="U180" s="760"/>
      <c r="V180" s="55"/>
      <c r="W180" s="55">
        <v>255.023</v>
      </c>
      <c r="X180" s="55"/>
      <c r="Y180" s="55">
        <v>535497.34400000004</v>
      </c>
      <c r="Z180" s="55">
        <v>3574935.5819999999</v>
      </c>
      <c r="AA180" s="771"/>
    </row>
    <row r="181" spans="1:27">
      <c r="A181" s="895"/>
      <c r="B181" s="55"/>
      <c r="C181" s="55"/>
      <c r="D181" s="55">
        <v>311.04000000000002</v>
      </c>
      <c r="E181" s="55"/>
      <c r="F181" s="55"/>
      <c r="G181" s="55"/>
      <c r="H181" s="55"/>
      <c r="I181" s="892"/>
      <c r="J181" s="895"/>
      <c r="K181" s="55"/>
      <c r="L181" s="55"/>
      <c r="M181" s="55"/>
      <c r="N181" s="55"/>
      <c r="O181" s="55"/>
      <c r="P181" s="55"/>
      <c r="Q181" s="55"/>
      <c r="R181" s="55"/>
      <c r="S181" s="55"/>
      <c r="T181" s="55"/>
      <c r="U181" s="760">
        <v>311.04000000000002</v>
      </c>
      <c r="V181" s="55"/>
      <c r="W181" s="55"/>
      <c r="X181" s="55"/>
      <c r="Y181" s="55"/>
      <c r="Z181" s="55"/>
      <c r="AA181" s="771" t="s">
        <v>2152</v>
      </c>
    </row>
    <row r="182" spans="1:27">
      <c r="A182" s="893">
        <f>A180+1</f>
        <v>89</v>
      </c>
      <c r="B182" s="55" t="s">
        <v>1992</v>
      </c>
      <c r="C182" s="55" t="s">
        <v>1319</v>
      </c>
      <c r="D182" s="55"/>
      <c r="E182" s="55">
        <f>D175+D177+D179+D181</f>
        <v>1361.04</v>
      </c>
      <c r="F182" s="55" t="s">
        <v>1993</v>
      </c>
      <c r="G182" s="55">
        <v>535766.125</v>
      </c>
      <c r="H182" s="55">
        <v>3574779.0490000001</v>
      </c>
      <c r="I182" s="892"/>
      <c r="J182" s="893">
        <f>J180+1</f>
        <v>89</v>
      </c>
      <c r="K182" s="55" t="s">
        <v>1994</v>
      </c>
      <c r="L182" s="55" t="s">
        <v>1995</v>
      </c>
      <c r="M182" s="55">
        <v>0</v>
      </c>
      <c r="N182" s="55">
        <v>0</v>
      </c>
      <c r="O182" s="55">
        <v>0</v>
      </c>
      <c r="P182" s="55">
        <v>0</v>
      </c>
      <c r="Q182" s="757"/>
      <c r="R182" s="757"/>
      <c r="S182" s="757"/>
      <c r="T182" s="757"/>
      <c r="U182" s="760"/>
      <c r="V182" s="758">
        <f>U175+U177+U179+U181</f>
        <v>1361.039</v>
      </c>
      <c r="W182" s="55">
        <v>255.179</v>
      </c>
      <c r="X182" s="55" t="s">
        <v>1996</v>
      </c>
      <c r="Y182" s="55">
        <v>535766.125</v>
      </c>
      <c r="Z182" s="55">
        <v>3574779.0490000001</v>
      </c>
      <c r="AA182" s="771"/>
    </row>
    <row r="183" spans="1:27">
      <c r="A183" s="895"/>
      <c r="B183" s="55"/>
      <c r="C183" s="55"/>
      <c r="D183" s="55">
        <v>389.99900000000002</v>
      </c>
      <c r="E183" s="55"/>
      <c r="F183" s="55"/>
      <c r="G183" s="55"/>
      <c r="H183" s="55"/>
      <c r="I183" s="892"/>
      <c r="J183" s="895"/>
      <c r="K183" s="55"/>
      <c r="L183" s="55"/>
      <c r="M183" s="55"/>
      <c r="N183" s="55"/>
      <c r="O183" s="55"/>
      <c r="P183" s="55"/>
      <c r="Q183" s="55"/>
      <c r="R183" s="55"/>
      <c r="S183" s="55"/>
      <c r="T183" s="55"/>
      <c r="U183" s="760">
        <v>408.94799999999998</v>
      </c>
      <c r="V183" s="55"/>
      <c r="W183" s="55"/>
      <c r="X183" s="55"/>
      <c r="Y183" s="55"/>
      <c r="Z183" s="55"/>
      <c r="AA183" s="771" t="s">
        <v>2153</v>
      </c>
    </row>
    <row r="184" spans="1:27">
      <c r="A184" s="893">
        <f>A182+1</f>
        <v>90</v>
      </c>
      <c r="B184" s="55" t="s">
        <v>1015</v>
      </c>
      <c r="C184" s="55" t="s">
        <v>62</v>
      </c>
      <c r="D184" s="55"/>
      <c r="E184" s="55"/>
      <c r="F184" s="55"/>
      <c r="G184" s="55">
        <v>535923.054</v>
      </c>
      <c r="H184" s="55">
        <v>3574422.0159999998</v>
      </c>
      <c r="I184" s="892"/>
      <c r="J184" s="893">
        <f>J182+1</f>
        <v>90</v>
      </c>
      <c r="K184" s="55" t="s">
        <v>765</v>
      </c>
      <c r="L184" s="55" t="s">
        <v>53</v>
      </c>
      <c r="M184" s="55">
        <v>0</v>
      </c>
      <c r="N184" s="55">
        <v>0</v>
      </c>
      <c r="O184" s="55">
        <v>0</v>
      </c>
      <c r="P184" s="55">
        <v>0</v>
      </c>
      <c r="Q184" s="757"/>
      <c r="R184" s="757"/>
      <c r="S184" s="757"/>
      <c r="T184" s="757"/>
      <c r="U184" s="760"/>
      <c r="V184" s="55"/>
      <c r="W184" s="55">
        <v>256.00900000000001</v>
      </c>
      <c r="X184" s="55"/>
      <c r="Y184" s="55">
        <v>535916.31299999997</v>
      </c>
      <c r="Z184" s="55">
        <v>3574398.6779999998</v>
      </c>
      <c r="AA184" s="771"/>
    </row>
    <row r="185" spans="1:27">
      <c r="A185" s="895"/>
      <c r="B185" s="55"/>
      <c r="C185" s="55"/>
      <c r="D185" s="55">
        <v>385</v>
      </c>
      <c r="E185" s="55"/>
      <c r="F185" s="55"/>
      <c r="G185" s="55"/>
      <c r="H185" s="55"/>
      <c r="I185" s="892"/>
      <c r="J185" s="895"/>
      <c r="K185" s="55"/>
      <c r="L185" s="55"/>
      <c r="M185" s="55"/>
      <c r="N185" s="55"/>
      <c r="O185" s="55"/>
      <c r="P185" s="55"/>
      <c r="Q185" s="55"/>
      <c r="R185" s="55"/>
      <c r="S185" s="55"/>
      <c r="T185" s="55"/>
      <c r="U185" s="760">
        <v>371.34500000000003</v>
      </c>
      <c r="V185" s="55"/>
      <c r="W185" s="55"/>
      <c r="X185" s="55"/>
      <c r="Y185" s="55"/>
      <c r="Z185" s="55"/>
      <c r="AA185" s="771"/>
    </row>
    <row r="186" spans="1:27">
      <c r="A186" s="893">
        <f>A184+1</f>
        <v>91</v>
      </c>
      <c r="B186" s="55" t="s">
        <v>1016</v>
      </c>
      <c r="C186" s="55" t="s">
        <v>76</v>
      </c>
      <c r="D186" s="55"/>
      <c r="E186" s="55"/>
      <c r="F186" s="55"/>
      <c r="G186" s="55">
        <v>536077.97199999995</v>
      </c>
      <c r="H186" s="55">
        <v>3574069.5589999999</v>
      </c>
      <c r="I186" s="892"/>
      <c r="J186" s="893">
        <f>J184+1</f>
        <v>91</v>
      </c>
      <c r="K186" s="55" t="s">
        <v>801</v>
      </c>
      <c r="L186" s="55" t="s">
        <v>76</v>
      </c>
      <c r="M186" s="55">
        <v>0</v>
      </c>
      <c r="N186" s="55">
        <v>0</v>
      </c>
      <c r="O186" s="55">
        <v>0</v>
      </c>
      <c r="P186" s="55">
        <v>0</v>
      </c>
      <c r="Q186" s="757"/>
      <c r="R186" s="757"/>
      <c r="S186" s="757"/>
      <c r="T186" s="757"/>
      <c r="U186" s="760"/>
      <c r="V186" s="55"/>
      <c r="W186" s="55">
        <v>255.012</v>
      </c>
      <c r="X186" s="55"/>
      <c r="Y186" s="55">
        <v>536052.69099999999</v>
      </c>
      <c r="Z186" s="55">
        <v>3574053.2820000001</v>
      </c>
      <c r="AA186" s="771"/>
    </row>
    <row r="187" spans="1:27">
      <c r="A187" s="895"/>
      <c r="B187" s="55"/>
      <c r="C187" s="55"/>
      <c r="D187" s="55">
        <v>385</v>
      </c>
      <c r="E187" s="55"/>
      <c r="F187" s="55"/>
      <c r="G187" s="55"/>
      <c r="H187" s="55"/>
      <c r="I187" s="892"/>
      <c r="J187" s="895"/>
      <c r="K187" s="55"/>
      <c r="L187" s="55"/>
      <c r="M187" s="55"/>
      <c r="N187" s="55"/>
      <c r="O187" s="55"/>
      <c r="P187" s="55"/>
      <c r="Q187" s="55"/>
      <c r="R187" s="55"/>
      <c r="S187" s="55"/>
      <c r="T187" s="55"/>
      <c r="U187" s="760">
        <v>364.11399999999998</v>
      </c>
      <c r="V187" s="55"/>
      <c r="W187" s="55"/>
      <c r="X187" s="55"/>
      <c r="Y187" s="55"/>
      <c r="Z187" s="55"/>
      <c r="AA187" s="771" t="s">
        <v>2154</v>
      </c>
    </row>
    <row r="188" spans="1:27">
      <c r="A188" s="893">
        <f>A186+1</f>
        <v>92</v>
      </c>
      <c r="B188" s="55" t="s">
        <v>1017</v>
      </c>
      <c r="C188" s="55" t="s">
        <v>62</v>
      </c>
      <c r="D188" s="55"/>
      <c r="E188" s="55"/>
      <c r="F188" s="55"/>
      <c r="G188" s="55">
        <v>536232.88899999997</v>
      </c>
      <c r="H188" s="55">
        <v>3573717.1030000001</v>
      </c>
      <c r="I188" s="892"/>
      <c r="J188" s="893">
        <f>J186+1</f>
        <v>92</v>
      </c>
      <c r="K188" s="55" t="s">
        <v>806</v>
      </c>
      <c r="L188" s="55" t="s">
        <v>62</v>
      </c>
      <c r="M188" s="55">
        <v>0</v>
      </c>
      <c r="N188" s="55">
        <v>0</v>
      </c>
      <c r="O188" s="55">
        <v>0</v>
      </c>
      <c r="P188" s="55">
        <v>0</v>
      </c>
      <c r="Q188" s="757"/>
      <c r="R188" s="757"/>
      <c r="S188" s="757"/>
      <c r="T188" s="757"/>
      <c r="U188" s="760"/>
      <c r="V188" s="55"/>
      <c r="W188" s="55">
        <v>255.34700000000001</v>
      </c>
      <c r="X188" s="55"/>
      <c r="Y188" s="55">
        <v>536186.41299999994</v>
      </c>
      <c r="Z188" s="55">
        <v>3573714.6120000002</v>
      </c>
      <c r="AA188" s="771"/>
    </row>
    <row r="189" spans="1:27">
      <c r="A189" s="895"/>
      <c r="B189" s="55"/>
      <c r="C189" s="55"/>
      <c r="D189" s="55">
        <v>400</v>
      </c>
      <c r="E189" s="55"/>
      <c r="F189" s="55"/>
      <c r="G189" s="55"/>
      <c r="H189" s="55"/>
      <c r="I189" s="892"/>
      <c r="J189" s="895"/>
      <c r="K189" s="55"/>
      <c r="L189" s="55"/>
      <c r="M189" s="55"/>
      <c r="N189" s="55"/>
      <c r="O189" s="55"/>
      <c r="P189" s="55"/>
      <c r="Q189" s="55"/>
      <c r="R189" s="55"/>
      <c r="S189" s="55"/>
      <c r="T189" s="55"/>
      <c r="U189" s="760">
        <v>419.36</v>
      </c>
      <c r="V189" s="55"/>
      <c r="W189" s="55"/>
      <c r="X189" s="55"/>
      <c r="Y189" s="55"/>
      <c r="Z189" s="55"/>
      <c r="AA189" s="771" t="s">
        <v>2155</v>
      </c>
    </row>
    <row r="190" spans="1:27">
      <c r="A190" s="893">
        <f>A188+1</f>
        <v>93</v>
      </c>
      <c r="B190" s="55" t="s">
        <v>1018</v>
      </c>
      <c r="C190" s="55" t="s">
        <v>76</v>
      </c>
      <c r="D190" s="55"/>
      <c r="E190" s="55"/>
      <c r="F190" s="55"/>
      <c r="G190" s="55">
        <v>536393.84299999999</v>
      </c>
      <c r="H190" s="55">
        <v>3573350.9139999999</v>
      </c>
      <c r="I190" s="892"/>
      <c r="J190" s="893">
        <f>J188+1</f>
        <v>93</v>
      </c>
      <c r="K190" s="55" t="s">
        <v>719</v>
      </c>
      <c r="L190" s="55" t="s">
        <v>76</v>
      </c>
      <c r="M190" s="55">
        <v>0</v>
      </c>
      <c r="N190" s="55">
        <v>0</v>
      </c>
      <c r="O190" s="55">
        <v>0</v>
      </c>
      <c r="P190" s="55">
        <v>0</v>
      </c>
      <c r="Q190" s="757"/>
      <c r="R190" s="757"/>
      <c r="S190" s="757"/>
      <c r="T190" s="757"/>
      <c r="U190" s="760"/>
      <c r="V190" s="55"/>
      <c r="W190" s="55">
        <v>255.10400000000001</v>
      </c>
      <c r="X190" s="55"/>
      <c r="Y190" s="55">
        <v>536340.424</v>
      </c>
      <c r="Z190" s="55">
        <v>3573324.557</v>
      </c>
      <c r="AA190" s="771"/>
    </row>
    <row r="191" spans="1:27">
      <c r="A191" s="895"/>
      <c r="B191" s="55"/>
      <c r="C191" s="55"/>
      <c r="D191" s="55">
        <v>357.48</v>
      </c>
      <c r="E191" s="55"/>
      <c r="F191" s="55"/>
      <c r="G191" s="55"/>
      <c r="H191" s="55"/>
      <c r="I191" s="892"/>
      <c r="J191" s="895"/>
      <c r="K191" s="55"/>
      <c r="L191" s="55"/>
      <c r="M191" s="55"/>
      <c r="N191" s="55"/>
      <c r="O191" s="55"/>
      <c r="P191" s="55"/>
      <c r="Q191" s="55"/>
      <c r="R191" s="55"/>
      <c r="S191" s="55"/>
      <c r="T191" s="55"/>
      <c r="U191" s="760">
        <v>348.12900000000002</v>
      </c>
      <c r="V191" s="55"/>
      <c r="W191" s="55"/>
      <c r="X191" s="55"/>
      <c r="Y191" s="55"/>
      <c r="Z191" s="55"/>
      <c r="AA191" s="771" t="s">
        <v>2156</v>
      </c>
    </row>
    <row r="192" spans="1:27">
      <c r="A192" s="893">
        <f>A190+1</f>
        <v>94</v>
      </c>
      <c r="B192" s="55" t="s">
        <v>1019</v>
      </c>
      <c r="C192" s="55" t="s">
        <v>76</v>
      </c>
      <c r="D192" s="55"/>
      <c r="E192" s="55"/>
      <c r="F192" s="55"/>
      <c r="G192" s="55">
        <v>536537.68700000003</v>
      </c>
      <c r="H192" s="55">
        <v>3573023.6519999998</v>
      </c>
      <c r="I192" s="892"/>
      <c r="J192" s="893">
        <f>J190+1</f>
        <v>94</v>
      </c>
      <c r="K192" s="55" t="s">
        <v>844</v>
      </c>
      <c r="L192" s="55" t="s">
        <v>1269</v>
      </c>
      <c r="M192" s="55">
        <v>0</v>
      </c>
      <c r="N192" s="55">
        <v>0</v>
      </c>
      <c r="O192" s="55">
        <v>0</v>
      </c>
      <c r="P192" s="55">
        <v>0</v>
      </c>
      <c r="Q192" s="757"/>
      <c r="R192" s="757"/>
      <c r="S192" s="757"/>
      <c r="T192" s="757"/>
      <c r="U192" s="760"/>
      <c r="V192" s="758">
        <f>U183+U185+U187+U189+U191</f>
        <v>1911.8959999999997</v>
      </c>
      <c r="W192" s="55">
        <v>254.78100000000001</v>
      </c>
      <c r="X192" s="55" t="s">
        <v>1997</v>
      </c>
      <c r="Y192" s="55">
        <v>536468.27599999995</v>
      </c>
      <c r="Z192" s="55">
        <v>3573000.7549999999</v>
      </c>
      <c r="AA192" s="771"/>
    </row>
    <row r="193" spans="1:27">
      <c r="A193" s="895"/>
      <c r="B193" s="55"/>
      <c r="C193" s="55"/>
      <c r="D193" s="55">
        <v>367.82499999999999</v>
      </c>
      <c r="E193" s="55"/>
      <c r="F193" s="55"/>
      <c r="G193" s="55"/>
      <c r="H193" s="55"/>
      <c r="I193" s="892"/>
      <c r="J193" s="895"/>
      <c r="K193" s="55"/>
      <c r="L193" s="55"/>
      <c r="M193" s="55"/>
      <c r="N193" s="55"/>
      <c r="O193" s="55"/>
      <c r="P193" s="55"/>
      <c r="Q193" s="55"/>
      <c r="R193" s="55"/>
      <c r="S193" s="55"/>
      <c r="T193" s="55"/>
      <c r="U193" s="760">
        <v>367.84800000000001</v>
      </c>
      <c r="V193" s="55"/>
      <c r="W193" s="55"/>
      <c r="X193" s="55"/>
      <c r="Y193" s="55"/>
      <c r="Z193" s="55"/>
      <c r="AA193" s="771" t="s">
        <v>2157</v>
      </c>
    </row>
    <row r="194" spans="1:27">
      <c r="A194" s="893">
        <f>A192+1</f>
        <v>95</v>
      </c>
      <c r="B194" s="55" t="s">
        <v>1020</v>
      </c>
      <c r="C194" s="55" t="s">
        <v>76</v>
      </c>
      <c r="D194" s="55"/>
      <c r="E194" s="55"/>
      <c r="F194" s="55"/>
      <c r="G194" s="55">
        <v>536685.69299999997</v>
      </c>
      <c r="H194" s="55">
        <v>3572686.9190000002</v>
      </c>
      <c r="I194" s="892"/>
      <c r="J194" s="893">
        <f>J192+1</f>
        <v>95</v>
      </c>
      <c r="K194" s="55" t="s">
        <v>502</v>
      </c>
      <c r="L194" s="55" t="s">
        <v>76</v>
      </c>
      <c r="M194" s="55">
        <v>0</v>
      </c>
      <c r="N194" s="55">
        <v>0</v>
      </c>
      <c r="O194" s="55">
        <v>0</v>
      </c>
      <c r="P194" s="55">
        <v>0</v>
      </c>
      <c r="Q194" s="757"/>
      <c r="R194" s="757"/>
      <c r="S194" s="757"/>
      <c r="T194" s="757"/>
      <c r="U194" s="760"/>
      <c r="V194" s="55"/>
      <c r="W194" s="55">
        <v>254.78899999999999</v>
      </c>
      <c r="X194" s="55"/>
      <c r="Y194" s="55">
        <v>536632.72600000002</v>
      </c>
      <c r="Z194" s="55">
        <v>3572671.713</v>
      </c>
      <c r="AA194" s="771"/>
    </row>
    <row r="195" spans="1:27">
      <c r="A195" s="895"/>
      <c r="B195" s="55"/>
      <c r="C195" s="55"/>
      <c r="D195" s="55">
        <v>387.17099999999999</v>
      </c>
      <c r="E195" s="55"/>
      <c r="F195" s="55"/>
      <c r="G195" s="55"/>
      <c r="H195" s="55"/>
      <c r="I195" s="892"/>
      <c r="J195" s="895"/>
      <c r="K195" s="55"/>
      <c r="L195" s="55"/>
      <c r="M195" s="55"/>
      <c r="N195" s="55"/>
      <c r="O195" s="55"/>
      <c r="P195" s="55"/>
      <c r="Q195" s="55"/>
      <c r="R195" s="55"/>
      <c r="S195" s="55"/>
      <c r="T195" s="55"/>
      <c r="U195" s="760">
        <v>396.726</v>
      </c>
      <c r="V195" s="55"/>
      <c r="W195" s="55"/>
      <c r="X195" s="55"/>
      <c r="Y195" s="55"/>
      <c r="Z195" s="55"/>
      <c r="AA195" s="771" t="s">
        <v>2158</v>
      </c>
    </row>
    <row r="196" spans="1:27">
      <c r="A196" s="893">
        <f>A194+1</f>
        <v>96</v>
      </c>
      <c r="B196" s="55" t="s">
        <v>1998</v>
      </c>
      <c r="C196" s="55" t="s">
        <v>76</v>
      </c>
      <c r="D196" s="55"/>
      <c r="E196" s="55"/>
      <c r="F196" s="55"/>
      <c r="G196" s="55">
        <v>536841.48400000005</v>
      </c>
      <c r="H196" s="55">
        <v>3572332.4750000001</v>
      </c>
      <c r="I196" s="892"/>
      <c r="J196" s="893">
        <f>J194+1</f>
        <v>96</v>
      </c>
      <c r="K196" s="55" t="s">
        <v>503</v>
      </c>
      <c r="L196" s="55" t="s">
        <v>76</v>
      </c>
      <c r="M196" s="55">
        <v>0</v>
      </c>
      <c r="N196" s="55">
        <v>0</v>
      </c>
      <c r="O196" s="55">
        <v>0</v>
      </c>
      <c r="P196" s="55">
        <v>0</v>
      </c>
      <c r="Q196" s="757"/>
      <c r="R196" s="757"/>
      <c r="S196" s="757"/>
      <c r="T196" s="757"/>
      <c r="U196" s="760"/>
      <c r="V196" s="55"/>
      <c r="W196" s="55">
        <v>254.28700000000001</v>
      </c>
      <c r="X196" s="55"/>
      <c r="Y196" s="55">
        <v>536810.08600000001</v>
      </c>
      <c r="Z196" s="55">
        <v>3572316.84</v>
      </c>
      <c r="AA196" s="771"/>
    </row>
    <row r="197" spans="1:27">
      <c r="A197" s="895"/>
      <c r="B197" s="55"/>
      <c r="C197" s="55"/>
      <c r="D197" s="55">
        <v>375.54300000000001</v>
      </c>
      <c r="E197" s="55"/>
      <c r="F197" s="55"/>
      <c r="G197" s="55"/>
      <c r="H197" s="55"/>
      <c r="I197" s="892"/>
      <c r="J197" s="895"/>
      <c r="K197" s="55"/>
      <c r="L197" s="55"/>
      <c r="M197" s="55"/>
      <c r="N197" s="55"/>
      <c r="O197" s="55"/>
      <c r="P197" s="55"/>
      <c r="Q197" s="55"/>
      <c r="R197" s="55"/>
      <c r="S197" s="55"/>
      <c r="T197" s="55"/>
      <c r="U197" s="760">
        <v>375.11099999999999</v>
      </c>
      <c r="V197" s="55"/>
      <c r="W197" s="55"/>
      <c r="X197" s="55"/>
      <c r="Y197" s="55"/>
      <c r="Z197" s="55"/>
      <c r="AA197" s="771" t="s">
        <v>2159</v>
      </c>
    </row>
    <row r="198" spans="1:27">
      <c r="A198" s="893">
        <f>A196+1</f>
        <v>97</v>
      </c>
      <c r="B198" s="55" t="s">
        <v>1999</v>
      </c>
      <c r="C198" s="55" t="s">
        <v>76</v>
      </c>
      <c r="D198" s="55"/>
      <c r="E198" s="55"/>
      <c r="F198" s="55"/>
      <c r="G198" s="55">
        <v>536992.59600000002</v>
      </c>
      <c r="H198" s="55">
        <v>3571988.676</v>
      </c>
      <c r="I198" s="892"/>
      <c r="J198" s="893">
        <f>J196+1</f>
        <v>97</v>
      </c>
      <c r="K198" s="55" t="s">
        <v>555</v>
      </c>
      <c r="L198" s="55" t="s">
        <v>76</v>
      </c>
      <c r="M198" s="55">
        <v>0</v>
      </c>
      <c r="N198" s="55">
        <v>0</v>
      </c>
      <c r="O198" s="55">
        <v>0</v>
      </c>
      <c r="P198" s="55">
        <v>0</v>
      </c>
      <c r="Q198" s="757"/>
      <c r="R198" s="757"/>
      <c r="S198" s="757"/>
      <c r="T198" s="757"/>
      <c r="U198" s="760"/>
      <c r="V198" s="55"/>
      <c r="W198" s="55">
        <v>253.67500000000001</v>
      </c>
      <c r="X198" s="55"/>
      <c r="Y198" s="55">
        <v>536977.78300000005</v>
      </c>
      <c r="Z198" s="55">
        <v>3571981.3020000001</v>
      </c>
      <c r="AA198" s="771"/>
    </row>
    <row r="199" spans="1:27">
      <c r="A199" s="895"/>
      <c r="B199" s="55"/>
      <c r="C199" s="55"/>
      <c r="D199" s="55">
        <v>335.38499999999999</v>
      </c>
      <c r="E199" s="55"/>
      <c r="F199" s="55"/>
      <c r="G199" s="55"/>
      <c r="H199" s="55"/>
      <c r="I199" s="892"/>
      <c r="J199" s="895"/>
      <c r="K199" s="55"/>
      <c r="L199" s="55"/>
      <c r="M199" s="55"/>
      <c r="N199" s="55"/>
      <c r="O199" s="55"/>
      <c r="P199" s="55"/>
      <c r="Q199" s="55"/>
      <c r="R199" s="55"/>
      <c r="S199" s="55"/>
      <c r="T199" s="55"/>
      <c r="U199" s="760">
        <v>335.00299999999999</v>
      </c>
      <c r="V199" s="55"/>
      <c r="W199" s="55"/>
      <c r="X199" s="55"/>
      <c r="Y199" s="55"/>
      <c r="Z199" s="55"/>
      <c r="AA199" s="771" t="s">
        <v>2160</v>
      </c>
    </row>
    <row r="200" spans="1:27">
      <c r="A200" s="893">
        <f>A198+1</f>
        <v>98</v>
      </c>
      <c r="B200" s="55" t="s">
        <v>1994</v>
      </c>
      <c r="C200" s="55" t="s">
        <v>1269</v>
      </c>
      <c r="D200" s="55"/>
      <c r="E200" s="55">
        <f>D183+D185+D187+D189+D191+D193+D195+D197+D199</f>
        <v>3383.4030000000002</v>
      </c>
      <c r="F200" s="55" t="s">
        <v>2000</v>
      </c>
      <c r="G200" s="55">
        <v>537127.55000000005</v>
      </c>
      <c r="H200" s="55">
        <v>3571681.64</v>
      </c>
      <c r="I200" s="892"/>
      <c r="J200" s="893">
        <f>J198+1</f>
        <v>98</v>
      </c>
      <c r="K200" s="55" t="s">
        <v>2001</v>
      </c>
      <c r="L200" s="55" t="s">
        <v>1269</v>
      </c>
      <c r="M200" s="55">
        <v>0</v>
      </c>
      <c r="N200" s="55">
        <v>0</v>
      </c>
      <c r="O200" s="55">
        <v>0</v>
      </c>
      <c r="P200" s="55">
        <v>0</v>
      </c>
      <c r="Q200" s="757"/>
      <c r="R200" s="757"/>
      <c r="S200" s="757"/>
      <c r="T200" s="757"/>
      <c r="U200" s="760"/>
      <c r="V200" s="758">
        <f>U193+U195+U197+U199</f>
        <v>1474.6879999999999</v>
      </c>
      <c r="W200" s="55">
        <v>253.7</v>
      </c>
      <c r="X200" s="55" t="s">
        <v>2002</v>
      </c>
      <c r="Y200" s="55">
        <v>537127.55000000005</v>
      </c>
      <c r="Z200" s="55">
        <v>3571681.64</v>
      </c>
      <c r="AA200" s="771" t="s">
        <v>2003</v>
      </c>
    </row>
    <row r="201" spans="1:27">
      <c r="A201" s="895"/>
      <c r="B201" s="55"/>
      <c r="C201" s="55"/>
      <c r="D201" s="55">
        <v>360</v>
      </c>
      <c r="E201" s="55"/>
      <c r="F201" s="55"/>
      <c r="G201" s="55"/>
      <c r="H201" s="55"/>
      <c r="I201" s="892"/>
      <c r="J201" s="895"/>
      <c r="K201" s="55"/>
      <c r="L201" s="55"/>
      <c r="M201" s="55"/>
      <c r="N201" s="55"/>
      <c r="O201" s="55"/>
      <c r="P201" s="55"/>
      <c r="Q201" s="55"/>
      <c r="R201" s="55"/>
      <c r="S201" s="55"/>
      <c r="T201" s="55"/>
      <c r="U201" s="760">
        <v>360</v>
      </c>
      <c r="V201" s="55"/>
      <c r="W201" s="55"/>
      <c r="X201" s="55"/>
      <c r="Y201" s="55"/>
      <c r="Z201" s="55"/>
      <c r="AA201" s="771" t="s">
        <v>2161</v>
      </c>
    </row>
    <row r="202" spans="1:27">
      <c r="A202" s="893">
        <f>A200+1</f>
        <v>99</v>
      </c>
      <c r="B202" s="55" t="s">
        <v>765</v>
      </c>
      <c r="C202" s="55" t="s">
        <v>62</v>
      </c>
      <c r="D202" s="55"/>
      <c r="E202" s="55"/>
      <c r="F202" s="55"/>
      <c r="G202" s="55">
        <v>537216.12800000003</v>
      </c>
      <c r="H202" s="55">
        <v>3571332.7080000001</v>
      </c>
      <c r="I202" s="892"/>
      <c r="J202" s="893">
        <f>J200+1</f>
        <v>99</v>
      </c>
      <c r="K202" s="55" t="s">
        <v>564</v>
      </c>
      <c r="L202" s="55" t="s">
        <v>62</v>
      </c>
      <c r="M202" s="55">
        <v>0</v>
      </c>
      <c r="N202" s="55">
        <v>0</v>
      </c>
      <c r="O202" s="55">
        <v>0</v>
      </c>
      <c r="P202" s="55">
        <v>0</v>
      </c>
      <c r="Q202" s="757"/>
      <c r="R202" s="757"/>
      <c r="S202" s="757"/>
      <c r="T202" s="757"/>
      <c r="U202" s="760"/>
      <c r="V202" s="55"/>
      <c r="W202" s="55">
        <v>252.708</v>
      </c>
      <c r="X202" s="55"/>
      <c r="Y202" s="55">
        <v>537216.12800000003</v>
      </c>
      <c r="Z202" s="55">
        <v>3571332.7080000001</v>
      </c>
      <c r="AA202" s="771"/>
    </row>
    <row r="203" spans="1:27">
      <c r="A203" s="895"/>
      <c r="B203" s="55"/>
      <c r="C203" s="55"/>
      <c r="D203" s="55">
        <v>360</v>
      </c>
      <c r="E203" s="55"/>
      <c r="F203" s="55"/>
      <c r="G203" s="55"/>
      <c r="H203" s="55"/>
      <c r="I203" s="892"/>
      <c r="J203" s="895"/>
      <c r="K203" s="55"/>
      <c r="L203" s="55"/>
      <c r="M203" s="55"/>
      <c r="N203" s="55"/>
      <c r="O203" s="55"/>
      <c r="P203" s="55"/>
      <c r="Q203" s="55"/>
      <c r="R203" s="55"/>
      <c r="S203" s="55"/>
      <c r="T203" s="55"/>
      <c r="U203" s="760">
        <v>360</v>
      </c>
      <c r="V203" s="55"/>
      <c r="W203" s="55"/>
      <c r="X203" s="55"/>
      <c r="Y203" s="55"/>
      <c r="Z203" s="55"/>
      <c r="AA203" s="771" t="s">
        <v>2162</v>
      </c>
    </row>
    <row r="204" spans="1:27">
      <c r="A204" s="893">
        <f>A202+1</f>
        <v>100</v>
      </c>
      <c r="B204" s="55" t="s">
        <v>801</v>
      </c>
      <c r="C204" s="55" t="s">
        <v>76</v>
      </c>
      <c r="D204" s="55"/>
      <c r="E204" s="55"/>
      <c r="F204" s="55"/>
      <c r="G204" s="55">
        <v>537304.70600000001</v>
      </c>
      <c r="H204" s="55">
        <v>3570983.7749999999</v>
      </c>
      <c r="I204" s="892"/>
      <c r="J204" s="893">
        <f>J202+1</f>
        <v>100</v>
      </c>
      <c r="K204" s="55" t="s">
        <v>2004</v>
      </c>
      <c r="L204" s="55" t="s">
        <v>76</v>
      </c>
      <c r="M204" s="55">
        <v>0</v>
      </c>
      <c r="N204" s="55">
        <v>0</v>
      </c>
      <c r="O204" s="55">
        <v>0</v>
      </c>
      <c r="P204" s="55">
        <v>0</v>
      </c>
      <c r="Q204" s="757"/>
      <c r="R204" s="757"/>
      <c r="S204" s="757"/>
      <c r="T204" s="757"/>
      <c r="U204" s="760"/>
      <c r="V204" s="55"/>
      <c r="W204" s="55">
        <v>253.17400000000001</v>
      </c>
      <c r="X204" s="55"/>
      <c r="Y204" s="55">
        <v>537304.70600000001</v>
      </c>
      <c r="Z204" s="55">
        <v>3570983.7749999999</v>
      </c>
      <c r="AA204" s="771"/>
    </row>
    <row r="205" spans="1:27">
      <c r="A205" s="895"/>
      <c r="B205" s="55"/>
      <c r="C205" s="55"/>
      <c r="D205" s="55">
        <v>359.49599999999998</v>
      </c>
      <c r="E205" s="55"/>
      <c r="F205" s="55"/>
      <c r="G205" s="55"/>
      <c r="H205" s="55"/>
      <c r="I205" s="892"/>
      <c r="J205" s="895"/>
      <c r="K205" s="55"/>
      <c r="L205" s="55"/>
      <c r="M205" s="55"/>
      <c r="N205" s="55"/>
      <c r="O205" s="55"/>
      <c r="P205" s="55"/>
      <c r="Q205" s="55"/>
      <c r="R205" s="55"/>
      <c r="S205" s="55"/>
      <c r="T205" s="55"/>
      <c r="U205" s="760">
        <v>359.49599999999998</v>
      </c>
      <c r="V205" s="55"/>
      <c r="W205" s="55"/>
      <c r="X205" s="55"/>
      <c r="Y205" s="55"/>
      <c r="Z205" s="55"/>
      <c r="AA205" s="771" t="s">
        <v>2122</v>
      </c>
    </row>
    <row r="206" spans="1:27">
      <c r="A206" s="893">
        <f>A204+1</f>
        <v>101</v>
      </c>
      <c r="B206" s="55" t="s">
        <v>2005</v>
      </c>
      <c r="C206" s="55" t="s">
        <v>1269</v>
      </c>
      <c r="D206" s="55"/>
      <c r="E206" s="55">
        <f>D201+D203+D205</f>
        <v>1079.4960000000001</v>
      </c>
      <c r="F206" s="55" t="s">
        <v>2006</v>
      </c>
      <c r="G206" s="55">
        <v>537393.16</v>
      </c>
      <c r="H206" s="55">
        <v>3570635.3309999998</v>
      </c>
      <c r="I206" s="892"/>
      <c r="J206" s="893">
        <f>J204+1</f>
        <v>101</v>
      </c>
      <c r="K206" s="55" t="s">
        <v>2007</v>
      </c>
      <c r="L206" s="55" t="s">
        <v>1269</v>
      </c>
      <c r="M206" s="55">
        <v>0</v>
      </c>
      <c r="N206" s="55">
        <v>0</v>
      </c>
      <c r="O206" s="55">
        <v>0</v>
      </c>
      <c r="P206" s="55">
        <v>0</v>
      </c>
      <c r="Q206" s="757"/>
      <c r="R206" s="757"/>
      <c r="S206" s="757"/>
      <c r="T206" s="757"/>
      <c r="U206" s="760"/>
      <c r="V206" s="758">
        <f>U201+U203+U205</f>
        <v>1079.4960000000001</v>
      </c>
      <c r="W206" s="55">
        <v>253.12200000000001</v>
      </c>
      <c r="X206" s="55" t="s">
        <v>2008</v>
      </c>
      <c r="Y206" s="55">
        <v>537393.16</v>
      </c>
      <c r="Z206" s="55">
        <v>3570635.3309999998</v>
      </c>
      <c r="AA206" s="771"/>
    </row>
    <row r="207" spans="1:27">
      <c r="A207" s="895"/>
      <c r="B207" s="55"/>
      <c r="C207" s="55"/>
      <c r="D207" s="55">
        <v>350.73899999999998</v>
      </c>
      <c r="E207" s="55"/>
      <c r="F207" s="55"/>
      <c r="G207" s="55"/>
      <c r="H207" s="55"/>
      <c r="I207" s="892"/>
      <c r="J207" s="895"/>
      <c r="K207" s="55"/>
      <c r="L207" s="55"/>
      <c r="M207" s="55"/>
      <c r="N207" s="55"/>
      <c r="O207" s="55"/>
      <c r="P207" s="55"/>
      <c r="Q207" s="55"/>
      <c r="R207" s="55"/>
      <c r="S207" s="55"/>
      <c r="T207" s="55"/>
      <c r="U207" s="760">
        <v>350.73899999999998</v>
      </c>
      <c r="V207" s="55"/>
      <c r="W207" s="55"/>
      <c r="X207" s="55"/>
      <c r="Y207" s="55"/>
      <c r="Z207" s="55"/>
      <c r="AA207" s="771" t="s">
        <v>2163</v>
      </c>
    </row>
    <row r="208" spans="1:27">
      <c r="A208" s="893">
        <f>A206+1</f>
        <v>102</v>
      </c>
      <c r="B208" s="55" t="s">
        <v>502</v>
      </c>
      <c r="C208" s="55" t="s">
        <v>76</v>
      </c>
      <c r="D208" s="55"/>
      <c r="E208" s="55"/>
      <c r="F208" s="55"/>
      <c r="G208" s="55">
        <v>537424.61499999999</v>
      </c>
      <c r="H208" s="55">
        <v>3570286.0049999999</v>
      </c>
      <c r="I208" s="892"/>
      <c r="J208" s="893">
        <f>J206+1</f>
        <v>102</v>
      </c>
      <c r="K208" s="55" t="s">
        <v>985</v>
      </c>
      <c r="L208" s="55" t="s">
        <v>76</v>
      </c>
      <c r="M208" s="55">
        <v>0</v>
      </c>
      <c r="N208" s="55">
        <v>0</v>
      </c>
      <c r="O208" s="55">
        <v>0</v>
      </c>
      <c r="P208" s="55">
        <v>0</v>
      </c>
      <c r="Q208" s="757"/>
      <c r="R208" s="757"/>
      <c r="S208" s="757"/>
      <c r="T208" s="757"/>
      <c r="U208" s="760"/>
      <c r="V208" s="55"/>
      <c r="W208" s="55">
        <v>252.53299999999999</v>
      </c>
      <c r="X208" s="55"/>
      <c r="Y208" s="55">
        <v>537424.61499999999</v>
      </c>
      <c r="Z208" s="55">
        <v>3570286.0049999999</v>
      </c>
      <c r="AA208" s="771"/>
    </row>
    <row r="209" spans="1:27">
      <c r="A209" s="895"/>
      <c r="B209" s="55"/>
      <c r="C209" s="55"/>
      <c r="D209" s="55">
        <v>337.89100000000002</v>
      </c>
      <c r="E209" s="55"/>
      <c r="F209" s="55"/>
      <c r="G209" s="55"/>
      <c r="H209" s="55"/>
      <c r="I209" s="892"/>
      <c r="J209" s="895"/>
      <c r="K209" s="55"/>
      <c r="L209" s="55"/>
      <c r="M209" s="55"/>
      <c r="N209" s="55"/>
      <c r="O209" s="55"/>
      <c r="P209" s="55"/>
      <c r="Q209" s="55"/>
      <c r="R209" s="55"/>
      <c r="S209" s="55"/>
      <c r="T209" s="55"/>
      <c r="U209" s="760">
        <v>337.89100000000002</v>
      </c>
      <c r="V209" s="55"/>
      <c r="W209" s="55"/>
      <c r="X209" s="55"/>
      <c r="Y209" s="55"/>
      <c r="Z209" s="55"/>
      <c r="AA209" s="771" t="s">
        <v>2164</v>
      </c>
    </row>
    <row r="210" spans="1:27">
      <c r="A210" s="893">
        <f>A208+1</f>
        <v>103</v>
      </c>
      <c r="B210" s="55" t="s">
        <v>503</v>
      </c>
      <c r="C210" s="55" t="s">
        <v>76</v>
      </c>
      <c r="D210" s="55"/>
      <c r="E210" s="55"/>
      <c r="F210" s="55"/>
      <c r="G210" s="55">
        <v>537454.91799999995</v>
      </c>
      <c r="H210" s="55">
        <v>3569949.4759999998</v>
      </c>
      <c r="I210" s="892"/>
      <c r="J210" s="893">
        <f>J208+1</f>
        <v>103</v>
      </c>
      <c r="K210" s="55" t="s">
        <v>777</v>
      </c>
      <c r="L210" s="55" t="s">
        <v>76</v>
      </c>
      <c r="M210" s="55">
        <v>0</v>
      </c>
      <c r="N210" s="55">
        <v>0</v>
      </c>
      <c r="O210" s="55">
        <v>0</v>
      </c>
      <c r="P210" s="55">
        <v>0</v>
      </c>
      <c r="Q210" s="757"/>
      <c r="R210" s="757"/>
      <c r="S210" s="757"/>
      <c r="T210" s="757"/>
      <c r="U210" s="760"/>
      <c r="V210" s="55"/>
      <c r="W210" s="55">
        <v>251.738</v>
      </c>
      <c r="X210" s="55"/>
      <c r="Y210" s="55">
        <v>537454.91799999995</v>
      </c>
      <c r="Z210" s="55">
        <v>3569949.4759999998</v>
      </c>
      <c r="AA210" s="771"/>
    </row>
    <row r="211" spans="1:27">
      <c r="A211" s="895"/>
      <c r="B211" s="55"/>
      <c r="C211" s="55"/>
      <c r="D211" s="55">
        <v>331.00099999999998</v>
      </c>
      <c r="E211" s="55"/>
      <c r="F211" s="55"/>
      <c r="G211" s="55"/>
      <c r="H211" s="55"/>
      <c r="I211" s="892"/>
      <c r="J211" s="895"/>
      <c r="K211" s="55"/>
      <c r="L211" s="55"/>
      <c r="M211" s="55"/>
      <c r="N211" s="55"/>
      <c r="O211" s="55"/>
      <c r="P211" s="55"/>
      <c r="Q211" s="55"/>
      <c r="R211" s="55"/>
      <c r="S211" s="55"/>
      <c r="T211" s="55"/>
      <c r="U211" s="760">
        <v>331.00099999999998</v>
      </c>
      <c r="V211" s="55"/>
      <c r="W211" s="55"/>
      <c r="X211" s="55"/>
      <c r="Y211" s="55"/>
      <c r="Z211" s="55"/>
      <c r="AA211" s="771" t="s">
        <v>2165</v>
      </c>
    </row>
    <row r="212" spans="1:27">
      <c r="A212" s="893">
        <f>A210+1</f>
        <v>104</v>
      </c>
      <c r="B212" s="55" t="s">
        <v>555</v>
      </c>
      <c r="C212" s="55" t="s">
        <v>76</v>
      </c>
      <c r="D212" s="55"/>
      <c r="E212" s="55"/>
      <c r="F212" s="55"/>
      <c r="G212" s="55">
        <v>537484.60400000005</v>
      </c>
      <c r="H212" s="55">
        <v>3569619.8089999999</v>
      </c>
      <c r="I212" s="892"/>
      <c r="J212" s="893">
        <f>J210+1</f>
        <v>104</v>
      </c>
      <c r="K212" s="55" t="s">
        <v>786</v>
      </c>
      <c r="L212" s="55" t="s">
        <v>76</v>
      </c>
      <c r="M212" s="55">
        <v>0</v>
      </c>
      <c r="N212" s="55">
        <v>0</v>
      </c>
      <c r="O212" s="55">
        <v>0</v>
      </c>
      <c r="P212" s="55">
        <v>0</v>
      </c>
      <c r="Q212" s="757"/>
      <c r="R212" s="757"/>
      <c r="S212" s="757"/>
      <c r="T212" s="757"/>
      <c r="U212" s="760"/>
      <c r="V212" s="55"/>
      <c r="W212" s="55">
        <v>252.17699999999999</v>
      </c>
      <c r="X212" s="55"/>
      <c r="Y212" s="55">
        <v>537484.60400000005</v>
      </c>
      <c r="Z212" s="55">
        <v>3569619.8089999999</v>
      </c>
      <c r="AA212" s="771"/>
    </row>
    <row r="213" spans="1:27" ht="29">
      <c r="A213" s="895"/>
      <c r="B213" s="55"/>
      <c r="C213" s="55"/>
      <c r="D213" s="55">
        <v>370.36900000000003</v>
      </c>
      <c r="E213" s="55"/>
      <c r="F213" s="55"/>
      <c r="G213" s="55"/>
      <c r="H213" s="55"/>
      <c r="I213" s="892"/>
      <c r="J213" s="895"/>
      <c r="K213" s="55"/>
      <c r="L213" s="55"/>
      <c r="M213" s="55"/>
      <c r="N213" s="55"/>
      <c r="O213" s="55"/>
      <c r="P213" s="55"/>
      <c r="Q213" s="55"/>
      <c r="R213" s="55"/>
      <c r="S213" s="55"/>
      <c r="T213" s="55"/>
      <c r="U213" s="760">
        <v>360.36900000000003</v>
      </c>
      <c r="V213" s="55"/>
      <c r="W213" s="55"/>
      <c r="X213" s="55"/>
      <c r="Y213" s="55"/>
      <c r="Z213" s="55"/>
      <c r="AA213" s="772" t="s">
        <v>2166</v>
      </c>
    </row>
    <row r="214" spans="1:27">
      <c r="A214" s="893">
        <f>A212+1</f>
        <v>105</v>
      </c>
      <c r="B214" s="55" t="s">
        <v>521</v>
      </c>
      <c r="C214" s="55" t="s">
        <v>76</v>
      </c>
      <c r="D214" s="55"/>
      <c r="E214" s="55"/>
      <c r="F214" s="55"/>
      <c r="G214" s="55">
        <v>537517.81999999995</v>
      </c>
      <c r="H214" s="55">
        <v>3569250.932</v>
      </c>
      <c r="I214" s="892"/>
      <c r="J214" s="893">
        <f>J212+1</f>
        <v>105</v>
      </c>
      <c r="K214" s="55" t="s">
        <v>800</v>
      </c>
      <c r="L214" s="55" t="s">
        <v>76</v>
      </c>
      <c r="M214" s="55">
        <v>0</v>
      </c>
      <c r="N214" s="55">
        <v>0</v>
      </c>
      <c r="O214" s="55">
        <v>0</v>
      </c>
      <c r="P214" s="55">
        <v>0</v>
      </c>
      <c r="Q214" s="55"/>
      <c r="R214" s="55"/>
      <c r="S214" s="55"/>
      <c r="T214" s="55"/>
      <c r="U214" s="760"/>
      <c r="V214" s="55"/>
      <c r="W214" s="55">
        <v>252.018</v>
      </c>
      <c r="X214" s="55"/>
      <c r="Y214" s="55">
        <v>537516.92299999995</v>
      </c>
      <c r="Z214" s="55">
        <v>3569260.892</v>
      </c>
      <c r="AA214" s="771"/>
    </row>
    <row r="215" spans="1:27">
      <c r="A215" s="895"/>
      <c r="B215" s="55"/>
      <c r="C215" s="55"/>
      <c r="D215" s="55">
        <v>415</v>
      </c>
      <c r="E215" s="55"/>
      <c r="F215" s="55"/>
      <c r="G215" s="55"/>
      <c r="H215" s="55"/>
      <c r="I215" s="892"/>
      <c r="J215" s="895"/>
      <c r="K215" s="55"/>
      <c r="L215" s="55"/>
      <c r="M215" s="55"/>
      <c r="N215" s="55"/>
      <c r="O215" s="55"/>
      <c r="P215" s="55"/>
      <c r="Q215" s="55"/>
      <c r="R215" s="55"/>
      <c r="S215" s="55"/>
      <c r="T215" s="55"/>
      <c r="U215" s="760">
        <v>425</v>
      </c>
      <c r="V215" s="55"/>
      <c r="W215" s="55"/>
      <c r="X215" s="55"/>
      <c r="Y215" s="55"/>
      <c r="Z215" s="55"/>
      <c r="AA215" s="771" t="s">
        <v>2167</v>
      </c>
    </row>
    <row r="216" spans="1:27">
      <c r="A216" s="893">
        <f>A214+1</f>
        <v>106</v>
      </c>
      <c r="B216" s="55" t="s">
        <v>534</v>
      </c>
      <c r="C216" s="55" t="s">
        <v>53</v>
      </c>
      <c r="D216" s="55"/>
      <c r="E216" s="55"/>
      <c r="F216" s="55"/>
      <c r="G216" s="55">
        <v>537555.03899999999</v>
      </c>
      <c r="H216" s="55">
        <v>3568837.605</v>
      </c>
      <c r="I216" s="892"/>
      <c r="J216" s="893">
        <f>J214+1</f>
        <v>106</v>
      </c>
      <c r="K216" s="55" t="s">
        <v>2009</v>
      </c>
      <c r="L216" s="55" t="s">
        <v>53</v>
      </c>
      <c r="M216" s="55">
        <v>0</v>
      </c>
      <c r="N216" s="55">
        <v>0</v>
      </c>
      <c r="O216" s="55">
        <v>0</v>
      </c>
      <c r="P216" s="55">
        <v>0</v>
      </c>
      <c r="Q216" s="55"/>
      <c r="R216" s="55"/>
      <c r="S216" s="55"/>
      <c r="T216" s="55"/>
      <c r="U216" s="760"/>
      <c r="V216" s="55"/>
      <c r="W216" s="55">
        <v>251.398</v>
      </c>
      <c r="X216" s="55"/>
      <c r="Y216" s="55">
        <v>537555.03899999999</v>
      </c>
      <c r="Z216" s="55">
        <v>3568837.605</v>
      </c>
      <c r="AA216" s="771"/>
    </row>
    <row r="217" spans="1:27">
      <c r="A217" s="895"/>
      <c r="B217" s="55"/>
      <c r="C217" s="55"/>
      <c r="D217" s="55">
        <v>411.44799999999998</v>
      </c>
      <c r="E217" s="55"/>
      <c r="F217" s="55"/>
      <c r="G217" s="55"/>
      <c r="H217" s="55"/>
      <c r="I217" s="892"/>
      <c r="J217" s="895"/>
      <c r="K217" s="55"/>
      <c r="L217" s="55"/>
      <c r="M217" s="55"/>
      <c r="N217" s="55"/>
      <c r="O217" s="55"/>
      <c r="P217" s="55"/>
      <c r="Q217" s="55"/>
      <c r="R217" s="55"/>
      <c r="S217" s="55"/>
      <c r="T217" s="55"/>
      <c r="U217" s="760">
        <v>411.44799999999998</v>
      </c>
      <c r="V217" s="55"/>
      <c r="W217" s="55"/>
      <c r="X217" s="55"/>
      <c r="Y217" s="55"/>
      <c r="Z217" s="55"/>
      <c r="AA217" s="771"/>
    </row>
    <row r="218" spans="1:27">
      <c r="A218" s="893">
        <f>A216+1</f>
        <v>107</v>
      </c>
      <c r="B218" s="55" t="s">
        <v>2001</v>
      </c>
      <c r="C218" s="55" t="s">
        <v>1269</v>
      </c>
      <c r="D218" s="55"/>
      <c r="E218" s="55">
        <f>D207+D209+D211+D213+D215+D217</f>
        <v>2216.4479999999999</v>
      </c>
      <c r="F218" s="55" t="s">
        <v>2010</v>
      </c>
      <c r="G218" s="55">
        <v>537591.93900000001</v>
      </c>
      <c r="H218" s="55">
        <v>3568427.8149999999</v>
      </c>
      <c r="I218" s="892"/>
      <c r="J218" s="893">
        <f>J216+1</f>
        <v>107</v>
      </c>
      <c r="K218" s="55" t="s">
        <v>2011</v>
      </c>
      <c r="L218" s="55" t="s">
        <v>1269</v>
      </c>
      <c r="M218" s="55">
        <v>0</v>
      </c>
      <c r="N218" s="55">
        <v>0</v>
      </c>
      <c r="O218" s="55">
        <v>0</v>
      </c>
      <c r="P218" s="55">
        <v>0</v>
      </c>
      <c r="Q218" s="55"/>
      <c r="R218" s="55"/>
      <c r="S218" s="55"/>
      <c r="T218" s="55"/>
      <c r="U218" s="760"/>
      <c r="V218" s="758">
        <f>U207+U209+U211+U213+U215+U217</f>
        <v>2216.4479999999999</v>
      </c>
      <c r="W218" s="55">
        <v>250.71</v>
      </c>
      <c r="X218" s="55" t="s">
        <v>2012</v>
      </c>
      <c r="Y218" s="55">
        <v>537591.93900000001</v>
      </c>
      <c r="Z218" s="55">
        <v>3568427.8149999999</v>
      </c>
      <c r="AA218" s="771" t="s">
        <v>2013</v>
      </c>
    </row>
    <row r="219" spans="1:27">
      <c r="A219" s="895"/>
      <c r="B219" s="55"/>
      <c r="C219" s="55"/>
      <c r="D219" s="55">
        <v>288.42599999999999</v>
      </c>
      <c r="E219" s="55"/>
      <c r="F219" s="55"/>
      <c r="G219" s="55"/>
      <c r="H219" s="55"/>
      <c r="I219" s="892"/>
      <c r="J219" s="895"/>
      <c r="K219" s="55"/>
      <c r="L219" s="55"/>
      <c r="M219" s="55"/>
      <c r="N219" s="55"/>
      <c r="O219" s="55"/>
      <c r="P219" s="55"/>
      <c r="Q219" s="55"/>
      <c r="R219" s="55"/>
      <c r="S219" s="55"/>
      <c r="T219" s="55"/>
      <c r="U219" s="760">
        <v>298</v>
      </c>
      <c r="V219" s="55"/>
      <c r="W219" s="55"/>
      <c r="X219" s="55"/>
      <c r="Y219" s="55"/>
      <c r="Z219" s="55"/>
      <c r="AA219" s="771" t="s">
        <v>2168</v>
      </c>
    </row>
    <row r="220" spans="1:27">
      <c r="A220" s="893">
        <f>A218+1</f>
        <v>108</v>
      </c>
      <c r="B220" s="55" t="s">
        <v>564</v>
      </c>
      <c r="C220" s="55" t="s">
        <v>76</v>
      </c>
      <c r="D220" s="55"/>
      <c r="E220" s="55"/>
      <c r="F220" s="55"/>
      <c r="G220" s="55">
        <v>537545.92200000002</v>
      </c>
      <c r="H220" s="55">
        <v>3568143.0830000001</v>
      </c>
      <c r="I220" s="892"/>
      <c r="J220" s="893">
        <f>J218+1</f>
        <v>108</v>
      </c>
      <c r="K220" s="55" t="s">
        <v>562</v>
      </c>
      <c r="L220" s="55" t="s">
        <v>76</v>
      </c>
      <c r="M220" s="55">
        <v>1</v>
      </c>
      <c r="N220" s="55">
        <v>1</v>
      </c>
      <c r="O220" s="55">
        <v>1</v>
      </c>
      <c r="P220" s="55">
        <v>1</v>
      </c>
      <c r="Q220" s="55"/>
      <c r="R220" s="55"/>
      <c r="S220" s="55"/>
      <c r="T220" s="55"/>
      <c r="U220" s="760"/>
      <c r="V220" s="55"/>
      <c r="W220" s="55">
        <v>251.309</v>
      </c>
      <c r="X220" s="55"/>
      <c r="Y220" s="55">
        <v>537544.39500000002</v>
      </c>
      <c r="Z220" s="55">
        <v>3568133.6320000002</v>
      </c>
      <c r="AA220" s="771" t="s">
        <v>2013</v>
      </c>
    </row>
    <row r="221" spans="1:27">
      <c r="A221" s="895"/>
      <c r="B221" s="55"/>
      <c r="C221" s="55"/>
      <c r="D221" s="55">
        <v>378.89600000000002</v>
      </c>
      <c r="E221" s="55"/>
      <c r="F221" s="55"/>
      <c r="G221" s="55"/>
      <c r="H221" s="55"/>
      <c r="I221" s="892"/>
      <c r="J221" s="895"/>
      <c r="K221" s="55"/>
      <c r="L221" s="55"/>
      <c r="M221" s="55"/>
      <c r="N221" s="55"/>
      <c r="O221" s="55"/>
      <c r="P221" s="55"/>
      <c r="Q221" s="55"/>
      <c r="R221" s="55"/>
      <c r="S221" s="55"/>
      <c r="T221" s="55"/>
      <c r="U221" s="760">
        <v>349</v>
      </c>
      <c r="V221" s="55"/>
      <c r="W221" s="55"/>
      <c r="X221" s="55"/>
      <c r="Y221" s="55"/>
      <c r="Z221" s="55"/>
      <c r="AA221" s="771"/>
    </row>
    <row r="222" spans="1:27">
      <c r="A222" s="893">
        <f>A220+1</f>
        <v>109</v>
      </c>
      <c r="B222" s="55" t="s">
        <v>2004</v>
      </c>
      <c r="C222" s="55" t="s">
        <v>76</v>
      </c>
      <c r="D222" s="55"/>
      <c r="E222" s="55"/>
      <c r="F222" s="55"/>
      <c r="G222" s="55">
        <v>537485.47199999995</v>
      </c>
      <c r="H222" s="55">
        <v>3567769.04</v>
      </c>
      <c r="I222" s="892"/>
      <c r="J222" s="893">
        <f>J220+1</f>
        <v>109</v>
      </c>
      <c r="K222" s="55" t="s">
        <v>322</v>
      </c>
      <c r="L222" s="55" t="s">
        <v>76</v>
      </c>
      <c r="M222" s="55">
        <v>0</v>
      </c>
      <c r="N222" s="55">
        <v>0</v>
      </c>
      <c r="O222" s="55">
        <v>0</v>
      </c>
      <c r="P222" s="55">
        <v>0</v>
      </c>
      <c r="Q222" s="55"/>
      <c r="R222" s="55"/>
      <c r="S222" s="55"/>
      <c r="T222" s="55"/>
      <c r="U222" s="760"/>
      <c r="V222" s="55"/>
      <c r="W222" s="55">
        <v>250.31700000000001</v>
      </c>
      <c r="X222" s="55"/>
      <c r="Y222" s="55">
        <v>537488.71400000004</v>
      </c>
      <c r="Z222" s="55">
        <v>3567789.102</v>
      </c>
      <c r="AA222" s="771" t="s">
        <v>2013</v>
      </c>
    </row>
    <row r="223" spans="1:27">
      <c r="A223" s="895"/>
      <c r="B223" s="55"/>
      <c r="C223" s="55"/>
      <c r="D223" s="55">
        <v>330.346</v>
      </c>
      <c r="E223" s="55"/>
      <c r="F223" s="55"/>
      <c r="G223" s="55"/>
      <c r="H223" s="55"/>
      <c r="I223" s="892"/>
      <c r="J223" s="895"/>
      <c r="K223" s="55"/>
      <c r="L223" s="55"/>
      <c r="M223" s="55"/>
      <c r="N223" s="55"/>
      <c r="O223" s="55"/>
      <c r="P223" s="55"/>
      <c r="Q223" s="55"/>
      <c r="R223" s="55"/>
      <c r="S223" s="55"/>
      <c r="T223" s="55"/>
      <c r="U223" s="760">
        <v>350</v>
      </c>
      <c r="V223" s="55"/>
      <c r="W223" s="55"/>
      <c r="X223" s="55"/>
      <c r="Y223" s="55"/>
      <c r="Z223" s="55"/>
      <c r="AA223" s="772" t="s">
        <v>2169</v>
      </c>
    </row>
    <row r="224" spans="1:27">
      <c r="A224" s="893">
        <f>A222+1</f>
        <v>110</v>
      </c>
      <c r="B224" s="55" t="s">
        <v>2014</v>
      </c>
      <c r="C224" s="55" t="s">
        <v>76</v>
      </c>
      <c r="D224" s="55"/>
      <c r="E224" s="55"/>
      <c r="F224" s="55"/>
      <c r="G224" s="55">
        <v>537432.76800000004</v>
      </c>
      <c r="H224" s="55">
        <v>3567442.926</v>
      </c>
      <c r="I224" s="892"/>
      <c r="J224" s="893">
        <f>J222+1</f>
        <v>110</v>
      </c>
      <c r="K224" s="55" t="s">
        <v>336</v>
      </c>
      <c r="L224" s="55" t="s">
        <v>76</v>
      </c>
      <c r="M224" s="55">
        <v>0</v>
      </c>
      <c r="N224" s="55">
        <v>0</v>
      </c>
      <c r="O224" s="55">
        <v>0</v>
      </c>
      <c r="P224" s="55">
        <v>0</v>
      </c>
      <c r="Q224" s="55"/>
      <c r="R224" s="55"/>
      <c r="S224" s="55"/>
      <c r="T224" s="55"/>
      <c r="U224" s="760"/>
      <c r="V224" s="55"/>
      <c r="W224" s="55">
        <v>250.18600000000001</v>
      </c>
      <c r="X224" s="55"/>
      <c r="Y224" s="55">
        <v>537432.87399999995</v>
      </c>
      <c r="Z224" s="55">
        <v>3567443.585</v>
      </c>
      <c r="AA224" s="771"/>
    </row>
    <row r="225" spans="1:27">
      <c r="A225" s="895"/>
      <c r="B225" s="55"/>
      <c r="C225" s="55"/>
      <c r="D225" s="55">
        <v>362.69600000000003</v>
      </c>
      <c r="E225" s="55"/>
      <c r="F225" s="55"/>
      <c r="G225" s="55"/>
      <c r="H225" s="55"/>
      <c r="I225" s="892"/>
      <c r="J225" s="895"/>
      <c r="K225" s="55"/>
      <c r="L225" s="55"/>
      <c r="M225" s="55"/>
      <c r="N225" s="55"/>
      <c r="O225" s="55"/>
      <c r="P225" s="55"/>
      <c r="Q225" s="55"/>
      <c r="R225" s="55"/>
      <c r="S225" s="55"/>
      <c r="T225" s="55"/>
      <c r="U225" s="760">
        <v>363.36399999999998</v>
      </c>
      <c r="V225" s="55"/>
      <c r="W225" s="55"/>
      <c r="X225" s="55"/>
      <c r="Y225" s="55"/>
      <c r="Z225" s="55"/>
      <c r="AA225" s="771" t="s">
        <v>2170</v>
      </c>
    </row>
    <row r="226" spans="1:27">
      <c r="A226" s="893">
        <f>A224+1</f>
        <v>111</v>
      </c>
      <c r="B226" s="55" t="s">
        <v>2015</v>
      </c>
      <c r="C226" s="55" t="s">
        <v>76</v>
      </c>
      <c r="D226" s="55"/>
      <c r="E226" s="55"/>
      <c r="F226" s="55"/>
      <c r="G226" s="55">
        <v>537374.902</v>
      </c>
      <c r="H226" s="55">
        <v>3567084.8760000002</v>
      </c>
      <c r="I226" s="892"/>
      <c r="J226" s="893">
        <f>J224+1</f>
        <v>111</v>
      </c>
      <c r="K226" s="55" t="s">
        <v>2016</v>
      </c>
      <c r="L226" s="55" t="s">
        <v>1269</v>
      </c>
      <c r="M226" s="55">
        <v>0</v>
      </c>
      <c r="N226" s="55">
        <v>0</v>
      </c>
      <c r="O226" s="55">
        <v>0</v>
      </c>
      <c r="P226" s="55">
        <v>0</v>
      </c>
      <c r="Q226" s="55"/>
      <c r="R226" s="55"/>
      <c r="S226" s="55"/>
      <c r="T226" s="55"/>
      <c r="U226" s="760"/>
      <c r="V226" s="758">
        <f>U219+U221+U223+U225</f>
        <v>1360.364</v>
      </c>
      <c r="W226" s="55">
        <v>250.50899999999999</v>
      </c>
      <c r="X226" s="55" t="s">
        <v>2017</v>
      </c>
      <c r="Y226" s="55">
        <v>537374.902</v>
      </c>
      <c r="Z226" s="55">
        <v>3567084.8760000002</v>
      </c>
      <c r="AA226" s="771"/>
    </row>
    <row r="227" spans="1:27">
      <c r="A227" s="895"/>
      <c r="B227" s="55"/>
      <c r="C227" s="55"/>
      <c r="D227" s="55">
        <v>349.63499999999999</v>
      </c>
      <c r="E227" s="55"/>
      <c r="F227" s="55"/>
      <c r="G227" s="55"/>
      <c r="H227" s="55"/>
      <c r="I227" s="892"/>
      <c r="J227" s="895"/>
      <c r="K227" s="55"/>
      <c r="L227" s="55"/>
      <c r="M227" s="55"/>
      <c r="N227" s="55"/>
      <c r="O227" s="55"/>
      <c r="P227" s="55"/>
      <c r="Q227" s="55"/>
      <c r="R227" s="55"/>
      <c r="S227" s="55"/>
      <c r="T227" s="55"/>
      <c r="U227" s="760">
        <v>371.50400000000002</v>
      </c>
      <c r="V227" s="758"/>
      <c r="W227" s="55"/>
      <c r="X227" s="55"/>
      <c r="Y227" s="55"/>
      <c r="Z227" s="55"/>
      <c r="AA227" s="771"/>
    </row>
    <row r="228" spans="1:27">
      <c r="A228" s="893">
        <f>A226+1</f>
        <v>112</v>
      </c>
      <c r="B228" s="55" t="s">
        <v>2018</v>
      </c>
      <c r="C228" s="55" t="s">
        <v>1269</v>
      </c>
      <c r="D228" s="55"/>
      <c r="E228" s="55"/>
      <c r="F228" s="55"/>
      <c r="G228" s="55">
        <v>537319.12</v>
      </c>
      <c r="H228" s="55">
        <v>3566739.719</v>
      </c>
      <c r="I228" s="892"/>
      <c r="J228" s="893">
        <f>J226+1</f>
        <v>112</v>
      </c>
      <c r="K228" s="55" t="s">
        <v>1519</v>
      </c>
      <c r="L228" s="55" t="s">
        <v>1988</v>
      </c>
      <c r="M228" s="55">
        <v>2</v>
      </c>
      <c r="N228" s="55">
        <v>2</v>
      </c>
      <c r="O228" s="55">
        <v>2</v>
      </c>
      <c r="P228" s="55">
        <v>2</v>
      </c>
      <c r="Q228" s="55"/>
      <c r="R228" s="55"/>
      <c r="S228" s="55"/>
      <c r="T228" s="55"/>
      <c r="U228" s="760"/>
      <c r="V228" s="758">
        <f>U227</f>
        <v>371.50400000000002</v>
      </c>
      <c r="W228" s="55">
        <v>250.679</v>
      </c>
      <c r="X228" s="55" t="s">
        <v>2019</v>
      </c>
      <c r="Y228" s="55">
        <v>537244.33100000001</v>
      </c>
      <c r="Z228" s="55">
        <v>3566737.074</v>
      </c>
      <c r="AA228" s="771" t="s">
        <v>2020</v>
      </c>
    </row>
    <row r="229" spans="1:27">
      <c r="A229" s="895"/>
      <c r="B229" s="55"/>
      <c r="C229" s="55"/>
      <c r="D229" s="55">
        <v>313.60199999999998</v>
      </c>
      <c r="E229" s="55"/>
      <c r="F229" s="55"/>
      <c r="G229" s="55"/>
      <c r="H229" s="55"/>
      <c r="I229" s="892"/>
      <c r="J229" s="895"/>
      <c r="K229" s="55"/>
      <c r="L229" s="55"/>
      <c r="M229" s="55"/>
      <c r="N229" s="55"/>
      <c r="O229" s="55"/>
      <c r="P229" s="55"/>
      <c r="Q229" s="55"/>
      <c r="R229" s="55"/>
      <c r="S229" s="55"/>
      <c r="T229" s="55"/>
      <c r="U229" s="760">
        <v>203.304</v>
      </c>
      <c r="V229" s="758"/>
      <c r="W229" s="55"/>
      <c r="X229" s="55"/>
      <c r="Y229" s="55"/>
      <c r="Z229" s="55"/>
      <c r="AA229" s="771" t="s">
        <v>2149</v>
      </c>
    </row>
    <row r="230" spans="1:27">
      <c r="A230" s="893">
        <f>A228+1</f>
        <v>113</v>
      </c>
      <c r="B230" s="55" t="s">
        <v>2007</v>
      </c>
      <c r="C230" s="55" t="s">
        <v>1988</v>
      </c>
      <c r="D230" s="55"/>
      <c r="E230" s="55">
        <f>D219+D221+D223+D225+D227+D229</f>
        <v>2023.6010000000001</v>
      </c>
      <c r="F230" s="55" t="s">
        <v>2021</v>
      </c>
      <c r="G230" s="55">
        <v>537269.08700000006</v>
      </c>
      <c r="H230" s="55">
        <v>3566430.1340000001</v>
      </c>
      <c r="I230" s="892"/>
      <c r="J230" s="893">
        <f>J228+1</f>
        <v>113</v>
      </c>
      <c r="K230" s="55" t="s">
        <v>1520</v>
      </c>
      <c r="L230" s="55" t="s">
        <v>1988</v>
      </c>
      <c r="M230" s="55">
        <v>2</v>
      </c>
      <c r="N230" s="55">
        <v>2</v>
      </c>
      <c r="O230" s="55">
        <v>2</v>
      </c>
      <c r="P230" s="55">
        <v>2</v>
      </c>
      <c r="Q230" s="55"/>
      <c r="R230" s="55"/>
      <c r="S230" s="55"/>
      <c r="T230" s="55"/>
      <c r="U230" s="760"/>
      <c r="V230" s="758">
        <f>U229</f>
        <v>203.304</v>
      </c>
      <c r="W230" s="55">
        <v>250.61199999999999</v>
      </c>
      <c r="X230" s="55" t="s">
        <v>2022</v>
      </c>
      <c r="Y230" s="55">
        <v>537052.99399999995</v>
      </c>
      <c r="Z230" s="55">
        <v>3566668.3530000001</v>
      </c>
      <c r="AA230" s="771"/>
    </row>
    <row r="231" spans="1:27">
      <c r="A231" s="895"/>
      <c r="B231" s="55"/>
      <c r="C231" s="55"/>
      <c r="D231" s="55">
        <v>203.66200000000001</v>
      </c>
      <c r="E231" s="55"/>
      <c r="F231" s="55"/>
      <c r="G231" s="55"/>
      <c r="H231" s="55"/>
      <c r="I231" s="892"/>
      <c r="J231" s="895"/>
      <c r="K231" s="55"/>
      <c r="L231" s="55"/>
      <c r="M231" s="55"/>
      <c r="N231" s="55"/>
      <c r="O231" s="55"/>
      <c r="P231" s="55"/>
      <c r="Q231" s="55"/>
      <c r="R231" s="55"/>
      <c r="S231" s="55"/>
      <c r="T231" s="55"/>
      <c r="U231" s="760">
        <v>409.90800000000002</v>
      </c>
      <c r="V231" s="758"/>
      <c r="W231" s="55"/>
      <c r="X231" s="55"/>
      <c r="Y231" s="55"/>
      <c r="Z231" s="55"/>
      <c r="AA231" s="771" t="s">
        <v>2171</v>
      </c>
    </row>
    <row r="232" spans="1:27">
      <c r="A232" s="893">
        <f>A230+1</f>
        <v>114</v>
      </c>
      <c r="B232" s="55" t="s">
        <v>2011</v>
      </c>
      <c r="C232" s="55" t="s">
        <v>2023</v>
      </c>
      <c r="D232" s="55"/>
      <c r="E232" s="55">
        <f>D231</f>
        <v>203.66200000000001</v>
      </c>
      <c r="F232" s="55" t="s">
        <v>2024</v>
      </c>
      <c r="G232" s="55">
        <v>537083.87600000005</v>
      </c>
      <c r="H232" s="55">
        <v>3566345.429</v>
      </c>
      <c r="I232" s="892"/>
      <c r="J232" s="893">
        <f>J230+1</f>
        <v>114</v>
      </c>
      <c r="K232" s="55" t="s">
        <v>2025</v>
      </c>
      <c r="L232" s="55" t="s">
        <v>1277</v>
      </c>
      <c r="M232" s="55">
        <v>0</v>
      </c>
      <c r="N232" s="55">
        <v>0</v>
      </c>
      <c r="O232" s="55">
        <v>0</v>
      </c>
      <c r="P232" s="55">
        <v>0</v>
      </c>
      <c r="Q232" s="757"/>
      <c r="R232" s="757"/>
      <c r="S232" s="757"/>
      <c r="T232" s="757"/>
      <c r="U232" s="760"/>
      <c r="V232" s="758">
        <f>U231</f>
        <v>409.90800000000002</v>
      </c>
      <c r="W232" s="55">
        <v>250.49700000000001</v>
      </c>
      <c r="X232" s="55" t="s">
        <v>2026</v>
      </c>
      <c r="Y232" s="55">
        <v>536894.45700000005</v>
      </c>
      <c r="Z232" s="55">
        <v>3566290.3450000002</v>
      </c>
      <c r="AA232" s="771"/>
    </row>
    <row r="233" spans="1:27">
      <c r="A233" s="895"/>
      <c r="B233" s="55"/>
      <c r="C233" s="55"/>
      <c r="D233" s="55">
        <v>432.85</v>
      </c>
      <c r="E233" s="55"/>
      <c r="F233" s="55"/>
      <c r="G233" s="55"/>
      <c r="H233" s="55"/>
      <c r="I233" s="892"/>
      <c r="J233" s="895"/>
      <c r="K233" s="55"/>
      <c r="L233" s="55"/>
      <c r="M233" s="55"/>
      <c r="N233" s="55"/>
      <c r="O233" s="55"/>
      <c r="P233" s="55"/>
      <c r="Q233" s="55"/>
      <c r="R233" s="55"/>
      <c r="S233" s="55"/>
      <c r="T233" s="55"/>
      <c r="U233" s="760">
        <v>412</v>
      </c>
      <c r="V233" s="55"/>
      <c r="W233" s="55"/>
      <c r="X233" s="55"/>
      <c r="Y233" s="55"/>
      <c r="Z233" s="55"/>
      <c r="AA233" s="771" t="s">
        <v>2128</v>
      </c>
    </row>
    <row r="234" spans="1:27">
      <c r="A234" s="893">
        <f>A232+1</f>
        <v>115</v>
      </c>
      <c r="B234" s="55" t="s">
        <v>562</v>
      </c>
      <c r="C234" s="55" t="s">
        <v>1977</v>
      </c>
      <c r="D234" s="55"/>
      <c r="E234" s="55"/>
      <c r="F234" s="55"/>
      <c r="G234" s="55">
        <v>537017.47900000005</v>
      </c>
      <c r="H234" s="55">
        <v>3565917.702</v>
      </c>
      <c r="I234" s="892"/>
      <c r="J234" s="893">
        <f>J232+1</f>
        <v>115</v>
      </c>
      <c r="K234" s="55" t="s">
        <v>2027</v>
      </c>
      <c r="L234" s="55" t="s">
        <v>62</v>
      </c>
      <c r="M234" s="55">
        <v>0</v>
      </c>
      <c r="N234" s="55">
        <v>0</v>
      </c>
      <c r="O234" s="55">
        <v>0</v>
      </c>
      <c r="P234" s="55">
        <v>0</v>
      </c>
      <c r="Q234" s="757"/>
      <c r="R234" s="757"/>
      <c r="S234" s="757"/>
      <c r="T234" s="757"/>
      <c r="U234" s="760"/>
      <c r="V234" s="55"/>
      <c r="W234" s="55">
        <v>249.93600000000001</v>
      </c>
      <c r="X234" s="55"/>
      <c r="Y234" s="55">
        <v>536921.44299999997</v>
      </c>
      <c r="Z234" s="55">
        <v>3565879.23</v>
      </c>
      <c r="AA234" s="771"/>
    </row>
    <row r="235" spans="1:27">
      <c r="A235" s="895"/>
      <c r="B235" s="55"/>
      <c r="C235" s="55"/>
      <c r="D235" s="55">
        <v>475.23899999999998</v>
      </c>
      <c r="E235" s="55"/>
      <c r="F235" s="55"/>
      <c r="G235" s="55"/>
      <c r="H235" s="55"/>
      <c r="I235" s="892"/>
      <c r="J235" s="895"/>
      <c r="K235" s="55"/>
      <c r="L235" s="55"/>
      <c r="M235" s="55"/>
      <c r="N235" s="55"/>
      <c r="O235" s="55"/>
      <c r="P235" s="55"/>
      <c r="Q235" s="55"/>
      <c r="R235" s="55"/>
      <c r="S235" s="55"/>
      <c r="T235" s="55"/>
      <c r="U235" s="760">
        <v>428</v>
      </c>
      <c r="V235" s="55"/>
      <c r="W235" s="55"/>
      <c r="X235" s="55"/>
      <c r="Y235" s="55"/>
      <c r="Z235" s="55"/>
      <c r="AA235" s="771" t="s">
        <v>2172</v>
      </c>
    </row>
    <row r="236" spans="1:27">
      <c r="A236" s="893">
        <f>A234+1</f>
        <v>116</v>
      </c>
      <c r="B236" s="55" t="s">
        <v>2028</v>
      </c>
      <c r="C236" s="55" t="s">
        <v>1934</v>
      </c>
      <c r="D236" s="55"/>
      <c r="E236" s="55">
        <f>D233+D235</f>
        <v>908.08899999999994</v>
      </c>
      <c r="F236" s="55" t="s">
        <v>2029</v>
      </c>
      <c r="G236" s="55">
        <v>536944.57900000003</v>
      </c>
      <c r="H236" s="55">
        <v>3565448.0869999998</v>
      </c>
      <c r="I236" s="892"/>
      <c r="J236" s="893">
        <f>J234+1</f>
        <v>116</v>
      </c>
      <c r="K236" s="55" t="s">
        <v>2030</v>
      </c>
      <c r="L236" s="55" t="s">
        <v>62</v>
      </c>
      <c r="M236" s="55">
        <v>0</v>
      </c>
      <c r="N236" s="55">
        <v>0</v>
      </c>
      <c r="O236" s="55">
        <v>0</v>
      </c>
      <c r="P236" s="55">
        <v>0</v>
      </c>
      <c r="Q236" s="757"/>
      <c r="R236" s="757"/>
      <c r="S236" s="757"/>
      <c r="T236" s="757"/>
      <c r="U236" s="760"/>
      <c r="V236" s="55"/>
      <c r="W236" s="55">
        <v>249.34200000000001</v>
      </c>
      <c r="X236" s="55"/>
      <c r="Y236" s="55">
        <v>536949.478</v>
      </c>
      <c r="Z236" s="55">
        <v>3565452.1490000002</v>
      </c>
      <c r="AA236" s="771"/>
    </row>
    <row r="237" spans="1:27">
      <c r="A237" s="895"/>
      <c r="B237" s="55"/>
      <c r="C237" s="55"/>
      <c r="D237" s="55">
        <v>407.30500000000001</v>
      </c>
      <c r="E237" s="55"/>
      <c r="F237" s="55"/>
      <c r="G237" s="55"/>
      <c r="H237" s="55"/>
      <c r="I237" s="892"/>
      <c r="J237" s="895"/>
      <c r="K237" s="55"/>
      <c r="L237" s="55"/>
      <c r="M237" s="55"/>
      <c r="N237" s="55"/>
      <c r="O237" s="55"/>
      <c r="P237" s="55"/>
      <c r="Q237" s="55"/>
      <c r="R237" s="55"/>
      <c r="S237" s="55"/>
      <c r="T237" s="55"/>
      <c r="U237" s="760">
        <v>409</v>
      </c>
      <c r="V237" s="55"/>
      <c r="W237" s="55"/>
      <c r="X237" s="55"/>
      <c r="Y237" s="55"/>
      <c r="Z237" s="55"/>
      <c r="AA237" s="771" t="s">
        <v>2173</v>
      </c>
    </row>
    <row r="238" spans="1:27">
      <c r="A238" s="893">
        <f>A236+1</f>
        <v>117</v>
      </c>
      <c r="B238" s="55" t="s">
        <v>294</v>
      </c>
      <c r="C238" s="55" t="s">
        <v>76</v>
      </c>
      <c r="D238" s="55"/>
      <c r="E238" s="55"/>
      <c r="F238" s="55"/>
      <c r="G238" s="55">
        <v>536971.83900000004</v>
      </c>
      <c r="H238" s="55">
        <v>3565041.696</v>
      </c>
      <c r="I238" s="892"/>
      <c r="J238" s="893">
        <f>J236+1</f>
        <v>117</v>
      </c>
      <c r="K238" s="55" t="s">
        <v>2031</v>
      </c>
      <c r="L238" s="55" t="s">
        <v>62</v>
      </c>
      <c r="M238" s="55">
        <v>0</v>
      </c>
      <c r="N238" s="55">
        <v>0</v>
      </c>
      <c r="O238" s="55">
        <v>0</v>
      </c>
      <c r="P238" s="55">
        <v>0</v>
      </c>
      <c r="Q238" s="55"/>
      <c r="R238" s="55"/>
      <c r="S238" s="55"/>
      <c r="T238" s="55"/>
      <c r="U238" s="760"/>
      <c r="V238" s="55"/>
      <c r="W238" s="55">
        <v>249.63800000000001</v>
      </c>
      <c r="X238" s="55"/>
      <c r="Y238" s="55">
        <v>536976.26899999997</v>
      </c>
      <c r="Z238" s="55">
        <v>3565044.0269999998</v>
      </c>
      <c r="AA238" s="771"/>
    </row>
    <row r="239" spans="1:27">
      <c r="A239" s="895"/>
      <c r="B239" s="55"/>
      <c r="C239" s="55"/>
      <c r="D239" s="55">
        <v>383.49</v>
      </c>
      <c r="E239" s="55"/>
      <c r="F239" s="55"/>
      <c r="G239" s="55"/>
      <c r="H239" s="55"/>
      <c r="I239" s="892"/>
      <c r="J239" s="895"/>
      <c r="K239" s="55"/>
      <c r="L239" s="55"/>
      <c r="M239" s="55"/>
      <c r="N239" s="55"/>
      <c r="O239" s="55"/>
      <c r="P239" s="55"/>
      <c r="Q239" s="55"/>
      <c r="R239" s="55"/>
      <c r="S239" s="55"/>
      <c r="T239" s="55"/>
      <c r="U239" s="760">
        <v>416</v>
      </c>
      <c r="V239" s="55"/>
      <c r="W239" s="55"/>
      <c r="X239" s="55"/>
      <c r="Y239" s="55"/>
      <c r="Z239" s="55"/>
      <c r="AA239" s="771" t="s">
        <v>2174</v>
      </c>
    </row>
    <row r="240" spans="1:27">
      <c r="A240" s="893">
        <f>A238+1</f>
        <v>118</v>
      </c>
      <c r="B240" s="55" t="s">
        <v>712</v>
      </c>
      <c r="C240" s="55" t="s">
        <v>76</v>
      </c>
      <c r="D240" s="55"/>
      <c r="E240" s="55"/>
      <c r="F240" s="55"/>
      <c r="G240" s="55">
        <v>536997.505</v>
      </c>
      <c r="H240" s="55">
        <v>3564659.0660000001</v>
      </c>
      <c r="I240" s="892"/>
      <c r="J240" s="893">
        <f>J238+1</f>
        <v>118</v>
      </c>
      <c r="K240" s="55" t="s">
        <v>2032</v>
      </c>
      <c r="L240" s="55" t="s">
        <v>76</v>
      </c>
      <c r="M240" s="55">
        <v>0</v>
      </c>
      <c r="N240" s="55">
        <v>0</v>
      </c>
      <c r="O240" s="55">
        <v>0</v>
      </c>
      <c r="P240" s="55">
        <v>0</v>
      </c>
      <c r="Q240" s="55"/>
      <c r="R240" s="55"/>
      <c r="S240" s="55"/>
      <c r="T240" s="55"/>
      <c r="U240" s="760"/>
      <c r="V240" s="55"/>
      <c r="W240" s="55">
        <v>249.26900000000001</v>
      </c>
      <c r="X240" s="55"/>
      <c r="Y240" s="55">
        <v>537003.51800000004</v>
      </c>
      <c r="Z240" s="55">
        <v>3564628.92</v>
      </c>
      <c r="AA240" s="771"/>
    </row>
    <row r="241" spans="1:27">
      <c r="A241" s="895"/>
      <c r="B241" s="55"/>
      <c r="C241" s="55"/>
      <c r="D241" s="55">
        <v>414.16199999999998</v>
      </c>
      <c r="E241" s="55"/>
      <c r="F241" s="55"/>
      <c r="G241" s="55"/>
      <c r="H241" s="55"/>
      <c r="I241" s="892"/>
      <c r="J241" s="895"/>
      <c r="K241" s="55"/>
      <c r="L241" s="55"/>
      <c r="M241" s="55"/>
      <c r="N241" s="55"/>
      <c r="O241" s="55"/>
      <c r="P241" s="55"/>
      <c r="Q241" s="55"/>
      <c r="R241" s="55"/>
      <c r="S241" s="55"/>
      <c r="T241" s="55"/>
      <c r="U241" s="760">
        <v>397</v>
      </c>
      <c r="V241" s="55"/>
      <c r="W241" s="55"/>
      <c r="X241" s="55"/>
      <c r="Y241" s="55"/>
      <c r="Z241" s="55"/>
      <c r="AA241" s="771"/>
    </row>
    <row r="242" spans="1:27">
      <c r="A242" s="893">
        <f>A240+1</f>
        <v>119</v>
      </c>
      <c r="B242" s="55" t="s">
        <v>2033</v>
      </c>
      <c r="C242" s="55" t="s">
        <v>62</v>
      </c>
      <c r="D242" s="55"/>
      <c r="E242" s="55"/>
      <c r="F242" s="55"/>
      <c r="G242" s="55">
        <v>537025.22400000005</v>
      </c>
      <c r="H242" s="55">
        <v>3564245.8319999999</v>
      </c>
      <c r="I242" s="892"/>
      <c r="J242" s="893">
        <f>J240+1</f>
        <v>119</v>
      </c>
      <c r="K242" s="55" t="s">
        <v>2034</v>
      </c>
      <c r="L242" s="55" t="s">
        <v>76</v>
      </c>
      <c r="M242" s="55">
        <v>0</v>
      </c>
      <c r="N242" s="55">
        <v>0</v>
      </c>
      <c r="O242" s="55">
        <v>0</v>
      </c>
      <c r="P242" s="55">
        <v>0</v>
      </c>
      <c r="Q242" s="55"/>
      <c r="R242" s="55"/>
      <c r="S242" s="55"/>
      <c r="T242" s="55"/>
      <c r="U242" s="760"/>
      <c r="V242" s="55"/>
      <c r="W242" s="55">
        <v>249.98599999999999</v>
      </c>
      <c r="X242" s="55"/>
      <c r="Y242" s="55">
        <v>537029.522</v>
      </c>
      <c r="Z242" s="55">
        <v>3564232.773</v>
      </c>
      <c r="AA242" s="771"/>
    </row>
    <row r="243" spans="1:27">
      <c r="A243" s="895"/>
      <c r="B243" s="55"/>
      <c r="C243" s="55"/>
      <c r="D243" s="55">
        <v>375.84800000000001</v>
      </c>
      <c r="E243" s="55"/>
      <c r="F243" s="55"/>
      <c r="G243" s="55"/>
      <c r="H243" s="55"/>
      <c r="I243" s="892"/>
      <c r="J243" s="895"/>
      <c r="K243" s="55"/>
      <c r="L243" s="55"/>
      <c r="M243" s="55"/>
      <c r="N243" s="55"/>
      <c r="O243" s="55"/>
      <c r="P243" s="55"/>
      <c r="Q243" s="55"/>
      <c r="R243" s="55"/>
      <c r="S243" s="55"/>
      <c r="T243" s="55"/>
      <c r="U243" s="760">
        <v>337</v>
      </c>
      <c r="V243" s="55"/>
      <c r="W243" s="55"/>
      <c r="X243" s="55"/>
      <c r="Y243" s="55"/>
      <c r="Z243" s="55"/>
      <c r="AA243" s="771" t="s">
        <v>2174</v>
      </c>
    </row>
    <row r="244" spans="1:27">
      <c r="A244" s="893">
        <f>A242+1</f>
        <v>120</v>
      </c>
      <c r="B244" s="55" t="s">
        <v>2035</v>
      </c>
      <c r="C244" s="55" t="s">
        <v>62</v>
      </c>
      <c r="D244" s="55"/>
      <c r="E244" s="55"/>
      <c r="F244" s="55"/>
      <c r="G244" s="55">
        <v>537050.37899999996</v>
      </c>
      <c r="H244" s="55">
        <v>3563870.827</v>
      </c>
      <c r="I244" s="892"/>
      <c r="J244" s="893">
        <f>J242+1</f>
        <v>120</v>
      </c>
      <c r="K244" s="55" t="s">
        <v>2036</v>
      </c>
      <c r="L244" s="55" t="s">
        <v>62</v>
      </c>
      <c r="M244" s="55">
        <v>0</v>
      </c>
      <c r="N244" s="55">
        <v>0</v>
      </c>
      <c r="O244" s="55">
        <v>0</v>
      </c>
      <c r="P244" s="55">
        <v>0</v>
      </c>
      <c r="Q244" s="55"/>
      <c r="R244" s="55"/>
      <c r="S244" s="55"/>
      <c r="T244" s="55"/>
      <c r="U244" s="760"/>
      <c r="V244" s="55"/>
      <c r="W244" s="55">
        <v>249.81299999999999</v>
      </c>
      <c r="X244" s="55"/>
      <c r="Y244" s="55">
        <v>537051.59600000002</v>
      </c>
      <c r="Z244" s="55">
        <v>3563896.497</v>
      </c>
      <c r="AA244" s="771" t="s">
        <v>2020</v>
      </c>
    </row>
    <row r="245" spans="1:27">
      <c r="A245" s="895"/>
      <c r="B245" s="55"/>
      <c r="C245" s="55"/>
      <c r="D245" s="55">
        <v>424.19499999999999</v>
      </c>
      <c r="E245" s="55"/>
      <c r="F245" s="55"/>
      <c r="G245" s="55"/>
      <c r="H245" s="55"/>
      <c r="I245" s="892"/>
      <c r="J245" s="895"/>
      <c r="K245" s="55"/>
      <c r="L245" s="55"/>
      <c r="M245" s="55"/>
      <c r="N245" s="55"/>
      <c r="O245" s="55"/>
      <c r="P245" s="55"/>
      <c r="Q245" s="757"/>
      <c r="R245" s="757"/>
      <c r="S245" s="757"/>
      <c r="T245" s="757"/>
      <c r="U245" s="760">
        <v>451</v>
      </c>
      <c r="V245" s="55"/>
      <c r="W245" s="55"/>
      <c r="X245" s="55"/>
      <c r="Y245" s="55"/>
      <c r="Z245" s="55"/>
      <c r="AA245" s="771" t="s">
        <v>2146</v>
      </c>
    </row>
    <row r="246" spans="1:27">
      <c r="A246" s="893">
        <f>A244+1</f>
        <v>121</v>
      </c>
      <c r="B246" s="55" t="s">
        <v>2037</v>
      </c>
      <c r="C246" s="55" t="s">
        <v>62</v>
      </c>
      <c r="D246" s="55"/>
      <c r="E246" s="55"/>
      <c r="F246" s="55"/>
      <c r="G246" s="55">
        <v>537078.77</v>
      </c>
      <c r="H246" s="55">
        <v>3563447.5830000001</v>
      </c>
      <c r="I246" s="892"/>
      <c r="J246" s="893">
        <f>J244+1</f>
        <v>121</v>
      </c>
      <c r="K246" s="55" t="s">
        <v>2038</v>
      </c>
      <c r="L246" s="55" t="s">
        <v>53</v>
      </c>
      <c r="M246" s="55">
        <v>0</v>
      </c>
      <c r="N246" s="55">
        <v>0</v>
      </c>
      <c r="O246" s="55">
        <v>0</v>
      </c>
      <c r="P246" s="55">
        <v>0</v>
      </c>
      <c r="Q246" s="757"/>
      <c r="R246" s="757"/>
      <c r="S246" s="757"/>
      <c r="T246" s="757"/>
      <c r="U246" s="760"/>
      <c r="V246" s="55"/>
      <c r="W246" s="55">
        <v>248.97499999999999</v>
      </c>
      <c r="X246" s="55"/>
      <c r="Y246" s="55">
        <v>537081.13800000004</v>
      </c>
      <c r="Z246" s="55">
        <v>3563446.4649999999</v>
      </c>
      <c r="AA246" s="771" t="s">
        <v>2020</v>
      </c>
    </row>
    <row r="247" spans="1:27">
      <c r="A247" s="895"/>
      <c r="B247" s="55"/>
      <c r="C247" s="55"/>
      <c r="D247" s="55">
        <v>395</v>
      </c>
      <c r="E247" s="55"/>
      <c r="F247" s="55"/>
      <c r="G247" s="55"/>
      <c r="H247" s="55"/>
      <c r="I247" s="892"/>
      <c r="J247" s="895"/>
      <c r="K247" s="55"/>
      <c r="L247" s="55"/>
      <c r="M247" s="55"/>
      <c r="N247" s="55"/>
      <c r="O247" s="55"/>
      <c r="P247" s="55"/>
      <c r="Q247" s="757"/>
      <c r="R247" s="757"/>
      <c r="S247" s="757"/>
      <c r="T247" s="757"/>
      <c r="U247" s="760">
        <v>389</v>
      </c>
      <c r="V247" s="55"/>
      <c r="W247" s="55"/>
      <c r="X247" s="55"/>
      <c r="Y247" s="55"/>
      <c r="Z247" s="55"/>
      <c r="AA247" s="771" t="s">
        <v>2175</v>
      </c>
    </row>
    <row r="248" spans="1:27">
      <c r="A248" s="893">
        <f>A246+1</f>
        <v>122</v>
      </c>
      <c r="B248" s="55" t="s">
        <v>2039</v>
      </c>
      <c r="C248" s="55" t="s">
        <v>62</v>
      </c>
      <c r="D248" s="55"/>
      <c r="E248" s="55"/>
      <c r="F248" s="55"/>
      <c r="G248" s="55">
        <v>537105.20600000001</v>
      </c>
      <c r="H248" s="55">
        <v>3563053.469</v>
      </c>
      <c r="I248" s="892"/>
      <c r="J248" s="893">
        <f>J246+1</f>
        <v>122</v>
      </c>
      <c r="K248" s="55" t="s">
        <v>2040</v>
      </c>
      <c r="L248" s="55" t="s">
        <v>76</v>
      </c>
      <c r="M248" s="55">
        <v>0</v>
      </c>
      <c r="N248" s="55">
        <v>0</v>
      </c>
      <c r="O248" s="55">
        <v>0</v>
      </c>
      <c r="P248" s="55">
        <v>0</v>
      </c>
      <c r="Q248" s="757"/>
      <c r="R248" s="757"/>
      <c r="S248" s="757"/>
      <c r="T248" s="757"/>
      <c r="U248" s="760"/>
      <c r="V248" s="55"/>
      <c r="W248" s="55">
        <v>248.52</v>
      </c>
      <c r="X248" s="55"/>
      <c r="Y248" s="55">
        <v>537106.61800000002</v>
      </c>
      <c r="Z248" s="55">
        <v>3563058.301</v>
      </c>
      <c r="AA248" s="771"/>
    </row>
    <row r="249" spans="1:27">
      <c r="A249" s="895"/>
      <c r="B249" s="55"/>
      <c r="C249" s="55"/>
      <c r="D249" s="55">
        <v>390</v>
      </c>
      <c r="E249" s="55"/>
      <c r="F249" s="55"/>
      <c r="G249" s="55"/>
      <c r="H249" s="55"/>
      <c r="I249" s="892"/>
      <c r="J249" s="895"/>
      <c r="K249" s="55"/>
      <c r="L249" s="55"/>
      <c r="M249" s="55"/>
      <c r="N249" s="55"/>
      <c r="O249" s="55"/>
      <c r="P249" s="55"/>
      <c r="Q249" s="757"/>
      <c r="R249" s="757"/>
      <c r="S249" s="757"/>
      <c r="T249" s="757"/>
      <c r="U249" s="760">
        <v>395</v>
      </c>
      <c r="V249" s="55"/>
      <c r="W249" s="55"/>
      <c r="X249" s="55"/>
      <c r="Y249" s="55"/>
      <c r="Z249" s="55"/>
      <c r="AA249" s="771"/>
    </row>
    <row r="250" spans="1:27">
      <c r="A250" s="893">
        <f>A248+1</f>
        <v>123</v>
      </c>
      <c r="B250" s="55" t="s">
        <v>2041</v>
      </c>
      <c r="C250" s="55" t="s">
        <v>76</v>
      </c>
      <c r="D250" s="55"/>
      <c r="E250" s="55"/>
      <c r="F250" s="55"/>
      <c r="G250" s="55">
        <v>537131.30799999996</v>
      </c>
      <c r="H250" s="55">
        <v>3562664.3429999999</v>
      </c>
      <c r="I250" s="892"/>
      <c r="J250" s="893">
        <f>J248+1</f>
        <v>123</v>
      </c>
      <c r="K250" s="55" t="s">
        <v>2042</v>
      </c>
      <c r="L250" s="55" t="s">
        <v>76</v>
      </c>
      <c r="M250" s="55">
        <v>0</v>
      </c>
      <c r="N250" s="55">
        <v>0</v>
      </c>
      <c r="O250" s="55">
        <v>0</v>
      </c>
      <c r="P250" s="55">
        <v>0</v>
      </c>
      <c r="Q250" s="757"/>
      <c r="R250" s="757"/>
      <c r="S250" s="757"/>
      <c r="T250" s="757"/>
      <c r="U250" s="760"/>
      <c r="V250" s="55"/>
      <c r="W250" s="55">
        <v>248.89</v>
      </c>
      <c r="X250" s="55"/>
      <c r="Y250" s="55">
        <v>537132.49100000004</v>
      </c>
      <c r="Z250" s="55">
        <v>3562664.1490000002</v>
      </c>
      <c r="AA250" s="771" t="s">
        <v>2020</v>
      </c>
    </row>
    <row r="251" spans="1:27">
      <c r="A251" s="895"/>
      <c r="B251" s="55"/>
      <c r="C251" s="55"/>
      <c r="D251" s="55">
        <v>390</v>
      </c>
      <c r="E251" s="55"/>
      <c r="F251" s="55"/>
      <c r="G251" s="55"/>
      <c r="H251" s="55"/>
      <c r="I251" s="892"/>
      <c r="J251" s="895"/>
      <c r="K251" s="55"/>
      <c r="L251" s="55"/>
      <c r="M251" s="55"/>
      <c r="N251" s="55"/>
      <c r="O251" s="55"/>
      <c r="P251" s="55"/>
      <c r="Q251" s="757"/>
      <c r="R251" s="757"/>
      <c r="S251" s="757"/>
      <c r="T251" s="757"/>
      <c r="U251" s="760">
        <v>391</v>
      </c>
      <c r="V251" s="55"/>
      <c r="W251" s="55"/>
      <c r="X251" s="55"/>
      <c r="Y251" s="55"/>
      <c r="Z251" s="55"/>
      <c r="AA251" s="771" t="s">
        <v>2176</v>
      </c>
    </row>
    <row r="252" spans="1:27">
      <c r="A252" s="893">
        <f>A250+1</f>
        <v>124</v>
      </c>
      <c r="B252" s="55" t="s">
        <v>2043</v>
      </c>
      <c r="C252" s="55" t="s">
        <v>76</v>
      </c>
      <c r="D252" s="55"/>
      <c r="E252" s="55"/>
      <c r="F252" s="55"/>
      <c r="G252" s="55">
        <v>537157.41</v>
      </c>
      <c r="H252" s="55">
        <v>3562275.2179999999</v>
      </c>
      <c r="I252" s="892"/>
      <c r="J252" s="893">
        <f>J250+1</f>
        <v>124</v>
      </c>
      <c r="K252" s="55" t="s">
        <v>2044</v>
      </c>
      <c r="L252" s="55" t="s">
        <v>76</v>
      </c>
      <c r="M252" s="55">
        <v>0</v>
      </c>
      <c r="N252" s="55">
        <v>0</v>
      </c>
      <c r="O252" s="55">
        <v>0</v>
      </c>
      <c r="P252" s="55">
        <v>0</v>
      </c>
      <c r="Q252" s="55"/>
      <c r="R252" s="55"/>
      <c r="S252" s="55"/>
      <c r="T252" s="55"/>
      <c r="U252" s="760"/>
      <c r="V252" s="55"/>
      <c r="W252" s="55">
        <v>248.37</v>
      </c>
      <c r="X252" s="55"/>
      <c r="Y252" s="55">
        <v>537158.10199999996</v>
      </c>
      <c r="Z252" s="55">
        <v>3562273.9890000001</v>
      </c>
      <c r="AA252" s="771" t="s">
        <v>2020</v>
      </c>
    </row>
    <row r="253" spans="1:27">
      <c r="A253" s="895"/>
      <c r="B253" s="55"/>
      <c r="C253" s="55"/>
      <c r="D253" s="55">
        <v>427.17500000000001</v>
      </c>
      <c r="E253" s="55"/>
      <c r="F253" s="55"/>
      <c r="G253" s="55"/>
      <c r="H253" s="55"/>
      <c r="I253" s="892"/>
      <c r="J253" s="895"/>
      <c r="K253" s="55"/>
      <c r="L253" s="55"/>
      <c r="M253" s="55"/>
      <c r="N253" s="55"/>
      <c r="O253" s="55"/>
      <c r="P253" s="55"/>
      <c r="Q253" s="55"/>
      <c r="R253" s="55"/>
      <c r="S253" s="55"/>
      <c r="T253" s="55"/>
      <c r="U253" s="760">
        <v>425.90300000000002</v>
      </c>
      <c r="V253" s="55"/>
      <c r="W253" s="55"/>
      <c r="X253" s="55"/>
      <c r="Y253" s="55"/>
      <c r="Z253" s="55"/>
      <c r="AA253" s="772" t="s">
        <v>2177</v>
      </c>
    </row>
    <row r="254" spans="1:27">
      <c r="A254" s="893">
        <f>A252+1</f>
        <v>125</v>
      </c>
      <c r="B254" s="55" t="s">
        <v>2045</v>
      </c>
      <c r="C254" s="55" t="s">
        <v>1953</v>
      </c>
      <c r="D254" s="55"/>
      <c r="E254" s="55">
        <f>D237+D239+D241+D243+D245+D247+D249+D251+D253</f>
        <v>3607.1750000000002</v>
      </c>
      <c r="F254" s="55" t="s">
        <v>2046</v>
      </c>
      <c r="G254" s="55">
        <v>537186</v>
      </c>
      <c r="H254" s="55">
        <v>3561849</v>
      </c>
      <c r="I254" s="892"/>
      <c r="J254" s="893">
        <f>J252+1</f>
        <v>125</v>
      </c>
      <c r="K254" s="55" t="s">
        <v>2047</v>
      </c>
      <c r="L254" s="55" t="s">
        <v>1953</v>
      </c>
      <c r="M254" s="55">
        <v>0</v>
      </c>
      <c r="N254" s="55">
        <v>0</v>
      </c>
      <c r="O254" s="55">
        <v>0</v>
      </c>
      <c r="P254" s="55">
        <v>0</v>
      </c>
      <c r="Q254" s="55"/>
      <c r="R254" s="55"/>
      <c r="S254" s="55"/>
      <c r="T254" s="55"/>
      <c r="U254" s="760"/>
      <c r="V254" s="758">
        <f>U233+U235+U237+U239+U241+U243+U245+U247+U249+U251+U253</f>
        <v>4450.9030000000002</v>
      </c>
      <c r="W254" s="55">
        <v>246.84299999999999</v>
      </c>
      <c r="X254" s="55"/>
      <c r="Y254" s="55">
        <v>537186</v>
      </c>
      <c r="Z254" s="55">
        <v>3561849</v>
      </c>
      <c r="AA254" s="896"/>
    </row>
    <row r="255" spans="1:27">
      <c r="A255" s="895"/>
      <c r="B255" s="895"/>
      <c r="C255" s="897"/>
      <c r="D255" s="897"/>
      <c r="E255" s="895"/>
      <c r="F255" s="895"/>
      <c r="G255" s="895"/>
      <c r="H255" s="895"/>
      <c r="I255" s="892"/>
      <c r="J255" s="895"/>
      <c r="K255" s="895"/>
      <c r="L255" s="895"/>
      <c r="M255" s="895"/>
      <c r="N255" s="895"/>
      <c r="O255" s="895"/>
      <c r="P255" s="895"/>
      <c r="Q255" s="895"/>
      <c r="R255" s="895"/>
      <c r="S255" s="895"/>
      <c r="T255" s="895"/>
      <c r="U255" s="898"/>
      <c r="V255" s="895"/>
      <c r="W255" s="895"/>
      <c r="X255" s="895"/>
      <c r="Y255" s="895"/>
      <c r="Z255" s="895"/>
      <c r="AA255" s="893"/>
    </row>
    <row r="256" spans="1:27">
      <c r="A256" s="893">
        <f>A254+1</f>
        <v>126</v>
      </c>
      <c r="B256" s="55" t="s">
        <v>2048</v>
      </c>
      <c r="C256" s="55" t="s">
        <v>1277</v>
      </c>
      <c r="D256" s="763"/>
      <c r="E256" s="1553">
        <v>420.52499999999998</v>
      </c>
      <c r="F256" s="55" t="s">
        <v>2049</v>
      </c>
      <c r="G256" s="760">
        <v>537906.36100000003</v>
      </c>
      <c r="H256" s="760">
        <v>3560968.449</v>
      </c>
      <c r="I256" s="892"/>
      <c r="J256" s="893">
        <f>J254+1</f>
        <v>126</v>
      </c>
      <c r="K256" s="55" t="s">
        <v>2048</v>
      </c>
      <c r="L256" s="55" t="s">
        <v>1277</v>
      </c>
      <c r="M256" s="895"/>
      <c r="N256" s="895"/>
      <c r="O256" s="895"/>
      <c r="P256" s="895"/>
      <c r="Q256" s="895"/>
      <c r="R256" s="895"/>
      <c r="S256" s="895"/>
      <c r="T256" s="895"/>
      <c r="U256" s="760"/>
      <c r="V256" s="1551">
        <v>416.65800000000002</v>
      </c>
      <c r="W256" s="758">
        <v>250.02099999999999</v>
      </c>
      <c r="X256" s="55" t="s">
        <v>2050</v>
      </c>
      <c r="Y256" s="759">
        <v>537906.36100000003</v>
      </c>
      <c r="Z256" s="759">
        <v>3560968.449</v>
      </c>
      <c r="AA256" s="760"/>
    </row>
    <row r="257" spans="1:27">
      <c r="A257" s="895"/>
      <c r="B257" s="55"/>
      <c r="C257" s="55"/>
      <c r="D257" s="55">
        <v>420.52499999999998</v>
      </c>
      <c r="E257" s="1553"/>
      <c r="F257" s="55"/>
      <c r="G257" s="760"/>
      <c r="H257" s="760"/>
      <c r="I257" s="892"/>
      <c r="J257" s="895"/>
      <c r="K257" s="55"/>
      <c r="L257" s="55"/>
      <c r="M257" s="895"/>
      <c r="N257" s="895"/>
      <c r="O257" s="895"/>
      <c r="P257" s="895"/>
      <c r="Q257" s="895"/>
      <c r="R257" s="895"/>
      <c r="S257" s="895"/>
      <c r="T257" s="895"/>
      <c r="U257" s="759">
        <v>416.65800000000002</v>
      </c>
      <c r="V257" s="1551"/>
      <c r="W257" s="758"/>
      <c r="X257" s="55"/>
      <c r="Y257" s="757"/>
      <c r="Z257" s="757"/>
      <c r="AA257" s="765" t="s">
        <v>2051</v>
      </c>
    </row>
    <row r="258" spans="1:27">
      <c r="A258" s="893">
        <f>A256+1</f>
        <v>127</v>
      </c>
      <c r="B258" s="55" t="s">
        <v>2052</v>
      </c>
      <c r="C258" s="55" t="s">
        <v>1402</v>
      </c>
      <c r="D258" s="55"/>
      <c r="E258" s="1553">
        <v>394.27100000000002</v>
      </c>
      <c r="F258" s="55" t="s">
        <v>2053</v>
      </c>
      <c r="G258" s="760">
        <v>538072.03200000001</v>
      </c>
      <c r="H258" s="760">
        <v>3560581.9330000002</v>
      </c>
      <c r="I258" s="892"/>
      <c r="J258" s="893">
        <f>J256+1</f>
        <v>127</v>
      </c>
      <c r="K258" s="55" t="s">
        <v>2052</v>
      </c>
      <c r="L258" s="55" t="s">
        <v>1402</v>
      </c>
      <c r="M258" s="895"/>
      <c r="N258" s="895"/>
      <c r="O258" s="895"/>
      <c r="P258" s="895"/>
      <c r="Q258" s="895"/>
      <c r="R258" s="895"/>
      <c r="S258" s="895"/>
      <c r="T258" s="895"/>
      <c r="U258" s="759"/>
      <c r="V258" s="1551">
        <v>389.27699999999999</v>
      </c>
      <c r="W258" s="758">
        <v>248.53</v>
      </c>
      <c r="X258" s="55" t="s">
        <v>2054</v>
      </c>
      <c r="Y258" s="759">
        <v>538071.47400000005</v>
      </c>
      <c r="Z258" s="759">
        <v>3560585.9029999999</v>
      </c>
      <c r="AA258" s="765"/>
    </row>
    <row r="259" spans="1:27">
      <c r="A259" s="895"/>
      <c r="B259" s="55"/>
      <c r="C259" s="55"/>
      <c r="D259" s="55">
        <v>394.27100000000002</v>
      </c>
      <c r="E259" s="1553"/>
      <c r="F259" s="55"/>
      <c r="G259" s="760"/>
      <c r="H259" s="760"/>
      <c r="I259" s="892"/>
      <c r="J259" s="895"/>
      <c r="K259" s="55"/>
      <c r="L259" s="55"/>
      <c r="M259" s="895"/>
      <c r="N259" s="895"/>
      <c r="O259" s="895"/>
      <c r="P259" s="895"/>
      <c r="Q259" s="895"/>
      <c r="R259" s="895"/>
      <c r="S259" s="895"/>
      <c r="T259" s="895"/>
      <c r="U259" s="759">
        <v>389.27699999999999</v>
      </c>
      <c r="V259" s="1551"/>
      <c r="W259" s="758"/>
      <c r="X259" s="55"/>
      <c r="Y259" s="757"/>
      <c r="Z259" s="757"/>
      <c r="AA259" s="765" t="s">
        <v>2055</v>
      </c>
    </row>
    <row r="260" spans="1:27">
      <c r="A260" s="893">
        <f>A258+1</f>
        <v>128</v>
      </c>
      <c r="B260" s="55" t="s">
        <v>2056</v>
      </c>
      <c r="C260" s="55" t="s">
        <v>1995</v>
      </c>
      <c r="D260" s="55"/>
      <c r="E260" s="1553">
        <f>D261+D263</f>
        <v>786.42</v>
      </c>
      <c r="F260" s="55" t="s">
        <v>2057</v>
      </c>
      <c r="G260" s="760">
        <v>538126.65</v>
      </c>
      <c r="H260" s="760">
        <v>3560191.4640000002</v>
      </c>
      <c r="I260" s="892"/>
      <c r="J260" s="893">
        <f>J258+1</f>
        <v>128</v>
      </c>
      <c r="K260" s="55" t="s">
        <v>2056</v>
      </c>
      <c r="L260" s="55" t="s">
        <v>1995</v>
      </c>
      <c r="M260" s="895"/>
      <c r="N260" s="895"/>
      <c r="O260" s="895"/>
      <c r="P260" s="895"/>
      <c r="Q260" s="895"/>
      <c r="R260" s="895"/>
      <c r="S260" s="895"/>
      <c r="T260" s="895"/>
      <c r="U260" s="759"/>
      <c r="V260" s="1551">
        <f>U261+U263</f>
        <v>793.45100000000002</v>
      </c>
      <c r="W260" s="758">
        <v>248.26599999999999</v>
      </c>
      <c r="X260" s="55" t="s">
        <v>2058</v>
      </c>
      <c r="Y260" s="759">
        <v>538125.38300000003</v>
      </c>
      <c r="Z260" s="759">
        <v>3560200.3769999999</v>
      </c>
      <c r="AA260" s="899"/>
    </row>
    <row r="261" spans="1:27">
      <c r="A261" s="895"/>
      <c r="B261" s="55"/>
      <c r="C261" s="55"/>
      <c r="D261" s="55">
        <v>377.11399999999998</v>
      </c>
      <c r="E261" s="1553"/>
      <c r="F261" s="55"/>
      <c r="G261" s="760"/>
      <c r="H261" s="760"/>
      <c r="I261" s="892"/>
      <c r="J261" s="895"/>
      <c r="K261" s="55"/>
      <c r="L261" s="55"/>
      <c r="M261" s="895"/>
      <c r="N261" s="895"/>
      <c r="O261" s="895"/>
      <c r="P261" s="895"/>
      <c r="Q261" s="895"/>
      <c r="R261" s="895"/>
      <c r="S261" s="895"/>
      <c r="T261" s="895"/>
      <c r="U261" s="759">
        <v>384.15100000000001</v>
      </c>
      <c r="V261" s="1551"/>
      <c r="W261" s="758"/>
      <c r="X261" s="55"/>
      <c r="Y261" s="757"/>
      <c r="Z261" s="757"/>
      <c r="AA261" s="765" t="s">
        <v>2059</v>
      </c>
    </row>
    <row r="262" spans="1:27">
      <c r="A262" s="893">
        <f>A260+1</f>
        <v>129</v>
      </c>
      <c r="B262" s="55" t="s">
        <v>702</v>
      </c>
      <c r="C262" s="55" t="s">
        <v>62</v>
      </c>
      <c r="D262" s="55"/>
      <c r="E262" s="1553"/>
      <c r="F262" s="55"/>
      <c r="G262" s="760">
        <v>537933.76699999999</v>
      </c>
      <c r="H262" s="760">
        <v>3559867.41</v>
      </c>
      <c r="I262" s="892"/>
      <c r="J262" s="893">
        <f>J260+1</f>
        <v>129</v>
      </c>
      <c r="K262" s="55" t="s">
        <v>702</v>
      </c>
      <c r="L262" s="55" t="s">
        <v>53</v>
      </c>
      <c r="M262" s="895"/>
      <c r="N262" s="895"/>
      <c r="O262" s="895"/>
      <c r="P262" s="895"/>
      <c r="Q262" s="895"/>
      <c r="R262" s="895"/>
      <c r="S262" s="895"/>
      <c r="T262" s="895"/>
      <c r="U262" s="759"/>
      <c r="V262" s="1551"/>
      <c r="W262" s="758">
        <v>247.77</v>
      </c>
      <c r="X262" s="55"/>
      <c r="Y262" s="759">
        <v>537931.255</v>
      </c>
      <c r="Z262" s="759">
        <v>3559868.8859999999</v>
      </c>
      <c r="AA262" s="765"/>
    </row>
    <row r="263" spans="1:27">
      <c r="A263" s="895"/>
      <c r="B263" s="55"/>
      <c r="C263" s="55"/>
      <c r="D263" s="55">
        <v>409.30599999999998</v>
      </c>
      <c r="E263" s="1553"/>
      <c r="F263" s="55"/>
      <c r="G263" s="760"/>
      <c r="H263" s="760"/>
      <c r="I263" s="892"/>
      <c r="J263" s="895"/>
      <c r="K263" s="55"/>
      <c r="L263" s="55"/>
      <c r="M263" s="895"/>
      <c r="N263" s="895"/>
      <c r="O263" s="895"/>
      <c r="P263" s="895"/>
      <c r="Q263" s="895"/>
      <c r="R263" s="895"/>
      <c r="S263" s="895"/>
      <c r="T263" s="895"/>
      <c r="U263" s="759">
        <v>409.3</v>
      </c>
      <c r="V263" s="1551"/>
      <c r="W263" s="758"/>
      <c r="X263" s="55"/>
      <c r="Y263" s="757"/>
      <c r="Z263" s="757"/>
      <c r="AA263" s="765" t="s">
        <v>2060</v>
      </c>
    </row>
    <row r="264" spans="1:27">
      <c r="A264" s="893">
        <f>A262+1</f>
        <v>130</v>
      </c>
      <c r="B264" s="55" t="s">
        <v>2061</v>
      </c>
      <c r="C264" s="55" t="s">
        <v>1277</v>
      </c>
      <c r="D264" s="55"/>
      <c r="E264" s="1553"/>
      <c r="F264" s="55" t="s">
        <v>2062</v>
      </c>
      <c r="G264" s="760">
        <v>537724.41799999995</v>
      </c>
      <c r="H264" s="760">
        <v>3559515.693</v>
      </c>
      <c r="I264" s="892"/>
      <c r="J264" s="893">
        <f>J262+1</f>
        <v>130</v>
      </c>
      <c r="K264" s="55" t="s">
        <v>2061</v>
      </c>
      <c r="L264" s="55" t="s">
        <v>1361</v>
      </c>
      <c r="M264" s="895"/>
      <c r="N264" s="895"/>
      <c r="O264" s="895"/>
      <c r="P264" s="895"/>
      <c r="Q264" s="895"/>
      <c r="R264" s="895"/>
      <c r="S264" s="895"/>
      <c r="T264" s="895"/>
      <c r="U264" s="759"/>
      <c r="V264" s="1551"/>
      <c r="W264" s="758">
        <v>247.416</v>
      </c>
      <c r="X264" s="55" t="s">
        <v>2063</v>
      </c>
      <c r="Y264" s="759">
        <v>537724.41799999995</v>
      </c>
      <c r="Z264" s="759">
        <v>3559515.693</v>
      </c>
      <c r="AA264" s="765"/>
    </row>
    <row r="265" spans="1:27">
      <c r="A265" s="895"/>
      <c r="B265" s="55"/>
      <c r="C265" s="55"/>
      <c r="D265" s="55">
        <v>409.72</v>
      </c>
      <c r="E265" s="1553">
        <f>D265+D267+D269+D271+D273</f>
        <v>1906.1019999999999</v>
      </c>
      <c r="F265" s="55"/>
      <c r="G265" s="760"/>
      <c r="H265" s="760"/>
      <c r="I265" s="892"/>
      <c r="J265" s="895"/>
      <c r="K265" s="55"/>
      <c r="L265" s="55"/>
      <c r="M265" s="895"/>
      <c r="N265" s="895"/>
      <c r="O265" s="895"/>
      <c r="P265" s="895"/>
      <c r="Q265" s="895"/>
      <c r="R265" s="895"/>
      <c r="S265" s="895"/>
      <c r="T265" s="895"/>
      <c r="U265" s="759">
        <v>409.72</v>
      </c>
      <c r="V265" s="1551">
        <f>U265+U267+U269+U271+U273</f>
        <v>1906.1019999999999</v>
      </c>
      <c r="W265" s="758"/>
      <c r="X265" s="55"/>
      <c r="Y265" s="757"/>
      <c r="Z265" s="757"/>
      <c r="AA265" s="55" t="s">
        <v>2064</v>
      </c>
    </row>
    <row r="266" spans="1:27">
      <c r="A266" s="893">
        <f>A264+1</f>
        <v>131</v>
      </c>
      <c r="B266" s="55" t="s">
        <v>753</v>
      </c>
      <c r="C266" s="55" t="s">
        <v>62</v>
      </c>
      <c r="D266" s="55"/>
      <c r="E266" s="1553"/>
      <c r="F266" s="55"/>
      <c r="G266" s="760">
        <v>537383.73499999999</v>
      </c>
      <c r="H266" s="760">
        <v>3559288.0860000001</v>
      </c>
      <c r="I266" s="892"/>
      <c r="J266" s="893">
        <f>J264+1</f>
        <v>131</v>
      </c>
      <c r="K266" s="55" t="s">
        <v>753</v>
      </c>
      <c r="L266" s="55" t="s">
        <v>53</v>
      </c>
      <c r="M266" s="895"/>
      <c r="N266" s="895"/>
      <c r="O266" s="895"/>
      <c r="P266" s="895"/>
      <c r="Q266" s="895"/>
      <c r="R266" s="895"/>
      <c r="S266" s="895"/>
      <c r="T266" s="895"/>
      <c r="U266" s="759"/>
      <c r="V266" s="1551"/>
      <c r="W266" s="758">
        <v>247.16399999999999</v>
      </c>
      <c r="X266" s="55"/>
      <c r="Y266" s="759">
        <v>537383.73499999999</v>
      </c>
      <c r="Z266" s="759">
        <v>3559288.085</v>
      </c>
      <c r="AA266" s="765"/>
    </row>
    <row r="267" spans="1:27">
      <c r="A267" s="895"/>
      <c r="B267" s="55"/>
      <c r="C267" s="55"/>
      <c r="D267" s="55">
        <v>406.73200000000003</v>
      </c>
      <c r="E267" s="1553"/>
      <c r="F267" s="55"/>
      <c r="G267" s="760"/>
      <c r="H267" s="760"/>
      <c r="I267" s="892"/>
      <c r="J267" s="895"/>
      <c r="K267" s="55"/>
      <c r="L267" s="55"/>
      <c r="M267" s="895"/>
      <c r="N267" s="895"/>
      <c r="O267" s="895"/>
      <c r="P267" s="895"/>
      <c r="Q267" s="895"/>
      <c r="R267" s="895"/>
      <c r="S267" s="895"/>
      <c r="T267" s="895"/>
      <c r="U267" s="759">
        <v>406.73200000000003</v>
      </c>
      <c r="V267" s="1551"/>
      <c r="W267" s="758"/>
      <c r="X267" s="55"/>
      <c r="Y267" s="757"/>
      <c r="Z267" s="757"/>
      <c r="AA267" s="765" t="s">
        <v>2065</v>
      </c>
    </row>
    <row r="268" spans="1:27">
      <c r="A268" s="893">
        <f>A266+1</f>
        <v>132</v>
      </c>
      <c r="B268" s="55" t="s">
        <v>761</v>
      </c>
      <c r="C268" s="55" t="s">
        <v>62</v>
      </c>
      <c r="D268" s="55"/>
      <c r="E268" s="1553"/>
      <c r="F268" s="55"/>
      <c r="G268" s="760">
        <v>537045.53599999996</v>
      </c>
      <c r="H268" s="760">
        <v>3559062.1379999998</v>
      </c>
      <c r="I268" s="892"/>
      <c r="J268" s="893">
        <f>J266+1</f>
        <v>132</v>
      </c>
      <c r="K268" s="55" t="s">
        <v>761</v>
      </c>
      <c r="L268" s="55" t="s">
        <v>62</v>
      </c>
      <c r="M268" s="895"/>
      <c r="N268" s="895"/>
      <c r="O268" s="895"/>
      <c r="P268" s="895"/>
      <c r="Q268" s="895"/>
      <c r="R268" s="895"/>
      <c r="S268" s="895"/>
      <c r="T268" s="895"/>
      <c r="U268" s="759"/>
      <c r="V268" s="1551"/>
      <c r="W268" s="758">
        <v>246.60300000000001</v>
      </c>
      <c r="X268" s="55"/>
      <c r="Y268" s="759">
        <v>537045.53599999996</v>
      </c>
      <c r="Z268" s="759">
        <v>3559062.1379999998</v>
      </c>
      <c r="AA268" s="765"/>
    </row>
    <row r="269" spans="1:27">
      <c r="A269" s="895"/>
      <c r="B269" s="55"/>
      <c r="C269" s="55"/>
      <c r="D269" s="55">
        <v>389.91300000000001</v>
      </c>
      <c r="E269" s="1553"/>
      <c r="F269" s="55"/>
      <c r="G269" s="760"/>
      <c r="H269" s="760"/>
      <c r="I269" s="892"/>
      <c r="J269" s="895"/>
      <c r="K269" s="55"/>
      <c r="L269" s="55"/>
      <c r="M269" s="895"/>
      <c r="N269" s="895"/>
      <c r="O269" s="895"/>
      <c r="P269" s="895"/>
      <c r="Q269" s="895"/>
      <c r="R269" s="895"/>
      <c r="S269" s="895"/>
      <c r="T269" s="895"/>
      <c r="U269" s="759">
        <v>404.91300000000001</v>
      </c>
      <c r="V269" s="1551"/>
      <c r="W269" s="758"/>
      <c r="X269" s="55"/>
      <c r="Y269" s="757"/>
      <c r="Z269" s="757"/>
      <c r="AA269" s="765" t="s">
        <v>2066</v>
      </c>
    </row>
    <row r="270" spans="1:27">
      <c r="A270" s="893">
        <f>A268+1</f>
        <v>133</v>
      </c>
      <c r="B270" s="55" t="s">
        <v>735</v>
      </c>
      <c r="C270" s="55" t="s">
        <v>62</v>
      </c>
      <c r="D270" s="55"/>
      <c r="E270" s="1553"/>
      <c r="F270" s="55"/>
      <c r="G270" s="760">
        <v>536721.32200000004</v>
      </c>
      <c r="H270" s="760">
        <v>3558845.534</v>
      </c>
      <c r="I270" s="892"/>
      <c r="J270" s="893">
        <f>J268+1</f>
        <v>133</v>
      </c>
      <c r="K270" s="55" t="s">
        <v>735</v>
      </c>
      <c r="L270" s="55" t="s">
        <v>53</v>
      </c>
      <c r="M270" s="895"/>
      <c r="N270" s="895"/>
      <c r="O270" s="895"/>
      <c r="P270" s="895"/>
      <c r="Q270" s="895"/>
      <c r="R270" s="895"/>
      <c r="S270" s="895"/>
      <c r="T270" s="895"/>
      <c r="U270" s="759"/>
      <c r="V270" s="1551"/>
      <c r="W270" s="758">
        <v>246.5</v>
      </c>
      <c r="X270" s="55"/>
      <c r="Y270" s="759">
        <v>536708.84900000005</v>
      </c>
      <c r="Z270" s="759">
        <v>3558837.2009999999</v>
      </c>
      <c r="AA270" s="765"/>
    </row>
    <row r="271" spans="1:27">
      <c r="A271" s="895"/>
      <c r="B271" s="55"/>
      <c r="C271" s="55"/>
      <c r="D271" s="55">
        <v>325.56299999999999</v>
      </c>
      <c r="E271" s="1553"/>
      <c r="F271" s="55"/>
      <c r="G271" s="760"/>
      <c r="H271" s="760"/>
      <c r="I271" s="892"/>
      <c r="J271" s="895"/>
      <c r="K271" s="55"/>
      <c r="L271" s="55"/>
      <c r="M271" s="895"/>
      <c r="N271" s="895"/>
      <c r="O271" s="895"/>
      <c r="P271" s="895"/>
      <c r="Q271" s="895"/>
      <c r="R271" s="895"/>
      <c r="S271" s="895"/>
      <c r="T271" s="895"/>
      <c r="U271" s="759">
        <v>285.56299999999999</v>
      </c>
      <c r="V271" s="1551"/>
      <c r="W271" s="758"/>
      <c r="X271" s="55"/>
      <c r="Y271" s="757"/>
      <c r="Z271" s="757"/>
      <c r="AA271" s="765" t="s">
        <v>2067</v>
      </c>
    </row>
    <row r="272" spans="1:27">
      <c r="A272" s="893">
        <f>A270+1</f>
        <v>134</v>
      </c>
      <c r="B272" s="55" t="s">
        <v>746</v>
      </c>
      <c r="C272" s="55" t="s">
        <v>53</v>
      </c>
      <c r="D272" s="55"/>
      <c r="E272" s="1553"/>
      <c r="F272" s="55"/>
      <c r="G272" s="760">
        <v>536450.61499999999</v>
      </c>
      <c r="H272" s="760">
        <v>3558664.6770000001</v>
      </c>
      <c r="I272" s="892"/>
      <c r="J272" s="893">
        <f>J270+1</f>
        <v>134</v>
      </c>
      <c r="K272" s="55" t="s">
        <v>746</v>
      </c>
      <c r="L272" s="55" t="s">
        <v>53</v>
      </c>
      <c r="M272" s="895"/>
      <c r="N272" s="895"/>
      <c r="O272" s="895"/>
      <c r="P272" s="895"/>
      <c r="Q272" s="895"/>
      <c r="R272" s="895"/>
      <c r="S272" s="895"/>
      <c r="T272" s="895"/>
      <c r="U272" s="759"/>
      <c r="V272" s="1551"/>
      <c r="W272" s="758">
        <v>247.63</v>
      </c>
      <c r="X272" s="55"/>
      <c r="Y272" s="759">
        <v>536471.402</v>
      </c>
      <c r="Z272" s="759">
        <v>3558678.5649999999</v>
      </c>
      <c r="AA272" s="765"/>
    </row>
    <row r="273" spans="1:27">
      <c r="A273" s="895"/>
      <c r="B273" s="55"/>
      <c r="C273" s="55"/>
      <c r="D273" s="55">
        <v>374.17399999999998</v>
      </c>
      <c r="E273" s="1553"/>
      <c r="F273" s="55"/>
      <c r="G273" s="760"/>
      <c r="H273" s="760"/>
      <c r="I273" s="892"/>
      <c r="J273" s="895"/>
      <c r="K273" s="55"/>
      <c r="L273" s="55"/>
      <c r="M273" s="895"/>
      <c r="N273" s="895"/>
      <c r="O273" s="895"/>
      <c r="P273" s="895"/>
      <c r="Q273" s="895"/>
      <c r="R273" s="895"/>
      <c r="S273" s="895"/>
      <c r="T273" s="895"/>
      <c r="U273" s="759">
        <v>399.17399999999998</v>
      </c>
      <c r="V273" s="1551"/>
      <c r="W273" s="758"/>
      <c r="X273" s="55"/>
      <c r="Y273" s="757"/>
      <c r="Z273" s="757"/>
      <c r="AA273" s="765" t="s">
        <v>2068</v>
      </c>
    </row>
    <row r="274" spans="1:27">
      <c r="A274" s="893">
        <f>A272+1</f>
        <v>135</v>
      </c>
      <c r="B274" s="55" t="s">
        <v>2069</v>
      </c>
      <c r="C274" s="55" t="s">
        <v>1935</v>
      </c>
      <c r="D274" s="55"/>
      <c r="E274" s="1553">
        <f>D275+D277+D279</f>
        <v>982.37199999999996</v>
      </c>
      <c r="F274" s="55" t="s">
        <v>2070</v>
      </c>
      <c r="G274" s="760">
        <v>536139.48800000001</v>
      </c>
      <c r="H274" s="760">
        <v>3558456.8160000001</v>
      </c>
      <c r="I274" s="892"/>
      <c r="J274" s="893">
        <f>J272+1</f>
        <v>135</v>
      </c>
      <c r="K274" s="55" t="s">
        <v>2069</v>
      </c>
      <c r="L274" s="55" t="s">
        <v>1995</v>
      </c>
      <c r="M274" s="895"/>
      <c r="N274" s="895"/>
      <c r="O274" s="895"/>
      <c r="P274" s="895"/>
      <c r="Q274" s="895"/>
      <c r="R274" s="895"/>
      <c r="S274" s="895"/>
      <c r="T274" s="895"/>
      <c r="U274" s="759"/>
      <c r="V274" s="1551">
        <f>U275+U277+U279</f>
        <v>982.37199999999996</v>
      </c>
      <c r="W274" s="758">
        <v>247.14099999999999</v>
      </c>
      <c r="X274" s="55" t="s">
        <v>2071</v>
      </c>
      <c r="Y274" s="759">
        <v>536139.48800000001</v>
      </c>
      <c r="Z274" s="759">
        <v>3558456.8160000001</v>
      </c>
      <c r="AA274" s="765"/>
    </row>
    <row r="275" spans="1:27" ht="29">
      <c r="A275" s="895"/>
      <c r="B275" s="55"/>
      <c r="C275" s="55"/>
      <c r="D275" s="55">
        <v>343.78399999999999</v>
      </c>
      <c r="E275" s="1553"/>
      <c r="F275" s="55"/>
      <c r="G275" s="760"/>
      <c r="H275" s="760"/>
      <c r="I275" s="892"/>
      <c r="J275" s="895"/>
      <c r="K275" s="55"/>
      <c r="L275" s="55"/>
      <c r="M275" s="895"/>
      <c r="N275" s="895"/>
      <c r="O275" s="895"/>
      <c r="P275" s="895"/>
      <c r="Q275" s="895"/>
      <c r="R275" s="895"/>
      <c r="S275" s="895"/>
      <c r="T275" s="895"/>
      <c r="U275" s="759">
        <v>343.78399999999999</v>
      </c>
      <c r="V275" s="1551"/>
      <c r="W275" s="758"/>
      <c r="X275" s="55"/>
      <c r="Y275" s="757"/>
      <c r="Z275" s="757"/>
      <c r="AA275" s="765" t="s">
        <v>2072</v>
      </c>
    </row>
    <row r="276" spans="1:27">
      <c r="A276" s="893">
        <f>A274+1</f>
        <v>136</v>
      </c>
      <c r="B276" s="55" t="s">
        <v>554</v>
      </c>
      <c r="C276" s="55" t="s">
        <v>76</v>
      </c>
      <c r="D276" s="55"/>
      <c r="E276" s="1553"/>
      <c r="F276" s="55"/>
      <c r="G276" s="760">
        <v>536041.32900000003</v>
      </c>
      <c r="H276" s="760">
        <v>3558127.3429999999</v>
      </c>
      <c r="I276" s="892"/>
      <c r="J276" s="893">
        <f>J274+1</f>
        <v>136</v>
      </c>
      <c r="K276" s="55" t="s">
        <v>554</v>
      </c>
      <c r="L276" s="55" t="s">
        <v>76</v>
      </c>
      <c r="M276" s="895"/>
      <c r="N276" s="895"/>
      <c r="O276" s="895"/>
      <c r="P276" s="895"/>
      <c r="Q276" s="895"/>
      <c r="R276" s="895"/>
      <c r="S276" s="895"/>
      <c r="T276" s="895"/>
      <c r="U276" s="759"/>
      <c r="V276" s="1551"/>
      <c r="W276" s="758">
        <v>246.804</v>
      </c>
      <c r="X276" s="55"/>
      <c r="Y276" s="759">
        <v>536041.32900000003</v>
      </c>
      <c r="Z276" s="759">
        <v>3558127.3429999999</v>
      </c>
      <c r="AA276" s="765"/>
    </row>
    <row r="277" spans="1:27">
      <c r="A277" s="895"/>
      <c r="B277" s="55"/>
      <c r="C277" s="55"/>
      <c r="D277" s="55">
        <v>313.06299999999999</v>
      </c>
      <c r="E277" s="1553"/>
      <c r="F277" s="55"/>
      <c r="G277" s="760"/>
      <c r="H277" s="760"/>
      <c r="I277" s="892"/>
      <c r="J277" s="895"/>
      <c r="K277" s="55"/>
      <c r="L277" s="55"/>
      <c r="M277" s="895"/>
      <c r="N277" s="895"/>
      <c r="O277" s="895"/>
      <c r="P277" s="895"/>
      <c r="Q277" s="895"/>
      <c r="R277" s="895"/>
      <c r="S277" s="895"/>
      <c r="T277" s="895"/>
      <c r="U277" s="759">
        <v>313.06299999999999</v>
      </c>
      <c r="V277" s="1551"/>
      <c r="W277" s="758"/>
      <c r="X277" s="55"/>
      <c r="Y277" s="757"/>
      <c r="Z277" s="757"/>
      <c r="AA277" s="765" t="s">
        <v>2073</v>
      </c>
    </row>
    <row r="278" spans="1:27">
      <c r="A278" s="893">
        <f>A276+1</f>
        <v>137</v>
      </c>
      <c r="B278" s="55" t="s">
        <v>125</v>
      </c>
      <c r="C278" s="55" t="s">
        <v>76</v>
      </c>
      <c r="D278" s="55"/>
      <c r="E278" s="1553"/>
      <c r="F278" s="55"/>
      <c r="G278" s="760">
        <v>535951.94200000004</v>
      </c>
      <c r="H278" s="760">
        <v>3557827.3130000001</v>
      </c>
      <c r="I278" s="892"/>
      <c r="J278" s="893">
        <f>J276+1</f>
        <v>137</v>
      </c>
      <c r="K278" s="55" t="s">
        <v>125</v>
      </c>
      <c r="L278" s="55" t="s">
        <v>76</v>
      </c>
      <c r="M278" s="895"/>
      <c r="N278" s="895"/>
      <c r="O278" s="895"/>
      <c r="P278" s="895"/>
      <c r="Q278" s="895"/>
      <c r="R278" s="895"/>
      <c r="S278" s="895"/>
      <c r="T278" s="895"/>
      <c r="U278" s="759"/>
      <c r="V278" s="1551"/>
      <c r="W278" s="758">
        <v>246.65299999999999</v>
      </c>
      <c r="X278" s="55"/>
      <c r="Y278" s="759">
        <v>535951.94099999999</v>
      </c>
      <c r="Z278" s="759">
        <v>3557827.3130000001</v>
      </c>
      <c r="AA278" s="765"/>
    </row>
    <row r="279" spans="1:27">
      <c r="A279" s="895"/>
      <c r="B279" s="55"/>
      <c r="C279" s="55"/>
      <c r="D279" s="55">
        <v>325.52499999999998</v>
      </c>
      <c r="E279" s="1553"/>
      <c r="F279" s="55"/>
      <c r="G279" s="760"/>
      <c r="H279" s="760"/>
      <c r="I279" s="892"/>
      <c r="J279" s="895"/>
      <c r="K279" s="55"/>
      <c r="L279" s="55"/>
      <c r="M279" s="895"/>
      <c r="N279" s="895"/>
      <c r="O279" s="895"/>
      <c r="P279" s="895"/>
      <c r="Q279" s="895"/>
      <c r="R279" s="895"/>
      <c r="S279" s="895"/>
      <c r="T279" s="895"/>
      <c r="U279" s="759">
        <v>325.52499999999998</v>
      </c>
      <c r="V279" s="1551"/>
      <c r="W279" s="758"/>
      <c r="X279" s="55"/>
      <c r="Y279" s="757"/>
      <c r="Z279" s="757"/>
      <c r="AA279" s="765" t="s">
        <v>2074</v>
      </c>
    </row>
    <row r="280" spans="1:27">
      <c r="A280" s="893">
        <f>A278+1</f>
        <v>138</v>
      </c>
      <c r="B280" s="55" t="s">
        <v>2075</v>
      </c>
      <c r="C280" s="55" t="s">
        <v>1319</v>
      </c>
      <c r="D280" s="55"/>
      <c r="E280" s="1553">
        <v>406.44299999999998</v>
      </c>
      <c r="F280" s="55" t="s">
        <v>2076</v>
      </c>
      <c r="G280" s="760">
        <v>535858.99600000004</v>
      </c>
      <c r="H280" s="760">
        <v>3557515.3390000002</v>
      </c>
      <c r="I280" s="892"/>
      <c r="J280" s="893">
        <f>J278+1</f>
        <v>138</v>
      </c>
      <c r="K280" s="55" t="s">
        <v>2075</v>
      </c>
      <c r="L280" s="55" t="s">
        <v>1277</v>
      </c>
      <c r="M280" s="895"/>
      <c r="N280" s="895"/>
      <c r="O280" s="895"/>
      <c r="P280" s="895"/>
      <c r="Q280" s="895"/>
      <c r="R280" s="895"/>
      <c r="S280" s="895"/>
      <c r="T280" s="895"/>
      <c r="U280" s="759"/>
      <c r="V280" s="1551">
        <v>406.44299999999998</v>
      </c>
      <c r="W280" s="758">
        <v>246.50399999999999</v>
      </c>
      <c r="X280" s="55" t="s">
        <v>2077</v>
      </c>
      <c r="Y280" s="759">
        <v>535858.99600000004</v>
      </c>
      <c r="Z280" s="759">
        <v>3557515.3390000002</v>
      </c>
      <c r="AA280" s="765"/>
    </row>
    <row r="281" spans="1:27">
      <c r="A281" s="895"/>
      <c r="B281" s="55"/>
      <c r="C281" s="55"/>
      <c r="D281" s="55">
        <v>406.44299999999998</v>
      </c>
      <c r="E281" s="1553"/>
      <c r="F281" s="55"/>
      <c r="G281" s="760"/>
      <c r="H281" s="760"/>
      <c r="I281" s="892"/>
      <c r="J281" s="895"/>
      <c r="K281" s="55"/>
      <c r="L281" s="55"/>
      <c r="M281" s="895"/>
      <c r="N281" s="895"/>
      <c r="O281" s="895"/>
      <c r="P281" s="895"/>
      <c r="Q281" s="895"/>
      <c r="R281" s="895"/>
      <c r="S281" s="895"/>
      <c r="T281" s="895"/>
      <c r="U281" s="759">
        <v>406.44299999999998</v>
      </c>
      <c r="V281" s="1551"/>
      <c r="W281" s="758"/>
      <c r="X281" s="55"/>
      <c r="Y281" s="757"/>
      <c r="Z281" s="757"/>
      <c r="AA281" s="765" t="s">
        <v>2078</v>
      </c>
    </row>
    <row r="282" spans="1:27">
      <c r="A282" s="893">
        <f>A280+1</f>
        <v>139</v>
      </c>
      <c r="B282" s="55" t="s">
        <v>2079</v>
      </c>
      <c r="C282" s="55" t="s">
        <v>1935</v>
      </c>
      <c r="D282" s="55"/>
      <c r="E282" s="1553"/>
      <c r="F282" s="55" t="s">
        <v>2080</v>
      </c>
      <c r="G282" s="760">
        <v>535592.84400000004</v>
      </c>
      <c r="H282" s="760">
        <v>3557208.16</v>
      </c>
      <c r="I282" s="892"/>
      <c r="J282" s="893">
        <f>J280+1</f>
        <v>139</v>
      </c>
      <c r="K282" s="55" t="s">
        <v>2079</v>
      </c>
      <c r="L282" s="55" t="s">
        <v>1935</v>
      </c>
      <c r="M282" s="895"/>
      <c r="N282" s="895"/>
      <c r="O282" s="895"/>
      <c r="P282" s="895"/>
      <c r="Q282" s="895"/>
      <c r="R282" s="895"/>
      <c r="S282" s="895"/>
      <c r="T282" s="895"/>
      <c r="U282" s="759"/>
      <c r="V282" s="1551"/>
      <c r="W282" s="758">
        <v>245.26400000000001</v>
      </c>
      <c r="X282" s="55" t="s">
        <v>2081</v>
      </c>
      <c r="Y282" s="759">
        <v>535592.84400000004</v>
      </c>
      <c r="Z282" s="759">
        <v>3557208.16</v>
      </c>
      <c r="AA282" s="765"/>
    </row>
    <row r="283" spans="1:27">
      <c r="A283" s="895"/>
      <c r="B283" s="55"/>
      <c r="C283" s="55"/>
      <c r="D283" s="55">
        <v>393.08</v>
      </c>
      <c r="E283" s="1553">
        <f>D283+D285</f>
        <v>788.03899999999999</v>
      </c>
      <c r="F283" s="55"/>
      <c r="G283" s="760"/>
      <c r="H283" s="760"/>
      <c r="I283" s="892"/>
      <c r="J283" s="895"/>
      <c r="K283" s="55"/>
      <c r="L283" s="55"/>
      <c r="M283" s="895"/>
      <c r="N283" s="895"/>
      <c r="O283" s="895"/>
      <c r="P283" s="895"/>
      <c r="Q283" s="895"/>
      <c r="R283" s="895"/>
      <c r="S283" s="895"/>
      <c r="T283" s="895"/>
      <c r="U283" s="759">
        <v>423.08100000000002</v>
      </c>
      <c r="V283" s="1551">
        <f>U283+U285</f>
        <v>788.03899999999999</v>
      </c>
      <c r="W283" s="758"/>
      <c r="X283" s="55"/>
      <c r="Y283" s="757"/>
      <c r="Z283" s="757"/>
      <c r="AA283" s="765" t="s">
        <v>2082</v>
      </c>
    </row>
    <row r="284" spans="1:27">
      <c r="A284" s="893">
        <f>A282+1</f>
        <v>140</v>
      </c>
      <c r="B284" s="55" t="s">
        <v>401</v>
      </c>
      <c r="C284" s="55" t="s">
        <v>53</v>
      </c>
      <c r="D284" s="55"/>
      <c r="E284" s="1553"/>
      <c r="F284" s="55"/>
      <c r="G284" s="760">
        <v>535635.66799999995</v>
      </c>
      <c r="H284" s="760">
        <v>3556817.4190000002</v>
      </c>
      <c r="I284" s="892"/>
      <c r="J284" s="893">
        <f>J282+1</f>
        <v>140</v>
      </c>
      <c r="K284" s="55" t="s">
        <v>401</v>
      </c>
      <c r="L284" s="55" t="s">
        <v>62</v>
      </c>
      <c r="M284" s="895"/>
      <c r="N284" s="895"/>
      <c r="O284" s="895"/>
      <c r="P284" s="895"/>
      <c r="Q284" s="895"/>
      <c r="R284" s="895"/>
      <c r="S284" s="895"/>
      <c r="T284" s="895"/>
      <c r="U284" s="759"/>
      <c r="V284" s="1551"/>
      <c r="W284" s="758">
        <v>245.75899999999999</v>
      </c>
      <c r="X284" s="55"/>
      <c r="Y284" s="759">
        <v>535638.93599999999</v>
      </c>
      <c r="Z284" s="759">
        <v>3556787.5970000001</v>
      </c>
      <c r="AA284" s="765"/>
    </row>
    <row r="285" spans="1:27">
      <c r="A285" s="895"/>
      <c r="B285" s="55"/>
      <c r="C285" s="55"/>
      <c r="D285" s="55">
        <v>394.959</v>
      </c>
      <c r="E285" s="1553"/>
      <c r="F285" s="55"/>
      <c r="G285" s="760"/>
      <c r="H285" s="760"/>
      <c r="I285" s="892"/>
      <c r="J285" s="895"/>
      <c r="K285" s="55"/>
      <c r="L285" s="55"/>
      <c r="M285" s="895"/>
      <c r="N285" s="895"/>
      <c r="O285" s="895"/>
      <c r="P285" s="895"/>
      <c r="Q285" s="895"/>
      <c r="R285" s="895"/>
      <c r="S285" s="895"/>
      <c r="T285" s="895"/>
      <c r="U285" s="759">
        <v>364.95800000000003</v>
      </c>
      <c r="V285" s="1551"/>
      <c r="W285" s="758"/>
      <c r="X285" s="55"/>
      <c r="Y285" s="757"/>
      <c r="Z285" s="757"/>
      <c r="AA285" s="765" t="s">
        <v>2083</v>
      </c>
    </row>
    <row r="286" spans="1:27">
      <c r="A286" s="893">
        <f>A284+1</f>
        <v>141</v>
      </c>
      <c r="B286" s="55" t="s">
        <v>2084</v>
      </c>
      <c r="C286" s="55" t="s">
        <v>1934</v>
      </c>
      <c r="D286" s="55"/>
      <c r="E286" s="1553">
        <f>D287+D289</f>
        <v>757.57500000000005</v>
      </c>
      <c r="F286" s="55" t="s">
        <v>2085</v>
      </c>
      <c r="G286" s="760">
        <v>535678.696</v>
      </c>
      <c r="H286" s="760">
        <v>3556424.8110000002</v>
      </c>
      <c r="I286" s="892"/>
      <c r="J286" s="893">
        <f>J284+1</f>
        <v>141</v>
      </c>
      <c r="K286" s="55" t="s">
        <v>2084</v>
      </c>
      <c r="L286" s="55" t="s">
        <v>1934</v>
      </c>
      <c r="M286" s="895"/>
      <c r="N286" s="895"/>
      <c r="O286" s="895"/>
      <c r="P286" s="895"/>
      <c r="Q286" s="895"/>
      <c r="R286" s="895"/>
      <c r="S286" s="895"/>
      <c r="T286" s="895"/>
      <c r="U286" s="759"/>
      <c r="V286" s="1551">
        <f>U287+U289</f>
        <v>757.57500000000005</v>
      </c>
      <c r="W286" s="758">
        <v>245.81899999999999</v>
      </c>
      <c r="X286" s="55" t="s">
        <v>2086</v>
      </c>
      <c r="Y286" s="759">
        <v>535678.696</v>
      </c>
      <c r="Z286" s="759">
        <v>3556424.8110000002</v>
      </c>
      <c r="AA286" s="765"/>
    </row>
    <row r="287" spans="1:27">
      <c r="A287" s="895"/>
      <c r="B287" s="55"/>
      <c r="C287" s="55"/>
      <c r="D287" s="55">
        <v>380.94900000000001</v>
      </c>
      <c r="E287" s="1553"/>
      <c r="F287" s="55"/>
      <c r="G287" s="760"/>
      <c r="H287" s="760"/>
      <c r="I287" s="892"/>
      <c r="J287" s="895"/>
      <c r="K287" s="55"/>
      <c r="L287" s="55"/>
      <c r="M287" s="895"/>
      <c r="N287" s="895"/>
      <c r="O287" s="895"/>
      <c r="P287" s="895"/>
      <c r="Q287" s="895"/>
      <c r="R287" s="895"/>
      <c r="S287" s="895"/>
      <c r="T287" s="895"/>
      <c r="U287" s="759">
        <v>380.94900000000001</v>
      </c>
      <c r="V287" s="1551"/>
      <c r="W287" s="758"/>
      <c r="X287" s="55"/>
      <c r="Y287" s="757"/>
      <c r="Z287" s="757"/>
      <c r="AA287" s="765" t="s">
        <v>2087</v>
      </c>
    </row>
    <row r="288" spans="1:27">
      <c r="A288" s="893">
        <f>A286+1</f>
        <v>142</v>
      </c>
      <c r="B288" s="55" t="s">
        <v>219</v>
      </c>
      <c r="C288" s="55" t="s">
        <v>76</v>
      </c>
      <c r="D288" s="55"/>
      <c r="E288" s="1553"/>
      <c r="F288" s="55" t="s">
        <v>2088</v>
      </c>
      <c r="G288" s="760">
        <v>535775.66099999996</v>
      </c>
      <c r="H288" s="760">
        <v>3556056.409</v>
      </c>
      <c r="I288" s="892"/>
      <c r="J288" s="893">
        <f>J286+1</f>
        <v>142</v>
      </c>
      <c r="K288" s="55" t="s">
        <v>219</v>
      </c>
      <c r="L288" s="55" t="s">
        <v>76</v>
      </c>
      <c r="M288" s="895"/>
      <c r="N288" s="895"/>
      <c r="O288" s="895"/>
      <c r="P288" s="895"/>
      <c r="Q288" s="895"/>
      <c r="R288" s="895"/>
      <c r="S288" s="895"/>
      <c r="T288" s="895"/>
      <c r="U288" s="759"/>
      <c r="V288" s="1551"/>
      <c r="W288" s="758">
        <v>245.47800000000001</v>
      </c>
      <c r="X288" s="55"/>
      <c r="Y288" s="759">
        <v>535775.66099999996</v>
      </c>
      <c r="Z288" s="759">
        <v>3556056.409</v>
      </c>
      <c r="AA288" s="765"/>
    </row>
    <row r="289" spans="1:27">
      <c r="A289" s="895"/>
      <c r="B289" s="55"/>
      <c r="C289" s="55"/>
      <c r="D289" s="55">
        <v>376.62599999999998</v>
      </c>
      <c r="E289" s="1553"/>
      <c r="F289" s="55"/>
      <c r="G289" s="760"/>
      <c r="H289" s="760"/>
      <c r="I289" s="892"/>
      <c r="J289" s="895"/>
      <c r="K289" s="55"/>
      <c r="L289" s="55"/>
      <c r="M289" s="895"/>
      <c r="N289" s="895"/>
      <c r="O289" s="895"/>
      <c r="P289" s="895"/>
      <c r="Q289" s="895"/>
      <c r="R289" s="895"/>
      <c r="S289" s="895"/>
      <c r="T289" s="895"/>
      <c r="U289" s="759">
        <v>376.62599999999998</v>
      </c>
      <c r="V289" s="1551"/>
      <c r="W289" s="758"/>
      <c r="X289" s="55"/>
      <c r="Y289" s="757"/>
      <c r="Z289" s="757"/>
      <c r="AA289" s="765" t="s">
        <v>2089</v>
      </c>
    </row>
    <row r="290" spans="1:27">
      <c r="A290" s="893">
        <f>A288+1</f>
        <v>143</v>
      </c>
      <c r="B290" s="55" t="s">
        <v>2090</v>
      </c>
      <c r="C290" s="55" t="s">
        <v>1277</v>
      </c>
      <c r="D290" s="55"/>
      <c r="E290" s="1553">
        <f>D291+D293</f>
        <v>547.97500000000002</v>
      </c>
      <c r="F290" s="764" t="s">
        <v>2088</v>
      </c>
      <c r="G290" s="760">
        <v>535871.52500000002</v>
      </c>
      <c r="H290" s="760">
        <v>3555692.1880000001</v>
      </c>
      <c r="I290" s="892"/>
      <c r="J290" s="893">
        <f>J288+1</f>
        <v>143</v>
      </c>
      <c r="K290" s="55" t="s">
        <v>2090</v>
      </c>
      <c r="L290" s="55" t="s">
        <v>1277</v>
      </c>
      <c r="M290" s="895"/>
      <c r="N290" s="895"/>
      <c r="O290" s="895"/>
      <c r="P290" s="895"/>
      <c r="Q290" s="895"/>
      <c r="R290" s="895"/>
      <c r="S290" s="895"/>
      <c r="T290" s="895"/>
      <c r="U290" s="759"/>
      <c r="V290" s="1551">
        <f>U291+U293</f>
        <v>563.91899999999998</v>
      </c>
      <c r="W290" s="758">
        <v>245.25200000000001</v>
      </c>
      <c r="X290" s="55" t="s">
        <v>2091</v>
      </c>
      <c r="Y290" s="759">
        <v>535871.52500000002</v>
      </c>
      <c r="Z290" s="759">
        <v>3555692.1880000001</v>
      </c>
      <c r="AA290" s="765"/>
    </row>
    <row r="291" spans="1:27">
      <c r="A291" s="895"/>
      <c r="B291" s="55"/>
      <c r="C291" s="55"/>
      <c r="D291" s="55">
        <v>299.10899999999998</v>
      </c>
      <c r="E291" s="1553"/>
      <c r="F291" s="764"/>
      <c r="G291" s="760"/>
      <c r="H291" s="760"/>
      <c r="I291" s="892"/>
      <c r="J291" s="895"/>
      <c r="K291" s="55"/>
      <c r="L291" s="55"/>
      <c r="M291" s="895"/>
      <c r="N291" s="895"/>
      <c r="O291" s="895"/>
      <c r="P291" s="895"/>
      <c r="Q291" s="895"/>
      <c r="R291" s="895"/>
      <c r="S291" s="895"/>
      <c r="T291" s="895"/>
      <c r="U291" s="759">
        <v>299.077</v>
      </c>
      <c r="V291" s="1551"/>
      <c r="W291" s="758"/>
      <c r="X291" s="55"/>
      <c r="Y291" s="757"/>
      <c r="Z291" s="757"/>
      <c r="AA291" s="765" t="s">
        <v>2087</v>
      </c>
    </row>
    <row r="292" spans="1:27">
      <c r="A292" s="893">
        <f>A290+1</f>
        <v>144</v>
      </c>
      <c r="B292" s="55" t="s">
        <v>170</v>
      </c>
      <c r="C292" s="55" t="s">
        <v>76</v>
      </c>
      <c r="D292" s="55"/>
      <c r="E292" s="1553"/>
      <c r="F292" s="764"/>
      <c r="G292" s="760">
        <v>535834.95400000003</v>
      </c>
      <c r="H292" s="760">
        <v>3555395.3229999999</v>
      </c>
      <c r="I292" s="892"/>
      <c r="J292" s="893">
        <f>J290+1</f>
        <v>144</v>
      </c>
      <c r="K292" s="55" t="s">
        <v>170</v>
      </c>
      <c r="L292" s="55" t="s">
        <v>76</v>
      </c>
      <c r="M292" s="895"/>
      <c r="N292" s="895"/>
      <c r="O292" s="895"/>
      <c r="P292" s="895"/>
      <c r="Q292" s="895"/>
      <c r="R292" s="895"/>
      <c r="S292" s="895"/>
      <c r="T292" s="895"/>
      <c r="U292" s="759"/>
      <c r="V292" s="1551"/>
      <c r="W292" s="758">
        <v>245.05</v>
      </c>
      <c r="X292" s="55"/>
      <c r="Y292" s="759">
        <v>535834.22199999995</v>
      </c>
      <c r="Z292" s="759">
        <v>3555395.446</v>
      </c>
      <c r="AA292" s="765"/>
    </row>
    <row r="293" spans="1:27">
      <c r="A293" s="895"/>
      <c r="B293" s="55"/>
      <c r="C293" s="55"/>
      <c r="D293" s="55">
        <v>248.86600000000001</v>
      </c>
      <c r="E293" s="1553"/>
      <c r="F293" s="764"/>
      <c r="G293" s="760"/>
      <c r="H293" s="760"/>
      <c r="I293" s="892"/>
      <c r="J293" s="895"/>
      <c r="K293" s="55"/>
      <c r="L293" s="55"/>
      <c r="M293" s="895"/>
      <c r="N293" s="895"/>
      <c r="O293" s="895"/>
      <c r="P293" s="895"/>
      <c r="Q293" s="895"/>
      <c r="R293" s="895"/>
      <c r="S293" s="895"/>
      <c r="T293" s="895"/>
      <c r="U293" s="759">
        <v>264.84199999999998</v>
      </c>
      <c r="V293" s="1551"/>
      <c r="W293" s="758"/>
      <c r="X293" s="55"/>
      <c r="Y293" s="757"/>
      <c r="Z293" s="757"/>
      <c r="AA293" s="765" t="s">
        <v>2092</v>
      </c>
    </row>
    <row r="294" spans="1:27">
      <c r="A294" s="893">
        <f>A292+1</f>
        <v>145</v>
      </c>
      <c r="B294" s="55" t="s">
        <v>2093</v>
      </c>
      <c r="C294" s="55" t="s">
        <v>1269</v>
      </c>
      <c r="D294" s="55"/>
      <c r="E294" s="1553">
        <f>D295+D297+D299</f>
        <v>1097.2359999999999</v>
      </c>
      <c r="F294" s="764" t="s">
        <v>2094</v>
      </c>
      <c r="G294" s="760">
        <v>535804.52500000002</v>
      </c>
      <c r="H294" s="760">
        <v>3555148.324</v>
      </c>
      <c r="I294" s="892"/>
      <c r="J294" s="893">
        <f>J292+1</f>
        <v>145</v>
      </c>
      <c r="K294" s="55" t="s">
        <v>2093</v>
      </c>
      <c r="L294" s="55" t="s">
        <v>1269</v>
      </c>
      <c r="M294" s="895"/>
      <c r="N294" s="895"/>
      <c r="O294" s="895"/>
      <c r="P294" s="895"/>
      <c r="Q294" s="895"/>
      <c r="R294" s="895"/>
      <c r="S294" s="895"/>
      <c r="T294" s="895"/>
      <c r="U294" s="759"/>
      <c r="V294" s="1551">
        <f>U295+U297+U299</f>
        <v>1081.2330000000002</v>
      </c>
      <c r="W294" s="758">
        <v>244.83</v>
      </c>
      <c r="X294" s="55" t="s">
        <v>2095</v>
      </c>
      <c r="Y294" s="759">
        <v>535801.18799999997</v>
      </c>
      <c r="Z294" s="759">
        <v>3555132.673</v>
      </c>
      <c r="AA294" s="765"/>
    </row>
    <row r="295" spans="1:27">
      <c r="A295" s="895"/>
      <c r="B295" s="55"/>
      <c r="C295" s="55"/>
      <c r="D295" s="55">
        <v>380.06799999999998</v>
      </c>
      <c r="E295" s="1553"/>
      <c r="F295" s="764"/>
      <c r="G295" s="760"/>
      <c r="H295" s="760"/>
      <c r="I295" s="892"/>
      <c r="J295" s="895"/>
      <c r="K295" s="55"/>
      <c r="L295" s="55"/>
      <c r="M295" s="895"/>
      <c r="N295" s="895"/>
      <c r="O295" s="895"/>
      <c r="P295" s="895"/>
      <c r="Q295" s="895"/>
      <c r="R295" s="895"/>
      <c r="S295" s="895"/>
      <c r="T295" s="895"/>
      <c r="U295" s="759">
        <v>364.06400000000002</v>
      </c>
      <c r="V295" s="1551"/>
      <c r="W295" s="758"/>
      <c r="X295" s="55"/>
      <c r="Y295" s="757"/>
      <c r="Z295" s="757"/>
      <c r="AA295" s="765" t="s">
        <v>2096</v>
      </c>
    </row>
    <row r="296" spans="1:27">
      <c r="A296" s="893">
        <f>A294+1</f>
        <v>146</v>
      </c>
      <c r="B296" s="55" t="s">
        <v>229</v>
      </c>
      <c r="C296" s="55" t="s">
        <v>76</v>
      </c>
      <c r="D296" s="55"/>
      <c r="E296" s="1553"/>
      <c r="F296" s="764"/>
      <c r="G296" s="760">
        <v>535725.26500000001</v>
      </c>
      <c r="H296" s="760">
        <v>3554776.6129999999</v>
      </c>
      <c r="I296" s="892"/>
      <c r="J296" s="893">
        <f>J294+1</f>
        <v>146</v>
      </c>
      <c r="K296" s="55" t="s">
        <v>229</v>
      </c>
      <c r="L296" s="55" t="s">
        <v>76</v>
      </c>
      <c r="M296" s="895"/>
      <c r="N296" s="895"/>
      <c r="O296" s="895"/>
      <c r="P296" s="895"/>
      <c r="Q296" s="895"/>
      <c r="R296" s="895"/>
      <c r="S296" s="895"/>
      <c r="T296" s="895"/>
      <c r="U296" s="759"/>
      <c r="V296" s="1551"/>
      <c r="W296" s="758">
        <v>244.34700000000001</v>
      </c>
      <c r="X296" s="55"/>
      <c r="Y296" s="759">
        <v>535725.26500000001</v>
      </c>
      <c r="Z296" s="759">
        <v>3554776.6129999999</v>
      </c>
      <c r="AA296" s="765"/>
    </row>
    <row r="297" spans="1:27">
      <c r="A297" s="895"/>
      <c r="B297" s="55"/>
      <c r="C297" s="55"/>
      <c r="D297" s="55">
        <v>319.18400000000003</v>
      </c>
      <c r="E297" s="1553"/>
      <c r="F297" s="764"/>
      <c r="G297" s="760"/>
      <c r="H297" s="760"/>
      <c r="I297" s="892"/>
      <c r="J297" s="895"/>
      <c r="K297" s="55"/>
      <c r="L297" s="55"/>
      <c r="M297" s="895"/>
      <c r="N297" s="895"/>
      <c r="O297" s="895"/>
      <c r="P297" s="895"/>
      <c r="Q297" s="895"/>
      <c r="R297" s="895"/>
      <c r="S297" s="895"/>
      <c r="T297" s="895"/>
      <c r="U297" s="759">
        <v>319.18400000000003</v>
      </c>
      <c r="V297" s="1551"/>
      <c r="W297" s="758"/>
      <c r="X297" s="55"/>
      <c r="Y297" s="757"/>
      <c r="Z297" s="757"/>
      <c r="AA297" s="765" t="s">
        <v>2087</v>
      </c>
    </row>
    <row r="298" spans="1:27">
      <c r="A298" s="893">
        <f>A296+1</f>
        <v>147</v>
      </c>
      <c r="B298" s="55" t="s">
        <v>106</v>
      </c>
      <c r="C298" s="55" t="s">
        <v>76</v>
      </c>
      <c r="D298" s="55"/>
      <c r="E298" s="1553"/>
      <c r="F298" s="764"/>
      <c r="G298" s="760">
        <v>535658.701</v>
      </c>
      <c r="H298" s="760">
        <v>3554464.4470000002</v>
      </c>
      <c r="I298" s="892"/>
      <c r="J298" s="893">
        <f>J296+1</f>
        <v>147</v>
      </c>
      <c r="K298" s="55" t="s">
        <v>106</v>
      </c>
      <c r="L298" s="55" t="s">
        <v>76</v>
      </c>
      <c r="M298" s="895"/>
      <c r="N298" s="895"/>
      <c r="O298" s="895"/>
      <c r="P298" s="895"/>
      <c r="Q298" s="895"/>
      <c r="R298" s="895"/>
      <c r="S298" s="895"/>
      <c r="T298" s="895"/>
      <c r="U298" s="759"/>
      <c r="V298" s="1551"/>
      <c r="W298" s="758">
        <v>244.154</v>
      </c>
      <c r="X298" s="55"/>
      <c r="Y298" s="759">
        <v>535658.701</v>
      </c>
      <c r="Z298" s="759">
        <v>3554464.4470000002</v>
      </c>
      <c r="AA298" s="899"/>
    </row>
    <row r="299" spans="1:27">
      <c r="A299" s="895"/>
      <c r="B299" s="55"/>
      <c r="C299" s="55"/>
      <c r="D299" s="55">
        <v>397.98399999999998</v>
      </c>
      <c r="E299" s="1553"/>
      <c r="F299" s="764"/>
      <c r="G299" s="760"/>
      <c r="H299" s="760"/>
      <c r="I299" s="892"/>
      <c r="J299" s="895"/>
      <c r="K299" s="55"/>
      <c r="L299" s="55"/>
      <c r="M299" s="895"/>
      <c r="N299" s="895"/>
      <c r="O299" s="895"/>
      <c r="P299" s="895"/>
      <c r="Q299" s="895"/>
      <c r="R299" s="895"/>
      <c r="S299" s="895"/>
      <c r="T299" s="895"/>
      <c r="U299" s="759">
        <v>397.98500000000001</v>
      </c>
      <c r="V299" s="1551"/>
      <c r="W299" s="758"/>
      <c r="X299" s="55"/>
      <c r="Y299" s="757"/>
      <c r="Z299" s="757"/>
      <c r="AA299" s="765" t="s">
        <v>2097</v>
      </c>
    </row>
    <row r="300" spans="1:27">
      <c r="A300" s="893">
        <f>A298+1</f>
        <v>148</v>
      </c>
      <c r="B300" s="55" t="s">
        <v>2098</v>
      </c>
      <c r="C300" s="55" t="s">
        <v>1977</v>
      </c>
      <c r="D300" s="55"/>
      <c r="E300" s="1553">
        <v>450.85899999999998</v>
      </c>
      <c r="F300" s="55" t="s">
        <v>2099</v>
      </c>
      <c r="G300" s="760">
        <v>535575.70400000003</v>
      </c>
      <c r="H300" s="760">
        <v>3554075.213</v>
      </c>
      <c r="I300" s="892"/>
      <c r="J300" s="893">
        <f>J298+1</f>
        <v>148</v>
      </c>
      <c r="K300" s="55" t="s">
        <v>2098</v>
      </c>
      <c r="L300" s="55" t="s">
        <v>1977</v>
      </c>
      <c r="M300" s="895"/>
      <c r="N300" s="895"/>
      <c r="O300" s="895"/>
      <c r="P300" s="895"/>
      <c r="Q300" s="895"/>
      <c r="R300" s="895"/>
      <c r="S300" s="895"/>
      <c r="T300" s="895"/>
      <c r="U300" s="759"/>
      <c r="V300" s="1551">
        <v>450.85899999999998</v>
      </c>
      <c r="W300" s="758">
        <v>244.07400000000001</v>
      </c>
      <c r="X300" s="55" t="s">
        <v>2100</v>
      </c>
      <c r="Y300" s="759">
        <v>535575.70400000003</v>
      </c>
      <c r="Z300" s="759">
        <v>3554075.213</v>
      </c>
      <c r="AA300" s="765"/>
    </row>
    <row r="301" spans="1:27">
      <c r="A301" s="895"/>
      <c r="B301" s="55"/>
      <c r="C301" s="55"/>
      <c r="D301" s="55">
        <v>450.85899999999998</v>
      </c>
      <c r="E301" s="1553"/>
      <c r="F301" s="764"/>
      <c r="G301" s="760"/>
      <c r="H301" s="760"/>
      <c r="I301" s="892"/>
      <c r="J301" s="895"/>
      <c r="K301" s="55"/>
      <c r="L301" s="55"/>
      <c r="M301" s="895"/>
      <c r="N301" s="895"/>
      <c r="O301" s="895"/>
      <c r="P301" s="895"/>
      <c r="Q301" s="895"/>
      <c r="R301" s="895"/>
      <c r="S301" s="895"/>
      <c r="T301" s="895"/>
      <c r="U301" s="759">
        <v>450.85899999999998</v>
      </c>
      <c r="V301" s="1551"/>
      <c r="W301" s="758"/>
      <c r="X301" s="55"/>
      <c r="Y301" s="757"/>
      <c r="Z301" s="757"/>
      <c r="AA301" s="765" t="s">
        <v>2101</v>
      </c>
    </row>
    <row r="302" spans="1:27">
      <c r="A302" s="893">
        <f>A300+1</f>
        <v>149</v>
      </c>
      <c r="B302" s="55" t="s">
        <v>2102</v>
      </c>
      <c r="C302" s="55" t="s">
        <v>1953</v>
      </c>
      <c r="D302" s="55"/>
      <c r="E302" s="1553"/>
      <c r="F302" s="764" t="s">
        <v>2103</v>
      </c>
      <c r="G302" s="760">
        <v>535578.74300000002</v>
      </c>
      <c r="H302" s="760">
        <v>3553624.3640000001</v>
      </c>
      <c r="I302" s="892"/>
      <c r="J302" s="893">
        <f>J300+1</f>
        <v>149</v>
      </c>
      <c r="K302" s="55" t="s">
        <v>2102</v>
      </c>
      <c r="L302" s="55" t="s">
        <v>1953</v>
      </c>
      <c r="M302" s="895"/>
      <c r="N302" s="895"/>
      <c r="O302" s="895"/>
      <c r="P302" s="895"/>
      <c r="Q302" s="895"/>
      <c r="R302" s="895"/>
      <c r="S302" s="895"/>
      <c r="T302" s="895"/>
      <c r="U302" s="759"/>
      <c r="V302" s="1551"/>
      <c r="W302" s="758">
        <v>243.572</v>
      </c>
      <c r="X302" s="55" t="s">
        <v>2104</v>
      </c>
      <c r="Y302" s="759">
        <v>535578.74300000002</v>
      </c>
      <c r="Z302" s="759">
        <v>3553624.3640000001</v>
      </c>
      <c r="AA302" s="765"/>
    </row>
    <row r="303" spans="1:27">
      <c r="A303" s="895"/>
      <c r="B303" s="55"/>
      <c r="C303" s="55"/>
      <c r="D303" s="55">
        <v>326.47800000000001</v>
      </c>
      <c r="E303" s="1553">
        <f>D303+D305</f>
        <v>602.84100000000001</v>
      </c>
      <c r="F303" s="55"/>
      <c r="G303" s="760"/>
      <c r="H303" s="760"/>
      <c r="I303" s="892"/>
      <c r="J303" s="895"/>
      <c r="K303" s="55"/>
      <c r="L303" s="55"/>
      <c r="M303" s="895"/>
      <c r="N303" s="895"/>
      <c r="O303" s="895"/>
      <c r="P303" s="895"/>
      <c r="Q303" s="895"/>
      <c r="R303" s="895"/>
      <c r="S303" s="895"/>
      <c r="T303" s="895"/>
      <c r="U303" s="759">
        <v>326.47699999999998</v>
      </c>
      <c r="V303" s="1551">
        <f>U303+U305</f>
        <v>602.83999999999992</v>
      </c>
      <c r="W303" s="758"/>
      <c r="X303" s="55"/>
      <c r="Y303" s="757"/>
      <c r="Z303" s="757"/>
      <c r="AA303" s="765"/>
    </row>
    <row r="304" spans="1:27">
      <c r="A304" s="893">
        <f>A302+1</f>
        <v>150</v>
      </c>
      <c r="B304" s="55" t="s">
        <v>144</v>
      </c>
      <c r="C304" s="55" t="s">
        <v>76</v>
      </c>
      <c r="D304" s="55"/>
      <c r="E304" s="1553"/>
      <c r="F304" s="55"/>
      <c r="G304" s="760">
        <v>535484.46100000001</v>
      </c>
      <c r="H304" s="760">
        <v>3553311.7960000001</v>
      </c>
      <c r="I304" s="892"/>
      <c r="J304" s="893">
        <f>J302+1</f>
        <v>150</v>
      </c>
      <c r="K304" s="55" t="s">
        <v>144</v>
      </c>
      <c r="L304" s="55" t="s">
        <v>76</v>
      </c>
      <c r="M304" s="895"/>
      <c r="N304" s="895"/>
      <c r="O304" s="895"/>
      <c r="P304" s="895"/>
      <c r="Q304" s="895"/>
      <c r="R304" s="895"/>
      <c r="S304" s="895"/>
      <c r="T304" s="895"/>
      <c r="U304" s="759"/>
      <c r="V304" s="1551"/>
      <c r="W304" s="758">
        <v>243.96299999999999</v>
      </c>
      <c r="X304" s="55"/>
      <c r="Y304" s="759">
        <v>535484.46100000001</v>
      </c>
      <c r="Z304" s="759">
        <v>3553311.7969999998</v>
      </c>
      <c r="AA304" s="765"/>
    </row>
    <row r="305" spans="1:27">
      <c r="A305" s="895"/>
      <c r="B305" s="55"/>
      <c r="C305" s="55"/>
      <c r="D305" s="55">
        <v>276.363</v>
      </c>
      <c r="E305" s="1553"/>
      <c r="F305" s="55"/>
      <c r="G305" s="760"/>
      <c r="H305" s="760"/>
      <c r="I305" s="892"/>
      <c r="J305" s="895"/>
      <c r="K305" s="55"/>
      <c r="L305" s="55"/>
      <c r="M305" s="895"/>
      <c r="N305" s="895"/>
      <c r="O305" s="895"/>
      <c r="P305" s="895"/>
      <c r="Q305" s="895"/>
      <c r="R305" s="895"/>
      <c r="S305" s="895"/>
      <c r="T305" s="895"/>
      <c r="U305" s="759">
        <v>276.363</v>
      </c>
      <c r="V305" s="1551"/>
      <c r="W305" s="758"/>
      <c r="X305" s="55"/>
      <c r="Y305" s="757"/>
      <c r="Z305" s="757"/>
      <c r="AA305" s="765" t="s">
        <v>2105</v>
      </c>
    </row>
    <row r="306" spans="1:27">
      <c r="A306" s="893">
        <f>A304+1</f>
        <v>151</v>
      </c>
      <c r="B306" s="55" t="s">
        <v>2106</v>
      </c>
      <c r="C306" s="757" t="s">
        <v>1269</v>
      </c>
      <c r="D306" s="55"/>
      <c r="E306" s="1553"/>
      <c r="F306" s="55" t="s">
        <v>2107</v>
      </c>
      <c r="G306" s="759">
        <v>535404.652</v>
      </c>
      <c r="H306" s="759">
        <v>3553047.2080000001</v>
      </c>
      <c r="I306" s="892"/>
      <c r="J306" s="893">
        <f>J304+1</f>
        <v>151</v>
      </c>
      <c r="K306" s="55" t="s">
        <v>2106</v>
      </c>
      <c r="L306" s="757" t="s">
        <v>1269</v>
      </c>
      <c r="M306" s="895"/>
      <c r="N306" s="895"/>
      <c r="O306" s="895"/>
      <c r="P306" s="895"/>
      <c r="Q306" s="895"/>
      <c r="R306" s="895"/>
      <c r="S306" s="895"/>
      <c r="T306" s="895"/>
      <c r="U306" s="759"/>
      <c r="V306" s="1551"/>
      <c r="W306" s="758">
        <v>243.196</v>
      </c>
      <c r="X306" s="55" t="s">
        <v>2108</v>
      </c>
      <c r="Y306" s="759">
        <v>535404.652</v>
      </c>
      <c r="Z306" s="759">
        <v>3553047.2080000001</v>
      </c>
      <c r="AA306" s="765"/>
    </row>
    <row r="307" spans="1:27">
      <c r="A307" s="895"/>
      <c r="B307" s="55"/>
      <c r="C307" s="757"/>
      <c r="D307" s="55">
        <v>307.21600000000001</v>
      </c>
      <c r="E307" s="1552">
        <f>D307+D309+D311+D313+D315+D317</f>
        <v>2228.4919999999997</v>
      </c>
      <c r="F307" s="55"/>
      <c r="G307" s="759"/>
      <c r="H307" s="759"/>
      <c r="I307" s="892"/>
      <c r="J307" s="895"/>
      <c r="K307" s="55"/>
      <c r="L307" s="757"/>
      <c r="M307" s="895"/>
      <c r="N307" s="895"/>
      <c r="O307" s="895"/>
      <c r="P307" s="895"/>
      <c r="Q307" s="895"/>
      <c r="R307" s="895"/>
      <c r="S307" s="895"/>
      <c r="T307" s="895"/>
      <c r="U307" s="759">
        <v>307.21600000000001</v>
      </c>
      <c r="V307" s="1551">
        <f>U307+U309+U311+U313+U315+U317</f>
        <v>2228.4919999999997</v>
      </c>
      <c r="W307" s="758"/>
      <c r="X307" s="55"/>
      <c r="Y307" s="757"/>
      <c r="Z307" s="757"/>
      <c r="AA307" s="765" t="s">
        <v>2066</v>
      </c>
    </row>
    <row r="308" spans="1:27">
      <c r="A308" s="893">
        <f>A306+1</f>
        <v>152</v>
      </c>
      <c r="B308" s="55" t="s">
        <v>251</v>
      </c>
      <c r="C308" s="757" t="s">
        <v>76</v>
      </c>
      <c r="D308" s="55"/>
      <c r="E308" s="1552"/>
      <c r="F308" s="55"/>
      <c r="G308" s="759">
        <v>535253.78200000001</v>
      </c>
      <c r="H308" s="759">
        <v>3552779.5890000002</v>
      </c>
      <c r="I308" s="892"/>
      <c r="J308" s="893">
        <f>J306+1</f>
        <v>152</v>
      </c>
      <c r="K308" s="55" t="s">
        <v>251</v>
      </c>
      <c r="L308" s="757" t="s">
        <v>76</v>
      </c>
      <c r="M308" s="895"/>
      <c r="N308" s="895"/>
      <c r="O308" s="895"/>
      <c r="P308" s="895"/>
      <c r="Q308" s="895"/>
      <c r="R308" s="895"/>
      <c r="S308" s="895"/>
      <c r="T308" s="895"/>
      <c r="U308" s="759"/>
      <c r="V308" s="1551"/>
      <c r="W308" s="758">
        <v>243.21799999999999</v>
      </c>
      <c r="X308" s="55"/>
      <c r="Y308" s="759">
        <v>535253.78200000001</v>
      </c>
      <c r="Z308" s="759">
        <v>3552779.5890000002</v>
      </c>
      <c r="AA308" s="765"/>
    </row>
    <row r="309" spans="1:27">
      <c r="A309" s="895"/>
      <c r="B309" s="55"/>
      <c r="C309" s="757"/>
      <c r="D309" s="55">
        <v>389.39699999999999</v>
      </c>
      <c r="E309" s="1552"/>
      <c r="F309" s="55"/>
      <c r="G309" s="759"/>
      <c r="H309" s="759"/>
      <c r="I309" s="892"/>
      <c r="J309" s="895"/>
      <c r="K309" s="55"/>
      <c r="L309" s="757"/>
      <c r="M309" s="895"/>
      <c r="N309" s="895"/>
      <c r="O309" s="895"/>
      <c r="P309" s="895"/>
      <c r="Q309" s="895"/>
      <c r="R309" s="895"/>
      <c r="S309" s="895"/>
      <c r="T309" s="895"/>
      <c r="U309" s="759">
        <v>389.39699999999999</v>
      </c>
      <c r="V309" s="1551"/>
      <c r="W309" s="758"/>
      <c r="X309" s="55"/>
      <c r="Y309" s="757"/>
      <c r="Z309" s="757"/>
      <c r="AA309" s="765" t="s">
        <v>2109</v>
      </c>
    </row>
    <row r="310" spans="1:27">
      <c r="A310" s="893">
        <f>A308+1</f>
        <v>153</v>
      </c>
      <c r="B310" s="55" t="s">
        <v>118</v>
      </c>
      <c r="C310" s="757" t="s">
        <v>53</v>
      </c>
      <c r="D310" s="55"/>
      <c r="E310" s="1552"/>
      <c r="F310" s="55"/>
      <c r="G310" s="759">
        <v>535062.55299999996</v>
      </c>
      <c r="H310" s="759">
        <v>3552440.3810000001</v>
      </c>
      <c r="I310" s="892"/>
      <c r="J310" s="893">
        <f>J308+1</f>
        <v>153</v>
      </c>
      <c r="K310" s="55" t="s">
        <v>118</v>
      </c>
      <c r="L310" s="757" t="s">
        <v>53</v>
      </c>
      <c r="M310" s="895"/>
      <c r="N310" s="895"/>
      <c r="O310" s="895"/>
      <c r="P310" s="895"/>
      <c r="Q310" s="895"/>
      <c r="R310" s="895"/>
      <c r="S310" s="895"/>
      <c r="T310" s="895"/>
      <c r="U310" s="759"/>
      <c r="V310" s="1551"/>
      <c r="W310" s="758">
        <v>242.83600000000001</v>
      </c>
      <c r="X310" s="55"/>
      <c r="Y310" s="759">
        <v>535062.554</v>
      </c>
      <c r="Z310" s="759">
        <v>3552440.3820000002</v>
      </c>
      <c r="AA310" s="765"/>
    </row>
    <row r="311" spans="1:27">
      <c r="A311" s="895"/>
      <c r="B311" s="55"/>
      <c r="C311" s="757"/>
      <c r="D311" s="55">
        <v>368.79199999999997</v>
      </c>
      <c r="E311" s="1552"/>
      <c r="F311" s="55"/>
      <c r="G311" s="759"/>
      <c r="H311" s="759"/>
      <c r="I311" s="892"/>
      <c r="J311" s="895"/>
      <c r="K311" s="55"/>
      <c r="L311" s="757"/>
      <c r="M311" s="895"/>
      <c r="N311" s="895"/>
      <c r="O311" s="895"/>
      <c r="P311" s="895"/>
      <c r="Q311" s="895"/>
      <c r="R311" s="895"/>
      <c r="S311" s="895"/>
      <c r="T311" s="895"/>
      <c r="U311" s="759">
        <v>368.79199999999997</v>
      </c>
      <c r="V311" s="1551"/>
      <c r="W311" s="758"/>
      <c r="X311" s="55"/>
      <c r="Y311" s="757"/>
      <c r="Z311" s="757"/>
      <c r="AA311" s="765" t="s">
        <v>2110</v>
      </c>
    </row>
    <row r="312" spans="1:27">
      <c r="A312" s="893">
        <f>A310+1</f>
        <v>154</v>
      </c>
      <c r="B312" s="55" t="s">
        <v>134</v>
      </c>
      <c r="C312" s="757" t="s">
        <v>76</v>
      </c>
      <c r="D312" s="55"/>
      <c r="E312" s="1552"/>
      <c r="F312" s="55"/>
      <c r="G312" s="759">
        <v>534881.44400000002</v>
      </c>
      <c r="H312" s="759">
        <v>3552119.1230000001</v>
      </c>
      <c r="I312" s="892"/>
      <c r="J312" s="893">
        <f>J310+1</f>
        <v>154</v>
      </c>
      <c r="K312" s="55" t="s">
        <v>134</v>
      </c>
      <c r="L312" s="757" t="s">
        <v>76</v>
      </c>
      <c r="M312" s="895"/>
      <c r="N312" s="895"/>
      <c r="O312" s="895"/>
      <c r="P312" s="895"/>
      <c r="Q312" s="895"/>
      <c r="R312" s="895"/>
      <c r="S312" s="895"/>
      <c r="T312" s="895"/>
      <c r="U312" s="759"/>
      <c r="V312" s="1551"/>
      <c r="W312" s="758">
        <v>242.40799999999999</v>
      </c>
      <c r="X312" s="55"/>
      <c r="Y312" s="759">
        <v>534881.44400000002</v>
      </c>
      <c r="Z312" s="759">
        <v>3552119.1230000001</v>
      </c>
      <c r="AA312" s="765"/>
    </row>
    <row r="313" spans="1:27">
      <c r="A313" s="895"/>
      <c r="B313" s="55"/>
      <c r="C313" s="757"/>
      <c r="D313" s="55">
        <v>404.38600000000002</v>
      </c>
      <c r="E313" s="1552"/>
      <c r="F313" s="55"/>
      <c r="G313" s="759"/>
      <c r="H313" s="759"/>
      <c r="I313" s="892"/>
      <c r="J313" s="895"/>
      <c r="K313" s="55"/>
      <c r="L313" s="757"/>
      <c r="M313" s="895"/>
      <c r="N313" s="895"/>
      <c r="O313" s="895"/>
      <c r="P313" s="895"/>
      <c r="Q313" s="895"/>
      <c r="R313" s="895"/>
      <c r="S313" s="895"/>
      <c r="T313" s="895"/>
      <c r="U313" s="759">
        <v>404.38600000000002</v>
      </c>
      <c r="V313" s="1551"/>
      <c r="W313" s="758"/>
      <c r="X313" s="55"/>
      <c r="Y313" s="757"/>
      <c r="Z313" s="757"/>
      <c r="AA313" s="765"/>
    </row>
    <row r="314" spans="1:27">
      <c r="A314" s="893">
        <f>A312+1</f>
        <v>155</v>
      </c>
      <c r="B314" s="55" t="s">
        <v>163</v>
      </c>
      <c r="C314" s="757" t="s">
        <v>62</v>
      </c>
      <c r="D314" s="55"/>
      <c r="E314" s="1552"/>
      <c r="F314" s="55"/>
      <c r="G314" s="759">
        <v>534682.85499999998</v>
      </c>
      <c r="H314" s="759">
        <v>3551766.858</v>
      </c>
      <c r="I314" s="892"/>
      <c r="J314" s="893">
        <f>J312+1</f>
        <v>155</v>
      </c>
      <c r="K314" s="55" t="s">
        <v>163</v>
      </c>
      <c r="L314" s="757" t="s">
        <v>62</v>
      </c>
      <c r="M314" s="895"/>
      <c r="N314" s="895"/>
      <c r="O314" s="895"/>
      <c r="P314" s="895"/>
      <c r="Q314" s="895"/>
      <c r="R314" s="895"/>
      <c r="S314" s="895"/>
      <c r="T314" s="895"/>
      <c r="U314" s="759"/>
      <c r="V314" s="1551"/>
      <c r="W314" s="758">
        <v>242.131</v>
      </c>
      <c r="X314" s="55"/>
      <c r="Y314" s="759">
        <v>534682.85499999998</v>
      </c>
      <c r="Z314" s="759">
        <v>3551766.858</v>
      </c>
      <c r="AA314" s="765"/>
    </row>
    <row r="315" spans="1:27">
      <c r="A315" s="895"/>
      <c r="B315" s="55"/>
      <c r="C315" s="757"/>
      <c r="D315" s="55">
        <v>378.13499999999999</v>
      </c>
      <c r="E315" s="1552"/>
      <c r="F315" s="55"/>
      <c r="G315" s="759"/>
      <c r="H315" s="759"/>
      <c r="I315" s="892"/>
      <c r="J315" s="895"/>
      <c r="K315" s="55"/>
      <c r="L315" s="757"/>
      <c r="M315" s="895"/>
      <c r="N315" s="895"/>
      <c r="O315" s="895"/>
      <c r="P315" s="895"/>
      <c r="Q315" s="895"/>
      <c r="R315" s="895"/>
      <c r="S315" s="895"/>
      <c r="T315" s="895"/>
      <c r="U315" s="759">
        <v>378.13499999999999</v>
      </c>
      <c r="V315" s="1551"/>
      <c r="W315" s="758"/>
      <c r="X315" s="55"/>
      <c r="Y315" s="757"/>
      <c r="Z315" s="757"/>
      <c r="AA315" s="765" t="s">
        <v>2111</v>
      </c>
    </row>
    <row r="316" spans="1:27">
      <c r="A316" s="893">
        <f>A314+1</f>
        <v>156</v>
      </c>
      <c r="B316" s="55" t="s">
        <v>151</v>
      </c>
      <c r="C316" s="757" t="s">
        <v>62</v>
      </c>
      <c r="D316" s="55"/>
      <c r="E316" s="1552"/>
      <c r="F316" s="55"/>
      <c r="G316" s="759">
        <v>534497.15800000005</v>
      </c>
      <c r="H316" s="759">
        <v>3551437.4610000001</v>
      </c>
      <c r="I316" s="892"/>
      <c r="J316" s="893">
        <f>J314+1</f>
        <v>156</v>
      </c>
      <c r="K316" s="55" t="s">
        <v>151</v>
      </c>
      <c r="L316" s="757" t="s">
        <v>62</v>
      </c>
      <c r="M316" s="895"/>
      <c r="N316" s="895"/>
      <c r="O316" s="895"/>
      <c r="P316" s="895"/>
      <c r="Q316" s="895"/>
      <c r="R316" s="895"/>
      <c r="S316" s="895"/>
      <c r="T316" s="895"/>
      <c r="U316" s="759"/>
      <c r="V316" s="1551"/>
      <c r="W316" s="758">
        <v>241.83699999999999</v>
      </c>
      <c r="X316" s="55"/>
      <c r="Y316" s="759">
        <v>534497.15800000005</v>
      </c>
      <c r="Z316" s="759">
        <v>3551437.4610000001</v>
      </c>
      <c r="AA316" s="765"/>
    </row>
    <row r="317" spans="1:27">
      <c r="A317" s="895"/>
      <c r="B317" s="55"/>
      <c r="C317" s="757"/>
      <c r="D317" s="55">
        <v>380.56599999999997</v>
      </c>
      <c r="E317" s="1552"/>
      <c r="F317" s="55"/>
      <c r="G317" s="759"/>
      <c r="H317" s="759"/>
      <c r="I317" s="892"/>
      <c r="J317" s="895"/>
      <c r="K317" s="55"/>
      <c r="L317" s="757"/>
      <c r="M317" s="895"/>
      <c r="N317" s="895"/>
      <c r="O317" s="895"/>
      <c r="P317" s="895"/>
      <c r="Q317" s="895"/>
      <c r="R317" s="895"/>
      <c r="S317" s="895"/>
      <c r="T317" s="895"/>
      <c r="U317" s="759">
        <v>380.56599999999997</v>
      </c>
      <c r="V317" s="1551"/>
      <c r="W317" s="758"/>
      <c r="X317" s="55"/>
      <c r="Y317" s="757"/>
      <c r="Z317" s="757"/>
      <c r="AA317" s="765" t="s">
        <v>2112</v>
      </c>
    </row>
    <row r="318" spans="1:27">
      <c r="A318" s="893">
        <f>A316+1</f>
        <v>157</v>
      </c>
      <c r="B318" s="55" t="s">
        <v>405</v>
      </c>
      <c r="C318" s="757" t="s">
        <v>1277</v>
      </c>
      <c r="D318" s="55"/>
      <c r="E318" s="1552"/>
      <c r="F318" s="55" t="s">
        <v>2113</v>
      </c>
      <c r="G318" s="759">
        <v>534310.26699999999</v>
      </c>
      <c r="H318" s="759">
        <v>3551105.946</v>
      </c>
      <c r="I318" s="892"/>
      <c r="J318" s="893">
        <f>J316+1</f>
        <v>157</v>
      </c>
      <c r="K318" s="55" t="s">
        <v>405</v>
      </c>
      <c r="L318" s="757" t="s">
        <v>1277</v>
      </c>
      <c r="M318" s="895"/>
      <c r="N318" s="895"/>
      <c r="O318" s="895"/>
      <c r="P318" s="895"/>
      <c r="Q318" s="895"/>
      <c r="R318" s="895"/>
      <c r="S318" s="895"/>
      <c r="T318" s="895"/>
      <c r="U318" s="759"/>
      <c r="V318" s="758"/>
      <c r="W318" s="758">
        <v>241.54599999999999</v>
      </c>
      <c r="X318" s="55" t="s">
        <v>2050</v>
      </c>
      <c r="Y318" s="759">
        <v>534310.26699999999</v>
      </c>
      <c r="Z318" s="759">
        <v>3551105.946</v>
      </c>
      <c r="AA318" s="765"/>
    </row>
    <row r="319" spans="1:27">
      <c r="A319" s="895"/>
      <c r="B319" s="895"/>
      <c r="C319" s="897"/>
      <c r="D319" s="897"/>
      <c r="E319" s="895"/>
      <c r="F319" s="895"/>
      <c r="G319" s="895"/>
      <c r="H319" s="895"/>
      <c r="I319" s="892"/>
      <c r="J319" s="895"/>
      <c r="K319" s="895"/>
      <c r="L319" s="895"/>
      <c r="M319" s="895"/>
      <c r="N319" s="895"/>
      <c r="O319" s="895"/>
      <c r="P319" s="895"/>
      <c r="Q319" s="895"/>
      <c r="R319" s="895"/>
      <c r="S319" s="895"/>
      <c r="T319" s="895"/>
      <c r="U319" s="898"/>
      <c r="V319" s="895"/>
      <c r="W319" s="895"/>
      <c r="X319" s="895"/>
      <c r="Y319" s="895"/>
      <c r="Z319" s="895"/>
      <c r="AA319" s="893"/>
    </row>
    <row r="320" spans="1:27">
      <c r="A320" s="893">
        <f>A318+1</f>
        <v>158</v>
      </c>
      <c r="B320" s="900" t="s">
        <v>1508</v>
      </c>
      <c r="C320" s="880" t="s">
        <v>1361</v>
      </c>
      <c r="D320" s="880"/>
      <c r="E320" s="1554">
        <f>D321+D323+D325+D327</f>
        <v>1599.7819999999999</v>
      </c>
      <c r="F320" s="880" t="s">
        <v>2188</v>
      </c>
      <c r="G320" s="901">
        <v>533703.46100000001</v>
      </c>
      <c r="H320" s="901">
        <v>3547814.2519999999</v>
      </c>
      <c r="I320" s="892"/>
      <c r="J320" s="893">
        <f>J318+1</f>
        <v>158</v>
      </c>
      <c r="K320" s="900" t="s">
        <v>1508</v>
      </c>
      <c r="L320" s="902" t="s">
        <v>1361</v>
      </c>
      <c r="M320" s="880"/>
      <c r="N320" s="880"/>
      <c r="O320" s="880"/>
      <c r="P320" s="880"/>
      <c r="Q320" s="880"/>
      <c r="R320" s="880"/>
      <c r="S320" s="880"/>
      <c r="T320" s="880"/>
      <c r="U320" s="901"/>
      <c r="V320" s="1554">
        <f>U321+U323+U325+U327</f>
        <v>1598.9549999999999</v>
      </c>
      <c r="W320" s="903">
        <v>242.922</v>
      </c>
      <c r="X320" s="55" t="s">
        <v>2050</v>
      </c>
      <c r="Y320" s="903">
        <v>533703.46100000001</v>
      </c>
      <c r="Z320" s="903">
        <v>3547814.2519999999</v>
      </c>
      <c r="AA320" s="880"/>
    </row>
    <row r="321" spans="1:27">
      <c r="A321" s="895"/>
      <c r="B321" s="900"/>
      <c r="C321" s="880"/>
      <c r="D321" s="880">
        <v>381.55399999999997</v>
      </c>
      <c r="E321" s="1554"/>
      <c r="F321" s="880"/>
      <c r="G321" s="901"/>
      <c r="H321" s="901"/>
      <c r="I321" s="892"/>
      <c r="J321" s="895"/>
      <c r="K321" s="900"/>
      <c r="L321" s="902"/>
      <c r="M321" s="903"/>
      <c r="N321" s="903"/>
      <c r="O321" s="902"/>
      <c r="P321" s="880"/>
      <c r="Q321" s="880"/>
      <c r="R321" s="880"/>
      <c r="S321" s="880"/>
      <c r="T321" s="880"/>
      <c r="U321" s="903">
        <v>435.863</v>
      </c>
      <c r="V321" s="1554"/>
      <c r="W321" s="902"/>
      <c r="X321" s="880"/>
      <c r="Y321" s="902"/>
      <c r="Z321" s="902"/>
      <c r="AA321" s="880" t="s">
        <v>2227</v>
      </c>
    </row>
    <row r="322" spans="1:27">
      <c r="A322" s="893">
        <f>A320+1</f>
        <v>159</v>
      </c>
      <c r="B322" s="900" t="s">
        <v>538</v>
      </c>
      <c r="C322" s="880" t="s">
        <v>76</v>
      </c>
      <c r="D322" s="880"/>
      <c r="E322" s="1554"/>
      <c r="F322" s="880"/>
      <c r="G322" s="901">
        <v>533491.27800000005</v>
      </c>
      <c r="H322" s="901">
        <v>3547497.1370000001</v>
      </c>
      <c r="I322" s="892"/>
      <c r="J322" s="893">
        <f>J320+1</f>
        <v>159</v>
      </c>
      <c r="K322" s="900" t="s">
        <v>538</v>
      </c>
      <c r="L322" s="902" t="s">
        <v>249</v>
      </c>
      <c r="M322" s="902"/>
      <c r="N322" s="902"/>
      <c r="O322" s="902"/>
      <c r="P322" s="880"/>
      <c r="Q322" s="880"/>
      <c r="R322" s="880"/>
      <c r="S322" s="880"/>
      <c r="T322" s="880"/>
      <c r="U322" s="903"/>
      <c r="V322" s="1554"/>
      <c r="W322" s="903">
        <v>242.715</v>
      </c>
      <c r="X322" s="880"/>
      <c r="Y322" s="903">
        <v>533459.00100000005</v>
      </c>
      <c r="Z322" s="903">
        <v>3547453.398</v>
      </c>
      <c r="AA322" s="880"/>
    </row>
    <row r="323" spans="1:27">
      <c r="A323" s="895"/>
      <c r="B323" s="900"/>
      <c r="C323" s="880"/>
      <c r="D323" s="880">
        <v>392.70100000000002</v>
      </c>
      <c r="E323" s="1554"/>
      <c r="F323" s="880"/>
      <c r="G323" s="901"/>
      <c r="H323" s="901"/>
      <c r="I323" s="892"/>
      <c r="J323" s="895"/>
      <c r="K323" s="900"/>
      <c r="L323" s="902"/>
      <c r="M323" s="902"/>
      <c r="N323" s="902"/>
      <c r="O323" s="902"/>
      <c r="P323" s="880"/>
      <c r="Q323" s="880"/>
      <c r="R323" s="880"/>
      <c r="S323" s="880"/>
      <c r="T323" s="880"/>
      <c r="U323" s="903">
        <v>338.94499999999999</v>
      </c>
      <c r="V323" s="1554"/>
      <c r="W323" s="902"/>
      <c r="X323" s="880"/>
      <c r="Y323" s="902"/>
      <c r="Z323" s="902"/>
      <c r="AA323" s="880"/>
    </row>
    <row r="324" spans="1:27">
      <c r="A324" s="893">
        <f>A322+1</f>
        <v>160</v>
      </c>
      <c r="B324" s="900" t="s">
        <v>529</v>
      </c>
      <c r="C324" s="880" t="s">
        <v>76</v>
      </c>
      <c r="D324" s="880"/>
      <c r="E324" s="1554"/>
      <c r="F324" s="880" t="s">
        <v>1543</v>
      </c>
      <c r="G324" s="901">
        <v>533272.897</v>
      </c>
      <c r="H324" s="901">
        <v>3547170.7579999999</v>
      </c>
      <c r="I324" s="892"/>
      <c r="J324" s="893">
        <f>J322+1</f>
        <v>160</v>
      </c>
      <c r="K324" s="900" t="s">
        <v>529</v>
      </c>
      <c r="L324" s="902" t="s">
        <v>76</v>
      </c>
      <c r="M324" s="903"/>
      <c r="N324" s="903"/>
      <c r="O324" s="902"/>
      <c r="P324" s="880"/>
      <c r="Q324" s="880"/>
      <c r="R324" s="880"/>
      <c r="S324" s="880"/>
      <c r="T324" s="880"/>
      <c r="U324" s="903"/>
      <c r="V324" s="1554"/>
      <c r="W324" s="903">
        <v>242.63499999999999</v>
      </c>
      <c r="X324" s="880"/>
      <c r="Y324" s="903">
        <v>533268.89899999998</v>
      </c>
      <c r="Z324" s="903">
        <v>3547172.7829999998</v>
      </c>
      <c r="AA324" s="880"/>
    </row>
    <row r="325" spans="1:27">
      <c r="A325" s="895"/>
      <c r="B325" s="900"/>
      <c r="C325" s="880"/>
      <c r="D325" s="880">
        <v>414.33499999999998</v>
      </c>
      <c r="E325" s="1554"/>
      <c r="F325" s="880"/>
      <c r="G325" s="901"/>
      <c r="H325" s="901"/>
      <c r="I325" s="892"/>
      <c r="J325" s="895"/>
      <c r="K325" s="900"/>
      <c r="L325" s="902"/>
      <c r="M325" s="903"/>
      <c r="N325" s="903"/>
      <c r="O325" s="902"/>
      <c r="P325" s="880"/>
      <c r="Q325" s="880"/>
      <c r="R325" s="880"/>
      <c r="S325" s="880"/>
      <c r="T325" s="880"/>
      <c r="U325" s="903">
        <v>497.83600000000001</v>
      </c>
      <c r="V325" s="1554"/>
      <c r="W325" s="902"/>
      <c r="X325" s="880"/>
      <c r="Y325" s="902"/>
      <c r="Z325" s="902"/>
      <c r="AA325" s="881" t="s">
        <v>2228</v>
      </c>
    </row>
    <row r="326" spans="1:27">
      <c r="A326" s="893">
        <f>A324+1</f>
        <v>161</v>
      </c>
      <c r="B326" s="900" t="s">
        <v>508</v>
      </c>
      <c r="C326" s="880" t="s">
        <v>62</v>
      </c>
      <c r="D326" s="880"/>
      <c r="E326" s="1554"/>
      <c r="F326" s="880"/>
      <c r="G326" s="901">
        <v>533042.48400000005</v>
      </c>
      <c r="H326" s="901">
        <v>3546826.398</v>
      </c>
      <c r="I326" s="892"/>
      <c r="J326" s="893">
        <f>J324+1</f>
        <v>161</v>
      </c>
      <c r="K326" s="900" t="s">
        <v>508</v>
      </c>
      <c r="L326" s="902" t="s">
        <v>2197</v>
      </c>
      <c r="M326" s="904">
        <v>2</v>
      </c>
      <c r="N326" s="904">
        <v>2</v>
      </c>
      <c r="O326" s="905">
        <v>2</v>
      </c>
      <c r="P326" s="905">
        <v>2</v>
      </c>
      <c r="Q326" s="880"/>
      <c r="R326" s="880"/>
      <c r="S326" s="880"/>
      <c r="T326" s="880"/>
      <c r="U326" s="903"/>
      <c r="V326" s="1554"/>
      <c r="W326" s="903">
        <v>242.40799999999999</v>
      </c>
      <c r="X326" s="880" t="s">
        <v>2229</v>
      </c>
      <c r="Y326" s="903">
        <v>532989.68000000005</v>
      </c>
      <c r="Z326" s="903">
        <v>3546760.6209999998</v>
      </c>
      <c r="AA326" s="880"/>
    </row>
    <row r="327" spans="1:27" ht="29">
      <c r="A327" s="895"/>
      <c r="B327" s="900"/>
      <c r="C327" s="880"/>
      <c r="D327" s="880">
        <v>411.19200000000001</v>
      </c>
      <c r="E327" s="1554"/>
      <c r="F327" s="880"/>
      <c r="G327" s="901"/>
      <c r="H327" s="901"/>
      <c r="I327" s="892"/>
      <c r="J327" s="895"/>
      <c r="K327" s="900"/>
      <c r="L327" s="902"/>
      <c r="M327" s="880"/>
      <c r="N327" s="880"/>
      <c r="O327" s="880"/>
      <c r="P327" s="880"/>
      <c r="Q327" s="880"/>
      <c r="R327" s="880"/>
      <c r="S327" s="880"/>
      <c r="T327" s="880"/>
      <c r="U327" s="903">
        <v>326.31099999999998</v>
      </c>
      <c r="V327" s="1554"/>
      <c r="W327" s="902"/>
      <c r="X327" s="880"/>
      <c r="Y327" s="902"/>
      <c r="Z327" s="902"/>
      <c r="AA327" s="881" t="s">
        <v>2230</v>
      </c>
    </row>
    <row r="328" spans="1:27">
      <c r="A328" s="893">
        <f>A326+1</f>
        <v>162</v>
      </c>
      <c r="B328" s="900" t="s">
        <v>2189</v>
      </c>
      <c r="C328" s="880" t="s">
        <v>1277</v>
      </c>
      <c r="D328" s="880"/>
      <c r="E328" s="1554"/>
      <c r="F328" s="880" t="s">
        <v>2190</v>
      </c>
      <c r="G328" s="901">
        <v>532813.81999999995</v>
      </c>
      <c r="H328" s="901">
        <v>3546484.65</v>
      </c>
      <c r="I328" s="892"/>
      <c r="J328" s="893">
        <f>J326+1</f>
        <v>162</v>
      </c>
      <c r="K328" s="900" t="s">
        <v>2189</v>
      </c>
      <c r="L328" s="902" t="s">
        <v>1953</v>
      </c>
      <c r="M328" s="880"/>
      <c r="N328" s="880"/>
      <c r="O328" s="880"/>
      <c r="P328" s="880"/>
      <c r="Q328" s="880"/>
      <c r="R328" s="880"/>
      <c r="S328" s="880"/>
      <c r="T328" s="880"/>
      <c r="U328" s="903"/>
      <c r="V328" s="1554">
        <f>U329+U331+U333+U335</f>
        <v>1666.222</v>
      </c>
      <c r="W328" s="903">
        <v>242.52</v>
      </c>
      <c r="X328" s="880" t="s">
        <v>2231</v>
      </c>
      <c r="Y328" s="903">
        <v>532821.00899999996</v>
      </c>
      <c r="Z328" s="903">
        <v>3546481.284</v>
      </c>
      <c r="AA328" s="880"/>
    </row>
    <row r="329" spans="1:27">
      <c r="A329" s="895"/>
      <c r="B329" s="900"/>
      <c r="C329" s="880"/>
      <c r="D329" s="880">
        <v>416.863</v>
      </c>
      <c r="E329" s="1554">
        <f>D329+D331+D333+D335</f>
        <v>1667.808</v>
      </c>
      <c r="F329" s="880"/>
      <c r="G329" s="901"/>
      <c r="H329" s="901"/>
      <c r="I329" s="892"/>
      <c r="J329" s="895"/>
      <c r="K329" s="900"/>
      <c r="L329" s="902"/>
      <c r="M329" s="880"/>
      <c r="N329" s="880"/>
      <c r="O329" s="880"/>
      <c r="P329" s="880"/>
      <c r="Q329" s="880"/>
      <c r="R329" s="880"/>
      <c r="S329" s="880"/>
      <c r="T329" s="880"/>
      <c r="U329" s="903">
        <v>415.29</v>
      </c>
      <c r="V329" s="1554"/>
      <c r="W329" s="902"/>
      <c r="X329" s="880"/>
      <c r="Y329" s="902"/>
      <c r="Z329" s="902"/>
      <c r="AA329" s="880" t="s">
        <v>2232</v>
      </c>
    </row>
    <row r="330" spans="1:27">
      <c r="A330" s="893">
        <f>A328+1</f>
        <v>163</v>
      </c>
      <c r="B330" s="900" t="s">
        <v>497</v>
      </c>
      <c r="C330" s="880" t="s">
        <v>62</v>
      </c>
      <c r="D330" s="880"/>
      <c r="E330" s="1554"/>
      <c r="F330" s="880"/>
      <c r="G330" s="901">
        <v>532717.02099999995</v>
      </c>
      <c r="H330" s="901">
        <v>3546079.182</v>
      </c>
      <c r="I330" s="892"/>
      <c r="J330" s="893">
        <f>J328+1</f>
        <v>163</v>
      </c>
      <c r="K330" s="900" t="s">
        <v>497</v>
      </c>
      <c r="L330" s="902" t="s">
        <v>62</v>
      </c>
      <c r="M330" s="880"/>
      <c r="N330" s="880"/>
      <c r="O330" s="880"/>
      <c r="P330" s="880"/>
      <c r="Q330" s="880"/>
      <c r="R330" s="880"/>
      <c r="S330" s="880"/>
      <c r="T330" s="880"/>
      <c r="U330" s="903"/>
      <c r="V330" s="1554"/>
      <c r="W330" s="903">
        <v>242.91399999999999</v>
      </c>
      <c r="X330" s="880"/>
      <c r="Y330" s="903">
        <v>532722.69099999999</v>
      </c>
      <c r="Z330" s="903">
        <v>3546077.8</v>
      </c>
      <c r="AA330" s="880"/>
    </row>
    <row r="331" spans="1:27">
      <c r="A331" s="895"/>
      <c r="B331" s="900"/>
      <c r="C331" s="880"/>
      <c r="D331" s="880">
        <v>422.42599999999999</v>
      </c>
      <c r="E331" s="1554"/>
      <c r="F331" s="880"/>
      <c r="G331" s="901"/>
      <c r="H331" s="901"/>
      <c r="I331" s="892"/>
      <c r="J331" s="895"/>
      <c r="K331" s="900"/>
      <c r="L331" s="902"/>
      <c r="M331" s="880"/>
      <c r="N331" s="880"/>
      <c r="O331" s="880"/>
      <c r="P331" s="880"/>
      <c r="Q331" s="880"/>
      <c r="R331" s="880"/>
      <c r="S331" s="880"/>
      <c r="T331" s="880"/>
      <c r="U331" s="903">
        <v>422.42200000000003</v>
      </c>
      <c r="V331" s="1554"/>
      <c r="W331" s="902"/>
      <c r="X331" s="880"/>
      <c r="Y331" s="902"/>
      <c r="Z331" s="902"/>
      <c r="AA331" s="880" t="s">
        <v>2233</v>
      </c>
    </row>
    <row r="332" spans="1:27">
      <c r="A332" s="893">
        <f>A330+1</f>
        <v>164</v>
      </c>
      <c r="B332" s="900" t="s">
        <v>495</v>
      </c>
      <c r="C332" s="880" t="s">
        <v>53</v>
      </c>
      <c r="D332" s="880"/>
      <c r="E332" s="1554"/>
      <c r="F332" s="880"/>
      <c r="G332" s="901">
        <v>532618.93000000005</v>
      </c>
      <c r="H332" s="901">
        <v>3545668.3020000001</v>
      </c>
      <c r="I332" s="892"/>
      <c r="J332" s="893">
        <f>J330+1</f>
        <v>164</v>
      </c>
      <c r="K332" s="900" t="s">
        <v>495</v>
      </c>
      <c r="L332" s="902" t="s">
        <v>53</v>
      </c>
      <c r="M332" s="880"/>
      <c r="N332" s="880"/>
      <c r="O332" s="880"/>
      <c r="P332" s="880"/>
      <c r="Q332" s="880"/>
      <c r="R332" s="880"/>
      <c r="S332" s="880"/>
      <c r="T332" s="880"/>
      <c r="U332" s="903"/>
      <c r="V332" s="1554"/>
      <c r="W332" s="903">
        <v>243.71600000000001</v>
      </c>
      <c r="X332" s="880"/>
      <c r="Y332" s="903">
        <v>532622.68500000006</v>
      </c>
      <c r="Z332" s="903">
        <v>3545667.3870000001</v>
      </c>
      <c r="AA332" s="880"/>
    </row>
    <row r="333" spans="1:27" ht="29">
      <c r="A333" s="895"/>
      <c r="B333" s="900"/>
      <c r="C333" s="880"/>
      <c r="D333" s="880">
        <v>418.37799999999999</v>
      </c>
      <c r="E333" s="1554"/>
      <c r="F333" s="880"/>
      <c r="G333" s="901"/>
      <c r="H333" s="901"/>
      <c r="I333" s="892"/>
      <c r="J333" s="895"/>
      <c r="K333" s="900"/>
      <c r="L333" s="902"/>
      <c r="M333" s="880"/>
      <c r="N333" s="880"/>
      <c r="O333" s="880"/>
      <c r="P333" s="880"/>
      <c r="Q333" s="880"/>
      <c r="R333" s="880"/>
      <c r="S333" s="880"/>
      <c r="T333" s="880"/>
      <c r="U333" s="903">
        <v>418.37299999999999</v>
      </c>
      <c r="V333" s="1554"/>
      <c r="W333" s="902"/>
      <c r="X333" s="880"/>
      <c r="Y333" s="902"/>
      <c r="Z333" s="902"/>
      <c r="AA333" s="881" t="s">
        <v>2234</v>
      </c>
    </row>
    <row r="334" spans="1:27">
      <c r="A334" s="893">
        <f>A332+1</f>
        <v>165</v>
      </c>
      <c r="B334" s="900" t="s">
        <v>490</v>
      </c>
      <c r="C334" s="880" t="s">
        <v>53</v>
      </c>
      <c r="D334" s="880"/>
      <c r="E334" s="1554"/>
      <c r="F334" s="880"/>
      <c r="G334" s="901">
        <v>532521.77899999998</v>
      </c>
      <c r="H334" s="901">
        <v>3545261.36</v>
      </c>
      <c r="I334" s="892"/>
      <c r="J334" s="893">
        <f>J332+1</f>
        <v>165</v>
      </c>
      <c r="K334" s="900" t="s">
        <v>490</v>
      </c>
      <c r="L334" s="902" t="s">
        <v>53</v>
      </c>
      <c r="M334" s="880"/>
      <c r="N334" s="880"/>
      <c r="O334" s="880"/>
      <c r="P334" s="880"/>
      <c r="Q334" s="880"/>
      <c r="R334" s="880"/>
      <c r="S334" s="880"/>
      <c r="T334" s="880"/>
      <c r="U334" s="903"/>
      <c r="V334" s="1554"/>
      <c r="W334" s="903">
        <v>243.86699999999999</v>
      </c>
      <c r="X334" s="880"/>
      <c r="Y334" s="903">
        <v>532523.63800000004</v>
      </c>
      <c r="Z334" s="903">
        <v>3545260.9070000001</v>
      </c>
      <c r="AA334" s="880"/>
    </row>
    <row r="335" spans="1:27" ht="29">
      <c r="A335" s="895"/>
      <c r="B335" s="900"/>
      <c r="C335" s="880"/>
      <c r="D335" s="880">
        <v>410.14100000000002</v>
      </c>
      <c r="E335" s="1554"/>
      <c r="F335" s="880"/>
      <c r="G335" s="901"/>
      <c r="H335" s="901"/>
      <c r="I335" s="892"/>
      <c r="J335" s="895"/>
      <c r="K335" s="900"/>
      <c r="L335" s="902"/>
      <c r="M335" s="880"/>
      <c r="N335" s="880"/>
      <c r="O335" s="880"/>
      <c r="P335" s="880"/>
      <c r="Q335" s="880"/>
      <c r="R335" s="880"/>
      <c r="S335" s="880"/>
      <c r="T335" s="880"/>
      <c r="U335" s="903">
        <v>410.137</v>
      </c>
      <c r="V335" s="1554"/>
      <c r="W335" s="902"/>
      <c r="X335" s="880"/>
      <c r="Y335" s="902"/>
      <c r="Z335" s="902"/>
      <c r="AA335" s="881" t="s">
        <v>2235</v>
      </c>
    </row>
    <row r="336" spans="1:27">
      <c r="A336" s="893">
        <f>A334+1</f>
        <v>166</v>
      </c>
      <c r="B336" s="900" t="s">
        <v>2191</v>
      </c>
      <c r="C336" s="880" t="s">
        <v>1269</v>
      </c>
      <c r="D336" s="880"/>
      <c r="E336" s="1554"/>
      <c r="F336" s="880" t="s">
        <v>2192</v>
      </c>
      <c r="G336" s="901">
        <v>532426.54</v>
      </c>
      <c r="H336" s="901">
        <v>3544862.43</v>
      </c>
      <c r="I336" s="892"/>
      <c r="J336" s="893">
        <f>J334+1</f>
        <v>166</v>
      </c>
      <c r="K336" s="900" t="s">
        <v>2191</v>
      </c>
      <c r="L336" s="902" t="s">
        <v>1269</v>
      </c>
      <c r="M336" s="906">
        <v>1.5</v>
      </c>
      <c r="N336" s="906">
        <v>1.5</v>
      </c>
      <c r="O336" s="906">
        <v>1.5</v>
      </c>
      <c r="P336" s="906">
        <v>1.5</v>
      </c>
      <c r="Q336" s="880"/>
      <c r="R336" s="880"/>
      <c r="S336" s="880"/>
      <c r="T336" s="880"/>
      <c r="U336" s="903"/>
      <c r="V336" s="1554">
        <f>U337+U339</f>
        <v>809.57100000000003</v>
      </c>
      <c r="W336" s="903">
        <v>244.92099999999999</v>
      </c>
      <c r="X336" s="880" t="s">
        <v>2236</v>
      </c>
      <c r="Y336" s="903">
        <v>532426.54</v>
      </c>
      <c r="Z336" s="903">
        <v>3544862.43</v>
      </c>
      <c r="AA336" s="880"/>
    </row>
    <row r="337" spans="1:27">
      <c r="A337" s="895"/>
      <c r="B337" s="900"/>
      <c r="C337" s="880"/>
      <c r="D337" s="880">
        <v>422.69799999999998</v>
      </c>
      <c r="E337" s="1554">
        <f>D337+D339</f>
        <v>820.50900000000001</v>
      </c>
      <c r="F337" s="880"/>
      <c r="G337" s="901"/>
      <c r="H337" s="901"/>
      <c r="I337" s="892"/>
      <c r="J337" s="895"/>
      <c r="K337" s="900"/>
      <c r="L337" s="902"/>
      <c r="M337" s="880"/>
      <c r="N337" s="880"/>
      <c r="O337" s="880"/>
      <c r="P337" s="880"/>
      <c r="Q337" s="880"/>
      <c r="R337" s="880"/>
      <c r="S337" s="880"/>
      <c r="T337" s="880"/>
      <c r="U337" s="903">
        <v>422.214</v>
      </c>
      <c r="V337" s="1554"/>
      <c r="W337" s="902"/>
      <c r="X337" s="880"/>
      <c r="Y337" s="902"/>
      <c r="Z337" s="902"/>
      <c r="AA337" s="880" t="s">
        <v>2237</v>
      </c>
    </row>
    <row r="338" spans="1:27">
      <c r="A338" s="893">
        <f>A336+1</f>
        <v>167</v>
      </c>
      <c r="B338" s="900" t="s">
        <v>458</v>
      </c>
      <c r="C338" s="880" t="s">
        <v>62</v>
      </c>
      <c r="D338" s="880"/>
      <c r="E338" s="1554"/>
      <c r="F338" s="880"/>
      <c r="G338" s="901">
        <v>532348.54599999997</v>
      </c>
      <c r="H338" s="901">
        <v>3544446.99</v>
      </c>
      <c r="I338" s="892"/>
      <c r="J338" s="893">
        <f>J336+1</f>
        <v>167</v>
      </c>
      <c r="K338" s="900" t="s">
        <v>458</v>
      </c>
      <c r="L338" s="902" t="s">
        <v>62</v>
      </c>
      <c r="M338" s="880"/>
      <c r="N338" s="880"/>
      <c r="O338" s="880"/>
      <c r="P338" s="880"/>
      <c r="Q338" s="880"/>
      <c r="R338" s="880"/>
      <c r="S338" s="880"/>
      <c r="T338" s="880"/>
      <c r="U338" s="903"/>
      <c r="V338" s="1554"/>
      <c r="W338" s="903">
        <v>243.63399999999999</v>
      </c>
      <c r="X338" s="880"/>
      <c r="Y338" s="903">
        <v>532334.88300000003</v>
      </c>
      <c r="Z338" s="903">
        <v>3544450.284</v>
      </c>
      <c r="AA338" s="880"/>
    </row>
    <row r="339" spans="1:27">
      <c r="A339" s="895"/>
      <c r="B339" s="900"/>
      <c r="C339" s="880"/>
      <c r="D339" s="880">
        <v>397.81099999999998</v>
      </c>
      <c r="E339" s="1554"/>
      <c r="F339" s="880"/>
      <c r="G339" s="901"/>
      <c r="H339" s="901"/>
      <c r="I339" s="892"/>
      <c r="J339" s="895"/>
      <c r="K339" s="900"/>
      <c r="L339" s="902"/>
      <c r="M339" s="880"/>
      <c r="N339" s="880"/>
      <c r="O339" s="880"/>
      <c r="P339" s="880"/>
      <c r="Q339" s="880"/>
      <c r="R339" s="880"/>
      <c r="S339" s="880"/>
      <c r="T339" s="880"/>
      <c r="U339" s="903">
        <v>387.35700000000003</v>
      </c>
      <c r="V339" s="1554"/>
      <c r="W339" s="902"/>
      <c r="X339" s="880"/>
      <c r="Y339" s="902"/>
      <c r="Z339" s="902"/>
      <c r="AA339" s="880" t="s">
        <v>2238</v>
      </c>
    </row>
    <row r="340" spans="1:27">
      <c r="A340" s="893">
        <f>A338+1</f>
        <v>168</v>
      </c>
      <c r="B340" s="900" t="s">
        <v>1535</v>
      </c>
      <c r="C340" s="880" t="s">
        <v>1934</v>
      </c>
      <c r="D340" s="880"/>
      <c r="E340" s="1554">
        <f>D341</f>
        <v>397.142</v>
      </c>
      <c r="F340" s="880" t="s">
        <v>2193</v>
      </c>
      <c r="G340" s="901">
        <v>532275.14399999997</v>
      </c>
      <c r="H340" s="901">
        <v>3544056.01</v>
      </c>
      <c r="I340" s="892"/>
      <c r="J340" s="893">
        <f>J338+1</f>
        <v>168</v>
      </c>
      <c r="K340" s="900" t="s">
        <v>1535</v>
      </c>
      <c r="L340" s="902" t="s">
        <v>53</v>
      </c>
      <c r="M340" s="880"/>
      <c r="N340" s="880"/>
      <c r="O340" s="880"/>
      <c r="P340" s="880"/>
      <c r="Q340" s="880"/>
      <c r="R340" s="880"/>
      <c r="S340" s="880"/>
      <c r="T340" s="880"/>
      <c r="U340" s="903"/>
      <c r="V340" s="1554">
        <f>U341</f>
        <v>406.68799999999999</v>
      </c>
      <c r="W340" s="903">
        <v>244.20099999999999</v>
      </c>
      <c r="X340" s="880"/>
      <c r="Y340" s="903">
        <v>532250.79299999995</v>
      </c>
      <c r="Z340" s="903">
        <v>3544072.165</v>
      </c>
      <c r="AA340" s="880"/>
    </row>
    <row r="341" spans="1:27">
      <c r="A341" s="895"/>
      <c r="B341" s="900"/>
      <c r="C341" s="880"/>
      <c r="D341" s="880">
        <v>397.142</v>
      </c>
      <c r="E341" s="1554"/>
      <c r="F341" s="880"/>
      <c r="G341" s="901"/>
      <c r="H341" s="901"/>
      <c r="I341" s="892"/>
      <c r="J341" s="895"/>
      <c r="K341" s="900"/>
      <c r="L341" s="902"/>
      <c r="M341" s="880"/>
      <c r="N341" s="880"/>
      <c r="O341" s="880"/>
      <c r="P341" s="880"/>
      <c r="Q341" s="880"/>
      <c r="R341" s="880"/>
      <c r="S341" s="880"/>
      <c r="T341" s="880"/>
      <c r="U341" s="903">
        <v>406.68799999999999</v>
      </c>
      <c r="V341" s="1554"/>
      <c r="W341" s="902"/>
      <c r="X341" s="880"/>
      <c r="Y341" s="902"/>
      <c r="Z341" s="902"/>
      <c r="AA341" s="880" t="s">
        <v>2239</v>
      </c>
    </row>
    <row r="342" spans="1:27">
      <c r="A342" s="893">
        <f>A340+1</f>
        <v>169</v>
      </c>
      <c r="B342" s="900" t="s">
        <v>2194</v>
      </c>
      <c r="C342" s="880" t="s">
        <v>1277</v>
      </c>
      <c r="D342" s="880"/>
      <c r="E342" s="1554"/>
      <c r="F342" s="880" t="s">
        <v>2195</v>
      </c>
      <c r="G342" s="901">
        <v>532162.50699999998</v>
      </c>
      <c r="H342" s="901">
        <v>3543675.176</v>
      </c>
      <c r="I342" s="892"/>
      <c r="J342" s="893">
        <f>J340+1</f>
        <v>169</v>
      </c>
      <c r="K342" s="900" t="s">
        <v>2194</v>
      </c>
      <c r="L342" s="902" t="s">
        <v>1269</v>
      </c>
      <c r="M342" s="880"/>
      <c r="N342" s="880"/>
      <c r="O342" s="880"/>
      <c r="P342" s="880"/>
      <c r="Q342" s="880"/>
      <c r="R342" s="880"/>
      <c r="S342" s="880"/>
      <c r="T342" s="880"/>
      <c r="U342" s="903"/>
      <c r="V342" s="1554"/>
      <c r="W342" s="903">
        <v>243.49299999999999</v>
      </c>
      <c r="X342" s="880" t="s">
        <v>2240</v>
      </c>
      <c r="Y342" s="903">
        <v>532162.50699999998</v>
      </c>
      <c r="Z342" s="903">
        <v>3543675.176</v>
      </c>
      <c r="AA342" s="880"/>
    </row>
    <row r="343" spans="1:27" ht="29">
      <c r="A343" s="895"/>
      <c r="B343" s="900"/>
      <c r="C343" s="880"/>
      <c r="D343" s="880">
        <v>305.02600000000001</v>
      </c>
      <c r="E343" s="880">
        <v>305.02600000000001</v>
      </c>
      <c r="F343" s="880"/>
      <c r="G343" s="901"/>
      <c r="H343" s="901"/>
      <c r="I343" s="892"/>
      <c r="J343" s="895"/>
      <c r="K343" s="900"/>
      <c r="L343" s="902"/>
      <c r="M343" s="880"/>
      <c r="N343" s="880"/>
      <c r="O343" s="880"/>
      <c r="P343" s="880"/>
      <c r="Q343" s="880"/>
      <c r="R343" s="880"/>
      <c r="S343" s="880"/>
      <c r="T343" s="880"/>
      <c r="U343" s="903">
        <v>316.25299999999999</v>
      </c>
      <c r="V343" s="880">
        <v>316.25299999999999</v>
      </c>
      <c r="W343" s="902"/>
      <c r="X343" s="880"/>
      <c r="Y343" s="902"/>
      <c r="Z343" s="902"/>
      <c r="AA343" s="881" t="s">
        <v>2241</v>
      </c>
    </row>
    <row r="344" spans="1:27">
      <c r="A344" s="893">
        <f>A342+1</f>
        <v>170</v>
      </c>
      <c r="B344" s="900" t="s">
        <v>2196</v>
      </c>
      <c r="C344" s="880" t="s">
        <v>2197</v>
      </c>
      <c r="D344" s="880"/>
      <c r="E344" s="1554">
        <v>259.88299999999998</v>
      </c>
      <c r="F344" s="880" t="s">
        <v>2198</v>
      </c>
      <c r="G344" s="901">
        <v>532184.99699999997</v>
      </c>
      <c r="H344" s="901">
        <v>3543370.98</v>
      </c>
      <c r="I344" s="892"/>
      <c r="J344" s="893">
        <f>J342+1</f>
        <v>170</v>
      </c>
      <c r="K344" s="900" t="s">
        <v>2196</v>
      </c>
      <c r="L344" s="902" t="s">
        <v>2212</v>
      </c>
      <c r="M344" s="880"/>
      <c r="N344" s="880"/>
      <c r="O344" s="880"/>
      <c r="P344" s="880"/>
      <c r="Q344" s="880"/>
      <c r="R344" s="880"/>
      <c r="S344" s="880"/>
      <c r="T344" s="880"/>
      <c r="U344" s="903"/>
      <c r="V344" s="880"/>
      <c r="W344" s="903">
        <v>243.53</v>
      </c>
      <c r="X344" s="880" t="s">
        <v>2242</v>
      </c>
      <c r="Y344" s="903">
        <v>532164.321</v>
      </c>
      <c r="Z344" s="903">
        <v>3543358.9279999998</v>
      </c>
      <c r="AA344" s="880"/>
    </row>
    <row r="345" spans="1:27">
      <c r="A345" s="895"/>
      <c r="B345" s="900"/>
      <c r="C345" s="880"/>
      <c r="D345" s="880">
        <v>259.88299999999998</v>
      </c>
      <c r="E345" s="1554"/>
      <c r="F345" s="880"/>
      <c r="G345" s="901"/>
      <c r="H345" s="901"/>
      <c r="I345" s="892"/>
      <c r="J345" s="895"/>
      <c r="K345" s="900"/>
      <c r="L345" s="902"/>
      <c r="M345" s="880"/>
      <c r="N345" s="880"/>
      <c r="O345" s="880"/>
      <c r="P345" s="880"/>
      <c r="Q345" s="880"/>
      <c r="R345" s="880"/>
      <c r="S345" s="880"/>
      <c r="T345" s="880"/>
      <c r="U345" s="903">
        <v>248.423</v>
      </c>
      <c r="V345" s="880">
        <v>248.423</v>
      </c>
      <c r="W345" s="902"/>
      <c r="X345" s="880"/>
      <c r="Y345" s="902"/>
      <c r="Z345" s="902"/>
      <c r="AA345" s="880" t="s">
        <v>2259</v>
      </c>
    </row>
    <row r="346" spans="1:27">
      <c r="A346" s="893">
        <f>A344+1</f>
        <v>171</v>
      </c>
      <c r="B346" s="900" t="s">
        <v>2199</v>
      </c>
      <c r="C346" s="880" t="s">
        <v>2197</v>
      </c>
      <c r="D346" s="880"/>
      <c r="E346" s="1554"/>
      <c r="F346" s="880" t="s">
        <v>2200</v>
      </c>
      <c r="G346" s="901">
        <v>532210.07999999996</v>
      </c>
      <c r="H346" s="901">
        <v>3543112.31</v>
      </c>
      <c r="I346" s="892"/>
      <c r="J346" s="893">
        <f>J344+1</f>
        <v>171</v>
      </c>
      <c r="K346" s="900" t="s">
        <v>2199</v>
      </c>
      <c r="L346" s="902" t="s">
        <v>2212</v>
      </c>
      <c r="M346" s="880"/>
      <c r="N346" s="880"/>
      <c r="O346" s="880"/>
      <c r="P346" s="880"/>
      <c r="Q346" s="880"/>
      <c r="R346" s="880"/>
      <c r="S346" s="880"/>
      <c r="T346" s="880"/>
      <c r="U346" s="903"/>
      <c r="V346" s="1554">
        <f>U347+U349+U351+U353</f>
        <v>1681.454</v>
      </c>
      <c r="W346" s="903">
        <v>243.28</v>
      </c>
      <c r="X346" s="880" t="s">
        <v>2243</v>
      </c>
      <c r="Y346" s="903">
        <v>532180</v>
      </c>
      <c r="Z346" s="903">
        <v>3543111</v>
      </c>
      <c r="AA346" s="880"/>
    </row>
    <row r="347" spans="1:27">
      <c r="A347" s="895"/>
      <c r="B347" s="900"/>
      <c r="C347" s="880"/>
      <c r="D347" s="880">
        <v>458.101</v>
      </c>
      <c r="E347" s="1554">
        <f>D347+D349+D351+D353</f>
        <v>1673.212</v>
      </c>
      <c r="F347" s="880"/>
      <c r="G347" s="901"/>
      <c r="H347" s="901"/>
      <c r="I347" s="892"/>
      <c r="J347" s="895"/>
      <c r="K347" s="900"/>
      <c r="L347" s="902"/>
      <c r="M347" s="880"/>
      <c r="N347" s="880"/>
      <c r="O347" s="880"/>
      <c r="P347" s="880"/>
      <c r="Q347" s="880"/>
      <c r="R347" s="880"/>
      <c r="S347" s="880"/>
      <c r="T347" s="880"/>
      <c r="U347" s="903">
        <v>427.32799999999997</v>
      </c>
      <c r="V347" s="1554"/>
      <c r="W347" s="902"/>
      <c r="X347" s="880"/>
      <c r="Y347" s="902"/>
      <c r="Z347" s="902"/>
      <c r="AA347" s="880" t="s">
        <v>2066</v>
      </c>
    </row>
    <row r="348" spans="1:27">
      <c r="A348" s="893">
        <f>A346+1</f>
        <v>172</v>
      </c>
      <c r="B348" s="900" t="s">
        <v>2201</v>
      </c>
      <c r="C348" s="880" t="s">
        <v>76</v>
      </c>
      <c r="D348" s="880"/>
      <c r="E348" s="1554"/>
      <c r="F348" s="880"/>
      <c r="G348" s="901">
        <v>532350.75399999996</v>
      </c>
      <c r="H348" s="901">
        <v>3542676.3429999999</v>
      </c>
      <c r="I348" s="892"/>
      <c r="J348" s="893">
        <f>J346+1</f>
        <v>172</v>
      </c>
      <c r="K348" s="900" t="s">
        <v>2201</v>
      </c>
      <c r="L348" s="902" t="s">
        <v>76</v>
      </c>
      <c r="M348" s="880"/>
      <c r="N348" s="880"/>
      <c r="O348" s="880"/>
      <c r="P348" s="880"/>
      <c r="Q348" s="880"/>
      <c r="R348" s="880"/>
      <c r="S348" s="880"/>
      <c r="T348" s="880"/>
      <c r="U348" s="903"/>
      <c r="V348" s="1554"/>
      <c r="W348" s="903">
        <v>243.93700000000001</v>
      </c>
      <c r="X348" s="880"/>
      <c r="Y348" s="903">
        <v>532318.22600000002</v>
      </c>
      <c r="Z348" s="903">
        <v>3542706.6460000002</v>
      </c>
      <c r="AA348" s="880"/>
    </row>
    <row r="349" spans="1:27">
      <c r="A349" s="895"/>
      <c r="B349" s="900"/>
      <c r="C349" s="880"/>
      <c r="D349" s="880">
        <v>381.45100000000002</v>
      </c>
      <c r="E349" s="1554"/>
      <c r="F349" s="880"/>
      <c r="G349" s="901"/>
      <c r="H349" s="901"/>
      <c r="I349" s="892"/>
      <c r="J349" s="895"/>
      <c r="K349" s="900"/>
      <c r="L349" s="902"/>
      <c r="M349" s="880"/>
      <c r="N349" s="880"/>
      <c r="O349" s="880"/>
      <c r="P349" s="880"/>
      <c r="Q349" s="880"/>
      <c r="R349" s="880"/>
      <c r="S349" s="880"/>
      <c r="T349" s="880"/>
      <c r="U349" s="903">
        <v>413.23399999999998</v>
      </c>
      <c r="V349" s="1554"/>
      <c r="W349" s="902"/>
      <c r="X349" s="880"/>
      <c r="Y349" s="902"/>
      <c r="Z349" s="902"/>
      <c r="AA349" s="880" t="s">
        <v>2244</v>
      </c>
    </row>
    <row r="350" spans="1:27">
      <c r="A350" s="893">
        <f>A348+1</f>
        <v>173</v>
      </c>
      <c r="B350" s="900" t="s">
        <v>2202</v>
      </c>
      <c r="C350" s="880" t="s">
        <v>76</v>
      </c>
      <c r="D350" s="880"/>
      <c r="E350" s="1554"/>
      <c r="F350" s="880"/>
      <c r="G350" s="901">
        <v>532467.89099999995</v>
      </c>
      <c r="H350" s="901">
        <v>3542313.3220000002</v>
      </c>
      <c r="I350" s="892"/>
      <c r="J350" s="893">
        <f>J348+1</f>
        <v>173</v>
      </c>
      <c r="K350" s="900" t="s">
        <v>2202</v>
      </c>
      <c r="L350" s="902" t="s">
        <v>62</v>
      </c>
      <c r="M350" s="880"/>
      <c r="N350" s="880"/>
      <c r="O350" s="880"/>
      <c r="P350" s="880"/>
      <c r="Q350" s="880"/>
      <c r="R350" s="880"/>
      <c r="S350" s="880"/>
      <c r="T350" s="880"/>
      <c r="U350" s="903"/>
      <c r="V350" s="1554"/>
      <c r="W350" s="903">
        <v>244.92699999999999</v>
      </c>
      <c r="X350" s="880"/>
      <c r="Y350" s="903">
        <v>532451.89300000004</v>
      </c>
      <c r="Z350" s="903">
        <v>3542315.6269999999</v>
      </c>
      <c r="AA350" s="880"/>
    </row>
    <row r="351" spans="1:27">
      <c r="A351" s="895"/>
      <c r="B351" s="900"/>
      <c r="C351" s="880"/>
      <c r="D351" s="880">
        <v>407.01299999999998</v>
      </c>
      <c r="E351" s="1554"/>
      <c r="F351" s="880"/>
      <c r="G351" s="901"/>
      <c r="H351" s="901"/>
      <c r="I351" s="892"/>
      <c r="J351" s="895"/>
      <c r="K351" s="900"/>
      <c r="L351" s="902"/>
      <c r="M351" s="880"/>
      <c r="N351" s="880"/>
      <c r="O351" s="880"/>
      <c r="P351" s="880"/>
      <c r="Q351" s="880"/>
      <c r="R351" s="880"/>
      <c r="S351" s="880"/>
      <c r="T351" s="880"/>
      <c r="U351" s="903">
        <v>414.71899999999999</v>
      </c>
      <c r="V351" s="1554"/>
      <c r="W351" s="902"/>
      <c r="X351" s="880"/>
      <c r="Y351" s="902"/>
      <c r="Z351" s="902"/>
      <c r="AA351" s="880"/>
    </row>
    <row r="352" spans="1:27">
      <c r="A352" s="893">
        <f>A350+1</f>
        <v>174</v>
      </c>
      <c r="B352" s="900" t="s">
        <v>2203</v>
      </c>
      <c r="C352" s="880" t="s">
        <v>62</v>
      </c>
      <c r="D352" s="880"/>
      <c r="E352" s="1554"/>
      <c r="F352" s="880"/>
      <c r="G352" s="901">
        <v>532592.87699999998</v>
      </c>
      <c r="H352" s="901">
        <v>3541925.9750000001</v>
      </c>
      <c r="I352" s="892"/>
      <c r="J352" s="893">
        <f>J350+1</f>
        <v>174</v>
      </c>
      <c r="K352" s="900" t="s">
        <v>2203</v>
      </c>
      <c r="L352" s="902" t="s">
        <v>62</v>
      </c>
      <c r="M352" s="880"/>
      <c r="N352" s="880"/>
      <c r="O352" s="880"/>
      <c r="P352" s="880"/>
      <c r="Q352" s="880"/>
      <c r="R352" s="880"/>
      <c r="S352" s="880"/>
      <c r="T352" s="880"/>
      <c r="U352" s="903"/>
      <c r="V352" s="1554"/>
      <c r="W352" s="903">
        <v>246.9</v>
      </c>
      <c r="X352" s="880"/>
      <c r="Y352" s="903">
        <v>532586.04099999997</v>
      </c>
      <c r="Z352" s="903">
        <v>3541923.2039999999</v>
      </c>
      <c r="AA352" s="880"/>
    </row>
    <row r="353" spans="1:27">
      <c r="A353" s="895"/>
      <c r="B353" s="900"/>
      <c r="C353" s="880"/>
      <c r="D353" s="880">
        <v>426.64699999999999</v>
      </c>
      <c r="E353" s="1554"/>
      <c r="F353" s="880"/>
      <c r="G353" s="901"/>
      <c r="H353" s="901"/>
      <c r="I353" s="892"/>
      <c r="J353" s="895"/>
      <c r="K353" s="900"/>
      <c r="L353" s="902"/>
      <c r="M353" s="880"/>
      <c r="N353" s="880"/>
      <c r="O353" s="880"/>
      <c r="P353" s="880"/>
      <c r="Q353" s="880"/>
      <c r="R353" s="880"/>
      <c r="S353" s="880"/>
      <c r="T353" s="880"/>
      <c r="U353" s="903">
        <v>426.173</v>
      </c>
      <c r="V353" s="1554"/>
      <c r="W353" s="902"/>
      <c r="X353" s="880"/>
      <c r="Y353" s="902"/>
      <c r="Z353" s="902"/>
      <c r="AA353" s="880" t="s">
        <v>2245</v>
      </c>
    </row>
    <row r="354" spans="1:27">
      <c r="A354" s="893">
        <f>A352+1</f>
        <v>175</v>
      </c>
      <c r="B354" s="900" t="s">
        <v>2204</v>
      </c>
      <c r="C354" s="880" t="s">
        <v>90</v>
      </c>
      <c r="D354" s="880"/>
      <c r="E354" s="1554"/>
      <c r="F354" s="880" t="s">
        <v>2205</v>
      </c>
      <c r="G354" s="901">
        <v>532723.89300000004</v>
      </c>
      <c r="H354" s="901">
        <v>3541519.9419999998</v>
      </c>
      <c r="I354" s="892"/>
      <c r="J354" s="893">
        <f>J352+1</f>
        <v>175</v>
      </c>
      <c r="K354" s="900" t="s">
        <v>2204</v>
      </c>
      <c r="L354" s="902" t="s">
        <v>90</v>
      </c>
      <c r="M354" s="880"/>
      <c r="N354" s="880"/>
      <c r="O354" s="880"/>
      <c r="P354" s="880"/>
      <c r="Q354" s="880"/>
      <c r="R354" s="880"/>
      <c r="S354" s="880"/>
      <c r="T354" s="880"/>
      <c r="U354" s="903"/>
      <c r="V354" s="1554"/>
      <c r="W354" s="903">
        <v>247.023</v>
      </c>
      <c r="X354" s="880" t="s">
        <v>2246</v>
      </c>
      <c r="Y354" s="903">
        <v>532723.89300000004</v>
      </c>
      <c r="Z354" s="903">
        <v>3541519.9419999998</v>
      </c>
      <c r="AA354" s="880"/>
    </row>
    <row r="355" spans="1:27" ht="29">
      <c r="A355" s="895"/>
      <c r="B355" s="900"/>
      <c r="C355" s="880"/>
      <c r="D355" s="880">
        <v>404.80900000000003</v>
      </c>
      <c r="E355" s="1554">
        <f>D355+D357+D359+D361</f>
        <v>1630.3970000000002</v>
      </c>
      <c r="F355" s="880"/>
      <c r="G355" s="901"/>
      <c r="H355" s="901"/>
      <c r="I355" s="892"/>
      <c r="J355" s="895"/>
      <c r="K355" s="900"/>
      <c r="L355" s="902"/>
      <c r="M355" s="880"/>
      <c r="N355" s="880"/>
      <c r="O355" s="880"/>
      <c r="P355" s="880"/>
      <c r="Q355" s="880"/>
      <c r="R355" s="880"/>
      <c r="S355" s="880"/>
      <c r="T355" s="880"/>
      <c r="U355" s="903">
        <v>404.80900000000003</v>
      </c>
      <c r="V355" s="1561">
        <f>U355+U357+U359+U361</f>
        <v>1630.3960000000002</v>
      </c>
      <c r="W355" s="902"/>
      <c r="X355" s="880"/>
      <c r="Y355" s="902"/>
      <c r="Z355" s="902"/>
      <c r="AA355" s="881" t="s">
        <v>2247</v>
      </c>
    </row>
    <row r="356" spans="1:27">
      <c r="A356" s="893">
        <f>A354+1</f>
        <v>176</v>
      </c>
      <c r="B356" s="900" t="s">
        <v>2206</v>
      </c>
      <c r="C356" s="880" t="s">
        <v>76</v>
      </c>
      <c r="D356" s="880"/>
      <c r="E356" s="1554"/>
      <c r="F356" s="880"/>
      <c r="G356" s="901">
        <v>532884.30900000001</v>
      </c>
      <c r="H356" s="901">
        <v>3541148.2740000002</v>
      </c>
      <c r="I356" s="892"/>
      <c r="J356" s="893">
        <f>J354+1</f>
        <v>176</v>
      </c>
      <c r="K356" s="900" t="s">
        <v>2206</v>
      </c>
      <c r="L356" s="902" t="s">
        <v>76</v>
      </c>
      <c r="M356" s="880"/>
      <c r="N356" s="880"/>
      <c r="O356" s="880"/>
      <c r="P356" s="880"/>
      <c r="Q356" s="880"/>
      <c r="R356" s="880"/>
      <c r="S356" s="880"/>
      <c r="T356" s="880"/>
      <c r="U356" s="903"/>
      <c r="V356" s="1554"/>
      <c r="W356" s="903">
        <v>247.02600000000001</v>
      </c>
      <c r="X356" s="880"/>
      <c r="Y356" s="903">
        <v>532884.30900000001</v>
      </c>
      <c r="Z356" s="903">
        <v>3541148.2740000002</v>
      </c>
      <c r="AA356" s="880"/>
    </row>
    <row r="357" spans="1:27">
      <c r="A357" s="895"/>
      <c r="B357" s="900"/>
      <c r="C357" s="880"/>
      <c r="D357" s="880">
        <v>392.738</v>
      </c>
      <c r="E357" s="1554"/>
      <c r="F357" s="880"/>
      <c r="G357" s="901"/>
      <c r="H357" s="901"/>
      <c r="I357" s="892"/>
      <c r="J357" s="895"/>
      <c r="K357" s="900"/>
      <c r="L357" s="902"/>
      <c r="M357" s="880"/>
      <c r="N357" s="880"/>
      <c r="O357" s="880"/>
      <c r="P357" s="880"/>
      <c r="Q357" s="880"/>
      <c r="R357" s="880"/>
      <c r="S357" s="880"/>
      <c r="T357" s="880"/>
      <c r="U357" s="903">
        <v>392.738</v>
      </c>
      <c r="V357" s="1554"/>
      <c r="W357" s="902"/>
      <c r="X357" s="880"/>
      <c r="Y357" s="902"/>
      <c r="Z357" s="902"/>
      <c r="AA357" s="880" t="s">
        <v>2248</v>
      </c>
    </row>
    <row r="358" spans="1:27">
      <c r="A358" s="893">
        <f>A356+1</f>
        <v>177</v>
      </c>
      <c r="B358" s="900" t="s">
        <v>2207</v>
      </c>
      <c r="C358" s="880" t="s">
        <v>76</v>
      </c>
      <c r="D358" s="880"/>
      <c r="E358" s="1554"/>
      <c r="F358" s="880"/>
      <c r="G358" s="901">
        <v>533039.94200000004</v>
      </c>
      <c r="H358" s="901">
        <v>3540787.6889999998</v>
      </c>
      <c r="I358" s="892"/>
      <c r="J358" s="893">
        <f>J356+1</f>
        <v>177</v>
      </c>
      <c r="K358" s="900" t="s">
        <v>2207</v>
      </c>
      <c r="L358" s="902" t="s">
        <v>76</v>
      </c>
      <c r="M358" s="880"/>
      <c r="N358" s="880"/>
      <c r="O358" s="880"/>
      <c r="P358" s="880"/>
      <c r="Q358" s="880"/>
      <c r="R358" s="880"/>
      <c r="S358" s="880"/>
      <c r="T358" s="880"/>
      <c r="U358" s="903"/>
      <c r="V358" s="1554"/>
      <c r="W358" s="903">
        <v>247.048</v>
      </c>
      <c r="X358" s="880"/>
      <c r="Y358" s="903">
        <v>533039.94200000004</v>
      </c>
      <c r="Z358" s="903">
        <v>3540787.6889999998</v>
      </c>
      <c r="AA358" s="880"/>
    </row>
    <row r="359" spans="1:27">
      <c r="A359" s="895"/>
      <c r="B359" s="900"/>
      <c r="C359" s="880"/>
      <c r="D359" s="880">
        <v>391.93900000000002</v>
      </c>
      <c r="E359" s="1554"/>
      <c r="F359" s="880"/>
      <c r="G359" s="901"/>
      <c r="H359" s="901"/>
      <c r="I359" s="892"/>
      <c r="J359" s="895"/>
      <c r="K359" s="900"/>
      <c r="L359" s="902"/>
      <c r="M359" s="880"/>
      <c r="N359" s="880"/>
      <c r="O359" s="880"/>
      <c r="P359" s="880"/>
      <c r="Q359" s="880"/>
      <c r="R359" s="880"/>
      <c r="S359" s="880"/>
      <c r="T359" s="880"/>
      <c r="U359" s="903">
        <v>391.93900000000002</v>
      </c>
      <c r="V359" s="1554"/>
      <c r="W359" s="902"/>
      <c r="X359" s="880"/>
      <c r="Y359" s="902"/>
      <c r="Z359" s="902"/>
      <c r="AA359" s="880" t="s">
        <v>2249</v>
      </c>
    </row>
    <row r="360" spans="1:27">
      <c r="A360" s="893">
        <f>A358+1</f>
        <v>178</v>
      </c>
      <c r="B360" s="900" t="s">
        <v>2208</v>
      </c>
      <c r="C360" s="880" t="s">
        <v>76</v>
      </c>
      <c r="D360" s="880"/>
      <c r="E360" s="1554"/>
      <c r="F360" s="880"/>
      <c r="G360" s="901">
        <v>533195.25800000003</v>
      </c>
      <c r="H360" s="901">
        <v>3540427.838</v>
      </c>
      <c r="I360" s="892"/>
      <c r="J360" s="893">
        <f>J358+1</f>
        <v>178</v>
      </c>
      <c r="K360" s="900" t="s">
        <v>2208</v>
      </c>
      <c r="L360" s="902" t="s">
        <v>76</v>
      </c>
      <c r="M360" s="880"/>
      <c r="N360" s="880"/>
      <c r="O360" s="880"/>
      <c r="P360" s="880"/>
      <c r="Q360" s="880"/>
      <c r="R360" s="880"/>
      <c r="S360" s="880"/>
      <c r="T360" s="880"/>
      <c r="U360" s="903"/>
      <c r="V360" s="1554"/>
      <c r="W360" s="903">
        <v>247.309</v>
      </c>
      <c r="X360" s="880"/>
      <c r="Y360" s="903">
        <v>533195.25899999996</v>
      </c>
      <c r="Z360" s="903">
        <v>3540427.8369999998</v>
      </c>
      <c r="AA360" s="880"/>
    </row>
    <row r="361" spans="1:27">
      <c r="A361" s="895"/>
      <c r="B361" s="900"/>
      <c r="C361" s="880"/>
      <c r="D361" s="880">
        <v>440.911</v>
      </c>
      <c r="E361" s="1554"/>
      <c r="F361" s="880"/>
      <c r="G361" s="901"/>
      <c r="H361" s="901"/>
      <c r="I361" s="892"/>
      <c r="J361" s="895"/>
      <c r="K361" s="900"/>
      <c r="L361" s="902"/>
      <c r="M361" s="880"/>
      <c r="N361" s="880"/>
      <c r="O361" s="880"/>
      <c r="P361" s="880"/>
      <c r="Q361" s="880"/>
      <c r="R361" s="880"/>
      <c r="S361" s="880"/>
      <c r="T361" s="880"/>
      <c r="U361" s="903">
        <v>440.91</v>
      </c>
      <c r="V361" s="1554"/>
      <c r="W361" s="902"/>
      <c r="X361" s="880"/>
      <c r="Y361" s="902"/>
      <c r="Z361" s="902"/>
      <c r="AA361" s="880"/>
    </row>
    <row r="362" spans="1:27">
      <c r="A362" s="893">
        <f>A360+1</f>
        <v>179</v>
      </c>
      <c r="B362" s="900" t="s">
        <v>2209</v>
      </c>
      <c r="C362" s="880" t="s">
        <v>2197</v>
      </c>
      <c r="D362" s="880"/>
      <c r="E362" s="1554"/>
      <c r="F362" s="880" t="s">
        <v>2210</v>
      </c>
      <c r="G362" s="901">
        <v>533369.98100000003</v>
      </c>
      <c r="H362" s="901">
        <v>3540023.0240000002</v>
      </c>
      <c r="I362" s="892"/>
      <c r="J362" s="893">
        <f>J360+1</f>
        <v>179</v>
      </c>
      <c r="K362" s="900" t="s">
        <v>2209</v>
      </c>
      <c r="L362" s="902" t="s">
        <v>2197</v>
      </c>
      <c r="M362" s="880">
        <v>1</v>
      </c>
      <c r="N362" s="880">
        <v>1</v>
      </c>
      <c r="O362" s="880">
        <v>1</v>
      </c>
      <c r="P362" s="880">
        <v>1</v>
      </c>
      <c r="Q362" s="880"/>
      <c r="R362" s="880"/>
      <c r="S362" s="880"/>
      <c r="T362" s="880"/>
      <c r="U362" s="903"/>
      <c r="V362" s="1554"/>
      <c r="W362" s="903">
        <v>248.95400000000001</v>
      </c>
      <c r="X362" s="880" t="s">
        <v>2250</v>
      </c>
      <c r="Y362" s="903">
        <v>533369.98100000003</v>
      </c>
      <c r="Z362" s="903">
        <v>3540023.0240000002</v>
      </c>
      <c r="AA362" s="880"/>
    </row>
    <row r="363" spans="1:27" ht="29">
      <c r="A363" s="895"/>
      <c r="B363" s="900"/>
      <c r="C363" s="880"/>
      <c r="D363" s="880">
        <v>186.01400000000001</v>
      </c>
      <c r="E363" s="1554">
        <v>186.01400000000001</v>
      </c>
      <c r="F363" s="880"/>
      <c r="G363" s="901"/>
      <c r="H363" s="901"/>
      <c r="I363" s="892"/>
      <c r="J363" s="895"/>
      <c r="K363" s="900"/>
      <c r="L363" s="902"/>
      <c r="M363" s="880"/>
      <c r="N363" s="880"/>
      <c r="O363" s="880"/>
      <c r="P363" s="880"/>
      <c r="Q363" s="880"/>
      <c r="R363" s="880"/>
      <c r="S363" s="880"/>
      <c r="T363" s="880"/>
      <c r="U363" s="903">
        <v>320.74299999999999</v>
      </c>
      <c r="V363" s="901">
        <v>320.74250000000001</v>
      </c>
      <c r="W363" s="902"/>
      <c r="X363" s="880"/>
      <c r="Y363" s="902"/>
      <c r="Z363" s="902"/>
      <c r="AA363" s="881" t="s">
        <v>2260</v>
      </c>
    </row>
    <row r="364" spans="1:27">
      <c r="A364" s="893">
        <f>A362+1</f>
        <v>180</v>
      </c>
      <c r="B364" s="900" t="s">
        <v>2211</v>
      </c>
      <c r="C364" s="880" t="s">
        <v>2212</v>
      </c>
      <c r="D364" s="880"/>
      <c r="E364" s="1554"/>
      <c r="F364" s="880" t="s">
        <v>2213</v>
      </c>
      <c r="G364" s="901">
        <v>533433.00300000003</v>
      </c>
      <c r="H364" s="901">
        <v>3539848.0109999999</v>
      </c>
      <c r="I364" s="892"/>
      <c r="J364" s="893">
        <f>J362+1</f>
        <v>180</v>
      </c>
      <c r="K364" s="900" t="s">
        <v>2211</v>
      </c>
      <c r="L364" s="902" t="s">
        <v>2212</v>
      </c>
      <c r="M364" s="880"/>
      <c r="N364" s="880"/>
      <c r="O364" s="880"/>
      <c r="P364" s="880"/>
      <c r="Q364" s="880"/>
      <c r="R364" s="880"/>
      <c r="S364" s="880"/>
      <c r="T364" s="880"/>
      <c r="U364" s="903"/>
      <c r="V364" s="880"/>
      <c r="W364" s="903">
        <v>250.76</v>
      </c>
      <c r="X364" s="880" t="s">
        <v>2251</v>
      </c>
      <c r="Y364" s="903">
        <v>533486</v>
      </c>
      <c r="Z364" s="903">
        <v>3539724</v>
      </c>
      <c r="AA364" s="880"/>
    </row>
    <row r="365" spans="1:27">
      <c r="A365" s="895"/>
      <c r="B365" s="900"/>
      <c r="C365" s="880"/>
      <c r="D365" s="880">
        <v>372.46</v>
      </c>
      <c r="E365" s="1554">
        <v>372.46</v>
      </c>
      <c r="F365" s="880"/>
      <c r="G365" s="901"/>
      <c r="H365" s="901"/>
      <c r="I365" s="892"/>
      <c r="J365" s="895"/>
      <c r="K365" s="900"/>
      <c r="L365" s="902"/>
      <c r="M365" s="880"/>
      <c r="N365" s="880"/>
      <c r="O365" s="880"/>
      <c r="P365" s="880"/>
      <c r="Q365" s="880"/>
      <c r="R365" s="880"/>
      <c r="S365" s="880"/>
      <c r="T365" s="880"/>
      <c r="U365" s="903">
        <v>242.22499999999999</v>
      </c>
      <c r="V365" s="880">
        <v>242.22499999999999</v>
      </c>
      <c r="W365" s="902"/>
      <c r="X365" s="880"/>
      <c r="Y365" s="902"/>
      <c r="Z365" s="902"/>
      <c r="AA365" s="881" t="s">
        <v>2261</v>
      </c>
    </row>
    <row r="366" spans="1:27">
      <c r="A366" s="893">
        <f>A364+1</f>
        <v>181</v>
      </c>
      <c r="B366" s="900" t="s">
        <v>2214</v>
      </c>
      <c r="C366" s="880" t="s">
        <v>1319</v>
      </c>
      <c r="D366" s="880"/>
      <c r="E366" s="1554"/>
      <c r="F366" s="880" t="s">
        <v>2215</v>
      </c>
      <c r="G366" s="901">
        <v>533679.48</v>
      </c>
      <c r="H366" s="901">
        <v>3539568.77</v>
      </c>
      <c r="I366" s="892"/>
      <c r="J366" s="893">
        <f>J364+1</f>
        <v>181</v>
      </c>
      <c r="K366" s="900" t="s">
        <v>2214</v>
      </c>
      <c r="L366" s="902" t="s">
        <v>1319</v>
      </c>
      <c r="M366" s="880"/>
      <c r="N366" s="880"/>
      <c r="O366" s="880"/>
      <c r="P366" s="880"/>
      <c r="Q366" s="880"/>
      <c r="R366" s="880"/>
      <c r="S366" s="880"/>
      <c r="T366" s="880"/>
      <c r="U366" s="903"/>
      <c r="V366" s="1554">
        <f>U367+U369</f>
        <v>839.24900000000002</v>
      </c>
      <c r="W366" s="903">
        <v>253.15</v>
      </c>
      <c r="X366" s="880" t="s">
        <v>2252</v>
      </c>
      <c r="Y366" s="903">
        <v>533678.44299999997</v>
      </c>
      <c r="Z366" s="903">
        <v>3539576.8990000002</v>
      </c>
      <c r="AA366" s="880"/>
    </row>
    <row r="367" spans="1:27">
      <c r="A367" s="895"/>
      <c r="B367" s="900"/>
      <c r="C367" s="880"/>
      <c r="D367" s="880">
        <v>378.29199999999997</v>
      </c>
      <c r="E367" s="880">
        <v>378.29199999999997</v>
      </c>
      <c r="F367" s="880"/>
      <c r="G367" s="901"/>
      <c r="H367" s="901"/>
      <c r="I367" s="892"/>
      <c r="J367" s="895"/>
      <c r="K367" s="900"/>
      <c r="L367" s="902"/>
      <c r="M367" s="880"/>
      <c r="N367" s="880"/>
      <c r="O367" s="880"/>
      <c r="P367" s="880"/>
      <c r="Q367" s="880"/>
      <c r="R367" s="880"/>
      <c r="S367" s="880"/>
      <c r="T367" s="880"/>
      <c r="U367" s="903">
        <v>380.988</v>
      </c>
      <c r="V367" s="1554"/>
      <c r="W367" s="902"/>
      <c r="X367" s="880"/>
      <c r="Y367" s="902"/>
      <c r="Z367" s="902"/>
      <c r="AA367" s="881" t="s">
        <v>2253</v>
      </c>
    </row>
    <row r="368" spans="1:27">
      <c r="A368" s="893">
        <f>A366+1</f>
        <v>182</v>
      </c>
      <c r="B368" s="900" t="s">
        <v>2216</v>
      </c>
      <c r="C368" s="880" t="s">
        <v>76</v>
      </c>
      <c r="D368" s="880"/>
      <c r="E368" s="1554">
        <f>D369+D371</f>
        <v>703.04200000000003</v>
      </c>
      <c r="F368" s="880"/>
      <c r="G368" s="901">
        <v>533707.17000000004</v>
      </c>
      <c r="H368" s="901">
        <v>3539191.4929999998</v>
      </c>
      <c r="I368" s="892"/>
      <c r="J368" s="893">
        <f>J366+1</f>
        <v>182</v>
      </c>
      <c r="K368" s="900" t="s">
        <v>2216</v>
      </c>
      <c r="L368" s="902" t="s">
        <v>76</v>
      </c>
      <c r="M368" s="880"/>
      <c r="N368" s="880"/>
      <c r="O368" s="880"/>
      <c r="P368" s="880"/>
      <c r="Q368" s="880"/>
      <c r="R368" s="880"/>
      <c r="S368" s="880"/>
      <c r="T368" s="880"/>
      <c r="U368" s="903"/>
      <c r="V368" s="1554"/>
      <c r="W368" s="903">
        <v>252.87100000000001</v>
      </c>
      <c r="X368" s="880"/>
      <c r="Y368" s="903">
        <v>533692.38199999998</v>
      </c>
      <c r="Z368" s="903">
        <v>3539196.1660000002</v>
      </c>
      <c r="AA368" s="880"/>
    </row>
    <row r="369" spans="1:27">
      <c r="A369" s="895"/>
      <c r="B369" s="900"/>
      <c r="C369" s="880"/>
      <c r="D369" s="880">
        <v>455.59500000000003</v>
      </c>
      <c r="E369" s="1554"/>
      <c r="F369" s="880"/>
      <c r="G369" s="901"/>
      <c r="H369" s="901"/>
      <c r="I369" s="892"/>
      <c r="J369" s="895"/>
      <c r="K369" s="900"/>
      <c r="L369" s="902"/>
      <c r="M369" s="880"/>
      <c r="N369" s="880"/>
      <c r="O369" s="880"/>
      <c r="P369" s="880"/>
      <c r="Q369" s="880"/>
      <c r="R369" s="880"/>
      <c r="S369" s="880"/>
      <c r="T369" s="880"/>
      <c r="U369" s="903">
        <v>458.26100000000002</v>
      </c>
      <c r="V369" s="1554"/>
      <c r="W369" s="902"/>
      <c r="X369" s="880"/>
      <c r="Y369" s="902"/>
      <c r="Z369" s="902"/>
      <c r="AA369" s="880"/>
    </row>
    <row r="370" spans="1:27">
      <c r="A370" s="893">
        <f>A368+1</f>
        <v>183</v>
      </c>
      <c r="B370" s="900" t="s">
        <v>2217</v>
      </c>
      <c r="C370" s="880" t="s">
        <v>2212</v>
      </c>
      <c r="D370" s="880"/>
      <c r="E370" s="1554"/>
      <c r="F370" s="880" t="s">
        <v>2218</v>
      </c>
      <c r="G370" s="901">
        <v>533740.51899999997</v>
      </c>
      <c r="H370" s="901">
        <v>3538737.12</v>
      </c>
      <c r="I370" s="892"/>
      <c r="J370" s="893">
        <f>J368+1</f>
        <v>183</v>
      </c>
      <c r="K370" s="900" t="s">
        <v>2217</v>
      </c>
      <c r="L370" s="902" t="s">
        <v>2212</v>
      </c>
      <c r="M370" s="880"/>
      <c r="N370" s="880"/>
      <c r="O370" s="880"/>
      <c r="P370" s="880"/>
      <c r="Q370" s="880"/>
      <c r="R370" s="880"/>
      <c r="S370" s="880"/>
      <c r="T370" s="880"/>
      <c r="U370" s="903"/>
      <c r="V370" s="1554"/>
      <c r="W370" s="903">
        <v>252.38499999999999</v>
      </c>
      <c r="X370" s="880" t="s">
        <v>2254</v>
      </c>
      <c r="Y370" s="903">
        <v>533709.14800000004</v>
      </c>
      <c r="Z370" s="903">
        <v>3538738.2119999998</v>
      </c>
      <c r="AA370" s="880"/>
    </row>
    <row r="371" spans="1:27" ht="29">
      <c r="A371" s="895"/>
      <c r="B371" s="900"/>
      <c r="C371" s="880"/>
      <c r="D371" s="880">
        <v>247.447</v>
      </c>
      <c r="E371" s="1554"/>
      <c r="F371" s="880"/>
      <c r="G371" s="901"/>
      <c r="H371" s="901"/>
      <c r="I371" s="892"/>
      <c r="J371" s="895"/>
      <c r="K371" s="900"/>
      <c r="L371" s="902"/>
      <c r="M371" s="880"/>
      <c r="N371" s="880"/>
      <c r="O371" s="880"/>
      <c r="P371" s="880"/>
      <c r="Q371" s="880"/>
      <c r="R371" s="880"/>
      <c r="S371" s="880"/>
      <c r="T371" s="880"/>
      <c r="U371" s="903">
        <v>242.66300000000001</v>
      </c>
      <c r="V371" s="880">
        <v>242.66300000000001</v>
      </c>
      <c r="W371" s="902"/>
      <c r="X371" s="880"/>
      <c r="Y371" s="902"/>
      <c r="Z371" s="902"/>
      <c r="AA371" s="881" t="s">
        <v>2262</v>
      </c>
    </row>
    <row r="372" spans="1:27">
      <c r="A372" s="893">
        <f>A370+1</f>
        <v>184</v>
      </c>
      <c r="B372" s="900" t="s">
        <v>2219</v>
      </c>
      <c r="C372" s="880" t="s">
        <v>2212</v>
      </c>
      <c r="D372" s="880"/>
      <c r="E372" s="880"/>
      <c r="F372" s="880" t="s">
        <v>2220</v>
      </c>
      <c r="G372" s="901">
        <v>533893.99100000004</v>
      </c>
      <c r="H372" s="901">
        <v>3538543.0159999998</v>
      </c>
      <c r="I372" s="892"/>
      <c r="J372" s="893">
        <f>J370+1</f>
        <v>184</v>
      </c>
      <c r="K372" s="900" t="s">
        <v>2219</v>
      </c>
      <c r="L372" s="902" t="s">
        <v>1995</v>
      </c>
      <c r="M372" s="880"/>
      <c r="N372" s="880"/>
      <c r="O372" s="880"/>
      <c r="P372" s="880"/>
      <c r="Q372" s="880"/>
      <c r="R372" s="880"/>
      <c r="S372" s="880"/>
      <c r="T372" s="880"/>
      <c r="U372" s="903"/>
      <c r="V372" s="1554">
        <f>U373+U375+U377</f>
        <v>1149.152</v>
      </c>
      <c r="W372" s="903">
        <v>252.47300000000001</v>
      </c>
      <c r="X372" s="880" t="s">
        <v>2255</v>
      </c>
      <c r="Y372" s="903">
        <v>533887.87399999995</v>
      </c>
      <c r="Z372" s="903">
        <v>3538574.071</v>
      </c>
      <c r="AA372" s="880"/>
    </row>
    <row r="373" spans="1:27">
      <c r="A373" s="895"/>
      <c r="B373" s="900"/>
      <c r="C373" s="880"/>
      <c r="D373" s="880">
        <v>376.60700000000003</v>
      </c>
      <c r="E373" s="1554">
        <f>D373+D375+D377</f>
        <v>1117.502</v>
      </c>
      <c r="F373" s="880"/>
      <c r="G373" s="901"/>
      <c r="H373" s="901"/>
      <c r="I373" s="892"/>
      <c r="J373" s="895"/>
      <c r="K373" s="900"/>
      <c r="L373" s="902"/>
      <c r="M373" s="880"/>
      <c r="N373" s="880"/>
      <c r="O373" s="880"/>
      <c r="P373" s="880"/>
      <c r="Q373" s="880"/>
      <c r="R373" s="880"/>
      <c r="S373" s="880"/>
      <c r="T373" s="880"/>
      <c r="U373" s="903">
        <v>408.25799999999998</v>
      </c>
      <c r="V373" s="1554"/>
      <c r="W373" s="902"/>
      <c r="X373" s="880"/>
      <c r="Y373" s="902"/>
      <c r="Z373" s="902"/>
      <c r="AA373" s="880" t="s">
        <v>2256</v>
      </c>
    </row>
    <row r="374" spans="1:27">
      <c r="A374" s="893">
        <f>A372+1</f>
        <v>185</v>
      </c>
      <c r="B374" s="900" t="s">
        <v>2221</v>
      </c>
      <c r="C374" s="880" t="s">
        <v>76</v>
      </c>
      <c r="D374" s="880"/>
      <c r="E374" s="1554"/>
      <c r="F374" s="880"/>
      <c r="G374" s="901">
        <v>533963.11300000001</v>
      </c>
      <c r="H374" s="901">
        <v>3538172.807</v>
      </c>
      <c r="I374" s="892"/>
      <c r="J374" s="893">
        <f>J372+1</f>
        <v>185</v>
      </c>
      <c r="K374" s="900" t="s">
        <v>2221</v>
      </c>
      <c r="L374" s="902" t="s">
        <v>76</v>
      </c>
      <c r="M374" s="880"/>
      <c r="N374" s="880"/>
      <c r="O374" s="880"/>
      <c r="P374" s="880"/>
      <c r="Q374" s="880"/>
      <c r="R374" s="880"/>
      <c r="S374" s="880"/>
      <c r="T374" s="880"/>
      <c r="U374" s="903"/>
      <c r="V374" s="1554"/>
      <c r="W374" s="903">
        <v>252.708</v>
      </c>
      <c r="X374" s="880"/>
      <c r="Y374" s="903">
        <v>533962.91399999999</v>
      </c>
      <c r="Z374" s="903">
        <v>3538172.7689999999</v>
      </c>
      <c r="AA374" s="880"/>
    </row>
    <row r="375" spans="1:27">
      <c r="A375" s="895"/>
      <c r="B375" s="900"/>
      <c r="C375" s="880"/>
      <c r="D375" s="880">
        <v>342.47699999999998</v>
      </c>
      <c r="E375" s="1554"/>
      <c r="F375" s="880"/>
      <c r="G375" s="901"/>
      <c r="H375" s="901"/>
      <c r="I375" s="892"/>
      <c r="J375" s="895"/>
      <c r="K375" s="900"/>
      <c r="L375" s="902"/>
      <c r="M375" s="880"/>
      <c r="N375" s="880"/>
      <c r="O375" s="880"/>
      <c r="P375" s="880"/>
      <c r="Q375" s="880"/>
      <c r="R375" s="880"/>
      <c r="S375" s="880"/>
      <c r="T375" s="880"/>
      <c r="U375" s="903">
        <v>342.476</v>
      </c>
      <c r="V375" s="1554"/>
      <c r="W375" s="902"/>
      <c r="X375" s="880"/>
      <c r="Y375" s="902"/>
      <c r="Z375" s="902"/>
      <c r="AA375" s="880" t="s">
        <v>2257</v>
      </c>
    </row>
    <row r="376" spans="1:27">
      <c r="A376" s="893">
        <f>A374+1</f>
        <v>186</v>
      </c>
      <c r="B376" s="900" t="s">
        <v>2222</v>
      </c>
      <c r="C376" s="880" t="s">
        <v>76</v>
      </c>
      <c r="D376" s="880"/>
      <c r="E376" s="1554"/>
      <c r="F376" s="880"/>
      <c r="G376" s="901">
        <v>534025.97</v>
      </c>
      <c r="H376" s="901">
        <v>3537836.148</v>
      </c>
      <c r="I376" s="892"/>
      <c r="J376" s="893">
        <f>J374+1</f>
        <v>186</v>
      </c>
      <c r="K376" s="900" t="s">
        <v>2222</v>
      </c>
      <c r="L376" s="902" t="s">
        <v>76</v>
      </c>
      <c r="M376" s="880"/>
      <c r="N376" s="880"/>
      <c r="O376" s="880"/>
      <c r="P376" s="880"/>
      <c r="Q376" s="880"/>
      <c r="R376" s="880"/>
      <c r="S376" s="880"/>
      <c r="T376" s="880"/>
      <c r="U376" s="903"/>
      <c r="V376" s="1554"/>
      <c r="W376" s="903">
        <v>252.36500000000001</v>
      </c>
      <c r="X376" s="880"/>
      <c r="Y376" s="903">
        <v>534025.86300000001</v>
      </c>
      <c r="Z376" s="903">
        <v>3537836.128</v>
      </c>
      <c r="AA376" s="880"/>
    </row>
    <row r="377" spans="1:27">
      <c r="A377" s="895"/>
      <c r="B377" s="900"/>
      <c r="C377" s="880"/>
      <c r="D377" s="880">
        <v>398.41800000000001</v>
      </c>
      <c r="E377" s="1554"/>
      <c r="F377" s="880"/>
      <c r="G377" s="901"/>
      <c r="H377" s="901"/>
      <c r="I377" s="892"/>
      <c r="J377" s="895"/>
      <c r="K377" s="900"/>
      <c r="L377" s="902"/>
      <c r="M377" s="880"/>
      <c r="N377" s="880"/>
      <c r="O377" s="880"/>
      <c r="P377" s="880"/>
      <c r="Q377" s="880"/>
      <c r="R377" s="880"/>
      <c r="S377" s="880"/>
      <c r="T377" s="880"/>
      <c r="U377" s="903">
        <v>398.41800000000001</v>
      </c>
      <c r="V377" s="1554"/>
      <c r="W377" s="902"/>
      <c r="X377" s="880"/>
      <c r="Y377" s="902"/>
      <c r="Z377" s="902"/>
      <c r="AA377" s="880"/>
    </row>
    <row r="378" spans="1:27">
      <c r="A378" s="893">
        <f>A376+1</f>
        <v>187</v>
      </c>
      <c r="B378" s="900" t="s">
        <v>2223</v>
      </c>
      <c r="C378" s="880" t="s">
        <v>2197</v>
      </c>
      <c r="D378" s="789"/>
      <c r="E378" s="1554"/>
      <c r="F378" s="880" t="s">
        <v>2224</v>
      </c>
      <c r="G378" s="901">
        <v>534099.09499999997</v>
      </c>
      <c r="H378" s="901">
        <v>3537444.4980000001</v>
      </c>
      <c r="I378" s="892"/>
      <c r="J378" s="893">
        <f>J376+1</f>
        <v>187</v>
      </c>
      <c r="K378" s="900" t="s">
        <v>2223</v>
      </c>
      <c r="L378" s="902" t="s">
        <v>2197</v>
      </c>
      <c r="M378" s="880"/>
      <c r="N378" s="880"/>
      <c r="O378" s="880"/>
      <c r="P378" s="880"/>
      <c r="Q378" s="880"/>
      <c r="R378" s="880"/>
      <c r="S378" s="880"/>
      <c r="T378" s="880"/>
      <c r="U378" s="903"/>
      <c r="V378" s="1554"/>
      <c r="W378" s="903">
        <v>251.542</v>
      </c>
      <c r="X378" s="880" t="s">
        <v>2258</v>
      </c>
      <c r="Y378" s="903">
        <v>534099.09499999997</v>
      </c>
      <c r="Z378" s="903">
        <v>3537444.4980000001</v>
      </c>
      <c r="AA378" s="880"/>
    </row>
    <row r="379" spans="1:27">
      <c r="A379" s="895"/>
      <c r="B379" s="900"/>
      <c r="C379" s="880"/>
      <c r="D379" s="880">
        <v>251.51599999999999</v>
      </c>
      <c r="E379" s="1554">
        <v>251.51599999999999</v>
      </c>
      <c r="F379" s="880"/>
      <c r="G379" s="901"/>
      <c r="H379" s="901"/>
      <c r="I379" s="892"/>
      <c r="J379" s="895"/>
      <c r="K379" s="900"/>
      <c r="L379" s="902"/>
      <c r="M379" s="880"/>
      <c r="N379" s="880"/>
      <c r="O379" s="880"/>
      <c r="P379" s="880"/>
      <c r="Q379" s="880"/>
      <c r="R379" s="880"/>
      <c r="S379" s="880"/>
      <c r="T379" s="880"/>
      <c r="U379" s="901">
        <v>251.51599999999999</v>
      </c>
      <c r="V379" s="1554">
        <f>U379</f>
        <v>251.51599999999999</v>
      </c>
      <c r="W379" s="902"/>
      <c r="X379" s="880"/>
      <c r="Y379" s="902"/>
      <c r="Z379" s="902"/>
      <c r="AA379" s="881" t="s">
        <v>2263</v>
      </c>
    </row>
    <row r="380" spans="1:27">
      <c r="A380" s="893">
        <f>A378+1</f>
        <v>188</v>
      </c>
      <c r="B380" s="900" t="s">
        <v>2225</v>
      </c>
      <c r="C380" s="880" t="s">
        <v>2197</v>
      </c>
      <c r="D380" s="880"/>
      <c r="E380" s="1554"/>
      <c r="F380" s="880" t="s">
        <v>2226</v>
      </c>
      <c r="G380" s="901">
        <v>534147.81200000003</v>
      </c>
      <c r="H380" s="901">
        <v>3537197.7450000001</v>
      </c>
      <c r="I380" s="892"/>
      <c r="J380" s="893">
        <f>J378+1</f>
        <v>188</v>
      </c>
      <c r="K380" s="900" t="s">
        <v>2304</v>
      </c>
      <c r="L380" s="880" t="s">
        <v>2197</v>
      </c>
      <c r="M380" s="880"/>
      <c r="N380" s="880"/>
      <c r="O380" s="880"/>
      <c r="P380" s="880"/>
      <c r="Q380" s="880"/>
      <c r="R380" s="880"/>
      <c r="S380" s="880"/>
      <c r="T380" s="880"/>
      <c r="U380" s="901"/>
      <c r="V380" s="1554"/>
      <c r="W380" s="903">
        <v>251.39400000000001</v>
      </c>
      <c r="X380" s="880" t="s">
        <v>2305</v>
      </c>
      <c r="Y380" s="903">
        <v>534147.81200000003</v>
      </c>
      <c r="Z380" s="903">
        <v>3537197.7450000001</v>
      </c>
      <c r="AA380" s="880"/>
    </row>
    <row r="381" spans="1:27">
      <c r="A381" s="895"/>
      <c r="B381" s="895"/>
      <c r="C381" s="897"/>
      <c r="D381" s="907">
        <v>430.21300000000002</v>
      </c>
      <c r="E381" s="1554">
        <v>430.21300000000002</v>
      </c>
      <c r="F381" s="895"/>
      <c r="G381" s="895"/>
      <c r="H381" s="895"/>
      <c r="I381" s="892"/>
      <c r="J381" s="895"/>
      <c r="K381" s="895"/>
      <c r="L381" s="895"/>
      <c r="M381" s="895"/>
      <c r="N381" s="895"/>
      <c r="O381" s="895"/>
      <c r="P381" s="895"/>
      <c r="Q381" s="895"/>
      <c r="R381" s="895"/>
      <c r="S381" s="895"/>
      <c r="T381" s="895"/>
      <c r="U381" s="901">
        <v>445.12599999999998</v>
      </c>
      <c r="V381" s="1559">
        <f>U381</f>
        <v>445.12599999999998</v>
      </c>
      <c r="W381" s="895"/>
      <c r="X381" s="895"/>
      <c r="Y381" s="895"/>
      <c r="Z381" s="895"/>
      <c r="AA381" s="908" t="s">
        <v>2317</v>
      </c>
    </row>
    <row r="382" spans="1:27" ht="14.5" customHeight="1">
      <c r="A382" s="893">
        <f>A380+1</f>
        <v>189</v>
      </c>
      <c r="B382" s="900" t="s">
        <v>2265</v>
      </c>
      <c r="C382" s="880" t="s">
        <v>1269</v>
      </c>
      <c r="D382" s="897"/>
      <c r="E382" s="1554"/>
      <c r="F382" s="880" t="s">
        <v>2264</v>
      </c>
      <c r="G382" s="901">
        <v>534211.07999999996</v>
      </c>
      <c r="H382" s="901">
        <v>3536772.21</v>
      </c>
      <c r="I382" s="892"/>
      <c r="J382" s="893">
        <f>J380+1</f>
        <v>189</v>
      </c>
      <c r="K382" s="900" t="s">
        <v>2265</v>
      </c>
      <c r="L382" s="880" t="s">
        <v>1269</v>
      </c>
      <c r="M382" s="895"/>
      <c r="N382" s="895"/>
      <c r="O382" s="895"/>
      <c r="P382" s="895"/>
      <c r="Q382" s="895"/>
      <c r="R382" s="895"/>
      <c r="S382" s="895"/>
      <c r="T382" s="895"/>
      <c r="U382" s="901"/>
      <c r="V382" s="1560"/>
      <c r="W382" s="903">
        <v>248.76</v>
      </c>
      <c r="X382" s="880" t="s">
        <v>2307</v>
      </c>
      <c r="Y382" s="901">
        <v>534209.72400000005</v>
      </c>
      <c r="Z382" s="901">
        <v>3536756.9449999998</v>
      </c>
      <c r="AA382" s="909"/>
    </row>
    <row r="383" spans="1:27" ht="14.5" customHeight="1">
      <c r="A383" s="895"/>
      <c r="B383" s="880"/>
      <c r="C383" s="880"/>
      <c r="D383" s="907">
        <v>413.16800000000001</v>
      </c>
      <c r="E383" s="1554">
        <f>D383+D385</f>
        <v>834.25800000000004</v>
      </c>
      <c r="F383" s="880"/>
      <c r="G383" s="901"/>
      <c r="H383" s="901"/>
      <c r="I383" s="892"/>
      <c r="J383" s="895"/>
      <c r="K383" s="880"/>
      <c r="L383" s="880"/>
      <c r="M383" s="895"/>
      <c r="N383" s="895"/>
      <c r="O383" s="895"/>
      <c r="P383" s="895"/>
      <c r="Q383" s="895"/>
      <c r="R383" s="895"/>
      <c r="S383" s="895"/>
      <c r="T383" s="895"/>
      <c r="U383" s="901">
        <v>418.77699999999999</v>
      </c>
      <c r="V383" s="1554">
        <f>SUM(U383:U385)</f>
        <v>838.553</v>
      </c>
      <c r="W383" s="903"/>
      <c r="X383" s="880"/>
      <c r="Y383" s="901"/>
      <c r="Z383" s="901"/>
      <c r="AA383" s="908" t="s">
        <v>2318</v>
      </c>
    </row>
    <row r="384" spans="1:27">
      <c r="A384" s="893">
        <f>A382+1</f>
        <v>190</v>
      </c>
      <c r="B384" s="900" t="s">
        <v>2266</v>
      </c>
      <c r="C384" s="880" t="s">
        <v>53</v>
      </c>
      <c r="D384" s="880"/>
      <c r="E384" s="1554"/>
      <c r="F384" s="880"/>
      <c r="G384" s="901">
        <v>534252.37399999995</v>
      </c>
      <c r="H384" s="901">
        <v>3536361.111</v>
      </c>
      <c r="I384" s="892"/>
      <c r="J384" s="893">
        <f>J382+1</f>
        <v>190</v>
      </c>
      <c r="K384" s="900" t="s">
        <v>2266</v>
      </c>
      <c r="L384" s="880" t="s">
        <v>53</v>
      </c>
      <c r="M384" s="895"/>
      <c r="N384" s="895"/>
      <c r="O384" s="895"/>
      <c r="P384" s="895"/>
      <c r="Q384" s="895"/>
      <c r="R384" s="895"/>
      <c r="S384" s="895"/>
      <c r="T384" s="895"/>
      <c r="U384" s="901"/>
      <c r="V384" s="1554"/>
      <c r="W384" s="903">
        <v>249.17099999999999</v>
      </c>
      <c r="X384" s="880"/>
      <c r="Y384" s="901">
        <v>534255.59499999997</v>
      </c>
      <c r="Z384" s="901">
        <v>3536340.6889999998</v>
      </c>
      <c r="AA384" s="909"/>
    </row>
    <row r="385" spans="1:27">
      <c r="A385" s="895"/>
      <c r="B385" s="880"/>
      <c r="C385" s="880"/>
      <c r="D385" s="907">
        <v>421.09</v>
      </c>
      <c r="E385" s="1554"/>
      <c r="F385" s="880"/>
      <c r="G385" s="901"/>
      <c r="H385" s="901"/>
      <c r="I385" s="892"/>
      <c r="J385" s="895"/>
      <c r="K385" s="880"/>
      <c r="L385" s="880"/>
      <c r="M385" s="895"/>
      <c r="N385" s="895"/>
      <c r="O385" s="895"/>
      <c r="P385" s="895"/>
      <c r="Q385" s="895"/>
      <c r="R385" s="895"/>
      <c r="S385" s="895"/>
      <c r="T385" s="895"/>
      <c r="U385" s="901">
        <v>419.77600000000001</v>
      </c>
      <c r="V385" s="1554"/>
      <c r="W385" s="903"/>
      <c r="X385" s="880"/>
      <c r="Y385" s="901"/>
      <c r="Z385" s="901"/>
      <c r="AA385" s="908" t="s">
        <v>2319</v>
      </c>
    </row>
    <row r="386" spans="1:27">
      <c r="A386" s="893">
        <f>A384+1</f>
        <v>191</v>
      </c>
      <c r="B386" s="900" t="s">
        <v>2267</v>
      </c>
      <c r="C386" s="880" t="s">
        <v>1277</v>
      </c>
      <c r="D386" s="880"/>
      <c r="E386" s="1554">
        <f>D387+D389</f>
        <v>835.173</v>
      </c>
      <c r="F386" s="880" t="s">
        <v>2268</v>
      </c>
      <c r="G386" s="901">
        <v>534294.46</v>
      </c>
      <c r="H386" s="901">
        <v>3535942.13</v>
      </c>
      <c r="I386" s="892"/>
      <c r="J386" s="893">
        <f>J384+1</f>
        <v>191</v>
      </c>
      <c r="K386" s="900" t="s">
        <v>2267</v>
      </c>
      <c r="L386" s="880" t="s">
        <v>1277</v>
      </c>
      <c r="M386" s="895"/>
      <c r="N386" s="895"/>
      <c r="O386" s="895"/>
      <c r="P386" s="895"/>
      <c r="Q386" s="895"/>
      <c r="R386" s="895"/>
      <c r="S386" s="895"/>
      <c r="T386" s="895"/>
      <c r="U386" s="901"/>
      <c r="V386" s="1554">
        <f>SUM(U386:U390)</f>
        <v>836.76400000000001</v>
      </c>
      <c r="W386" s="903">
        <v>248.58</v>
      </c>
      <c r="X386" s="880" t="s">
        <v>2308</v>
      </c>
      <c r="Y386" s="901">
        <v>534301.576</v>
      </c>
      <c r="Z386" s="901">
        <v>3535923.4389999998</v>
      </c>
      <c r="AA386" s="909"/>
    </row>
    <row r="387" spans="1:27">
      <c r="A387" s="895"/>
      <c r="B387" s="880"/>
      <c r="C387" s="880"/>
      <c r="D387" s="907">
        <v>400.63200000000001</v>
      </c>
      <c r="E387" s="1554"/>
      <c r="F387" s="880"/>
      <c r="G387" s="901"/>
      <c r="H387" s="901"/>
      <c r="I387" s="892"/>
      <c r="J387" s="895"/>
      <c r="K387" s="880"/>
      <c r="L387" s="880"/>
      <c r="M387" s="895"/>
      <c r="N387" s="895"/>
      <c r="O387" s="895"/>
      <c r="P387" s="895"/>
      <c r="Q387" s="895"/>
      <c r="R387" s="895"/>
      <c r="S387" s="895"/>
      <c r="T387" s="895"/>
      <c r="U387" s="901">
        <v>404.589</v>
      </c>
      <c r="V387" s="1554"/>
      <c r="W387" s="903"/>
      <c r="X387" s="880"/>
      <c r="Y387" s="901"/>
      <c r="Z387" s="901"/>
      <c r="AA387" s="908" t="s">
        <v>2320</v>
      </c>
    </row>
    <row r="388" spans="1:27">
      <c r="A388" s="893">
        <f>A386+1</f>
        <v>192</v>
      </c>
      <c r="B388" s="900" t="s">
        <v>2269</v>
      </c>
      <c r="C388" s="880" t="s">
        <v>62</v>
      </c>
      <c r="D388" s="880"/>
      <c r="E388" s="1554"/>
      <c r="F388" s="880"/>
      <c r="G388" s="901">
        <v>534437.00100000005</v>
      </c>
      <c r="H388" s="901">
        <v>3535567.7119999998</v>
      </c>
      <c r="I388" s="892"/>
      <c r="J388" s="893">
        <f>J386+1</f>
        <v>192</v>
      </c>
      <c r="K388" s="900" t="s">
        <v>2269</v>
      </c>
      <c r="L388" s="880" t="s">
        <v>62</v>
      </c>
      <c r="M388" s="895"/>
      <c r="N388" s="895"/>
      <c r="O388" s="895"/>
      <c r="P388" s="895"/>
      <c r="Q388" s="895"/>
      <c r="R388" s="895"/>
      <c r="S388" s="895"/>
      <c r="T388" s="895"/>
      <c r="U388" s="901"/>
      <c r="V388" s="1554"/>
      <c r="W388" s="903">
        <v>247.86799999999999</v>
      </c>
      <c r="X388" s="880"/>
      <c r="Y388" s="901">
        <v>534443.89800000004</v>
      </c>
      <c r="Z388" s="901">
        <v>3535544.7080000001</v>
      </c>
      <c r="AA388" s="909"/>
    </row>
    <row r="389" spans="1:27">
      <c r="A389" s="895"/>
      <c r="B389" s="880"/>
      <c r="C389" s="880"/>
      <c r="D389" s="907">
        <v>434.541</v>
      </c>
      <c r="E389" s="1554"/>
      <c r="F389" s="880"/>
      <c r="G389" s="901"/>
      <c r="H389" s="901"/>
      <c r="I389" s="892"/>
      <c r="J389" s="895"/>
      <c r="K389" s="880"/>
      <c r="L389" s="880"/>
      <c r="M389" s="895"/>
      <c r="N389" s="895"/>
      <c r="O389" s="895"/>
      <c r="P389" s="895"/>
      <c r="Q389" s="895"/>
      <c r="R389" s="895"/>
      <c r="S389" s="895"/>
      <c r="T389" s="895"/>
      <c r="U389" s="901">
        <v>432.17500000000001</v>
      </c>
      <c r="V389" s="1554"/>
      <c r="W389" s="903"/>
      <c r="X389" s="880"/>
      <c r="Y389" s="901"/>
      <c r="Z389" s="901"/>
      <c r="AA389" s="909" t="s">
        <v>2321</v>
      </c>
    </row>
    <row r="390" spans="1:27">
      <c r="A390" s="893">
        <f>A388+1</f>
        <v>193</v>
      </c>
      <c r="B390" s="900" t="s">
        <v>2270</v>
      </c>
      <c r="C390" s="880" t="s">
        <v>1977</v>
      </c>
      <c r="D390" s="880"/>
      <c r="E390" s="1554"/>
      <c r="F390" s="880" t="s">
        <v>2271</v>
      </c>
      <c r="G390" s="901">
        <v>534591.60600000003</v>
      </c>
      <c r="H390" s="901">
        <v>3535161.605</v>
      </c>
      <c r="I390" s="892"/>
      <c r="J390" s="893">
        <f>J388+1</f>
        <v>193</v>
      </c>
      <c r="K390" s="900" t="s">
        <v>2270</v>
      </c>
      <c r="L390" s="880" t="s">
        <v>1977</v>
      </c>
      <c r="M390" s="895"/>
      <c r="N390" s="895"/>
      <c r="O390" s="895"/>
      <c r="P390" s="895"/>
      <c r="Q390" s="895"/>
      <c r="R390" s="895"/>
      <c r="S390" s="895"/>
      <c r="T390" s="895"/>
      <c r="U390" s="901"/>
      <c r="V390" s="1554"/>
      <c r="W390" s="903">
        <v>247.57300000000001</v>
      </c>
      <c r="X390" s="880" t="s">
        <v>2309</v>
      </c>
      <c r="Y390" s="901">
        <v>534595.924</v>
      </c>
      <c r="Z390" s="901">
        <v>3535140.1549999998</v>
      </c>
      <c r="AA390" s="909"/>
    </row>
    <row r="391" spans="1:27">
      <c r="A391" s="895"/>
      <c r="B391" s="880"/>
      <c r="C391" s="880"/>
      <c r="D391" s="907">
        <v>384.78199999999998</v>
      </c>
      <c r="E391" s="1554">
        <f>D391+D393+D395</f>
        <v>1209.7159999999999</v>
      </c>
      <c r="F391" s="880"/>
      <c r="G391" s="901"/>
      <c r="H391" s="901"/>
      <c r="I391" s="892"/>
      <c r="J391" s="895"/>
      <c r="K391" s="880"/>
      <c r="L391" s="880"/>
      <c r="M391" s="895"/>
      <c r="N391" s="895"/>
      <c r="O391" s="895"/>
      <c r="P391" s="895"/>
      <c r="Q391" s="895"/>
      <c r="R391" s="895"/>
      <c r="S391" s="895"/>
      <c r="T391" s="895"/>
      <c r="U391" s="901">
        <v>383.24900000000002</v>
      </c>
      <c r="V391" s="1554">
        <f>SUM(U391:U396)</f>
        <v>1185.42</v>
      </c>
      <c r="W391" s="903"/>
      <c r="X391" s="880"/>
      <c r="Y391" s="880"/>
      <c r="Z391" s="880"/>
      <c r="AA391" s="909" t="s">
        <v>2322</v>
      </c>
    </row>
    <row r="392" spans="1:27">
      <c r="A392" s="893">
        <f>A390+1</f>
        <v>194</v>
      </c>
      <c r="B392" s="900" t="s">
        <v>2272</v>
      </c>
      <c r="C392" s="880" t="s">
        <v>62</v>
      </c>
      <c r="D392" s="880"/>
      <c r="E392" s="1554"/>
      <c r="F392" s="902"/>
      <c r="G392" s="901">
        <v>534667.54799999995</v>
      </c>
      <c r="H392" s="901">
        <v>3534784.392</v>
      </c>
      <c r="I392" s="892"/>
      <c r="J392" s="893">
        <f>J390+1</f>
        <v>194</v>
      </c>
      <c r="K392" s="900" t="s">
        <v>2272</v>
      </c>
      <c r="L392" s="880" t="s">
        <v>62</v>
      </c>
      <c r="M392" s="895"/>
      <c r="N392" s="895"/>
      <c r="O392" s="895"/>
      <c r="P392" s="895"/>
      <c r="Q392" s="895"/>
      <c r="R392" s="895"/>
      <c r="S392" s="895"/>
      <c r="T392" s="895"/>
      <c r="U392" s="901"/>
      <c r="V392" s="1554"/>
      <c r="W392" s="903">
        <v>259.11</v>
      </c>
      <c r="X392" s="880"/>
      <c r="Y392" s="901">
        <v>534673.47</v>
      </c>
      <c r="Z392" s="901">
        <v>3534764.8330000001</v>
      </c>
      <c r="AA392" s="909"/>
    </row>
    <row r="393" spans="1:27">
      <c r="A393" s="895"/>
      <c r="B393" s="880"/>
      <c r="C393" s="880"/>
      <c r="D393" s="907">
        <v>376.64499999999998</v>
      </c>
      <c r="E393" s="1554"/>
      <c r="F393" s="880"/>
      <c r="G393" s="901"/>
      <c r="H393" s="901"/>
      <c r="I393" s="892"/>
      <c r="J393" s="895"/>
      <c r="K393" s="880"/>
      <c r="L393" s="880"/>
      <c r="M393" s="895"/>
      <c r="N393" s="895"/>
      <c r="O393" s="895"/>
      <c r="P393" s="895"/>
      <c r="Q393" s="895"/>
      <c r="R393" s="895"/>
      <c r="S393" s="895"/>
      <c r="T393" s="895"/>
      <c r="U393" s="901">
        <v>382.084</v>
      </c>
      <c r="V393" s="1554"/>
      <c r="W393" s="903"/>
      <c r="X393" s="880"/>
      <c r="Y393" s="880"/>
      <c r="Z393" s="880"/>
      <c r="AA393" s="908" t="s">
        <v>2323</v>
      </c>
    </row>
    <row r="394" spans="1:27">
      <c r="A394" s="893">
        <f>A392+1</f>
        <v>195</v>
      </c>
      <c r="B394" s="900" t="s">
        <v>2273</v>
      </c>
      <c r="C394" s="880" t="s">
        <v>62</v>
      </c>
      <c r="D394" s="880"/>
      <c r="E394" s="1554"/>
      <c r="F394" s="880"/>
      <c r="G394" s="901">
        <v>534741.88399999996</v>
      </c>
      <c r="H394" s="901">
        <v>3534415.1549999998</v>
      </c>
      <c r="I394" s="892"/>
      <c r="J394" s="893">
        <f>J392+1</f>
        <v>195</v>
      </c>
      <c r="K394" s="900" t="s">
        <v>2273</v>
      </c>
      <c r="L394" s="880" t="s">
        <v>62</v>
      </c>
      <c r="M394" s="895"/>
      <c r="N394" s="895"/>
      <c r="O394" s="895"/>
      <c r="P394" s="895"/>
      <c r="Q394" s="895"/>
      <c r="R394" s="895"/>
      <c r="S394" s="895"/>
      <c r="T394" s="895"/>
      <c r="U394" s="901"/>
      <c r="V394" s="1554"/>
      <c r="W394" s="903">
        <v>259.08699999999999</v>
      </c>
      <c r="X394" s="880"/>
      <c r="Y394" s="901">
        <v>534750.78</v>
      </c>
      <c r="Z394" s="901">
        <v>3534390.6519999998</v>
      </c>
      <c r="AA394" s="909"/>
    </row>
    <row r="395" spans="1:27">
      <c r="A395" s="895"/>
      <c r="B395" s="880"/>
      <c r="C395" s="880"/>
      <c r="D395" s="907">
        <v>448.28899999999999</v>
      </c>
      <c r="E395" s="1554"/>
      <c r="F395" s="880"/>
      <c r="G395" s="901"/>
      <c r="H395" s="901"/>
      <c r="I395" s="892"/>
      <c r="J395" s="895"/>
      <c r="K395" s="880"/>
      <c r="L395" s="880"/>
      <c r="M395" s="895"/>
      <c r="N395" s="895"/>
      <c r="O395" s="895"/>
      <c r="P395" s="895"/>
      <c r="Q395" s="895"/>
      <c r="R395" s="895"/>
      <c r="S395" s="895"/>
      <c r="T395" s="895"/>
      <c r="U395" s="901">
        <v>420.08699999999999</v>
      </c>
      <c r="V395" s="1554"/>
      <c r="W395" s="903"/>
      <c r="X395" s="880"/>
      <c r="Y395" s="880"/>
      <c r="Z395" s="880"/>
      <c r="AA395" s="908" t="s">
        <v>2324</v>
      </c>
    </row>
    <row r="396" spans="1:27">
      <c r="A396" s="893">
        <f>A394+1</f>
        <v>196</v>
      </c>
      <c r="B396" s="900" t="s">
        <v>2274</v>
      </c>
      <c r="C396" s="880" t="s">
        <v>2197</v>
      </c>
      <c r="D396" s="880"/>
      <c r="E396" s="1554"/>
      <c r="F396" s="880" t="s">
        <v>2275</v>
      </c>
      <c r="G396" s="901">
        <v>534830.36</v>
      </c>
      <c r="H396" s="901">
        <v>3533975.6839999999</v>
      </c>
      <c r="I396" s="892"/>
      <c r="J396" s="893">
        <f>J394+1</f>
        <v>196</v>
      </c>
      <c r="K396" s="900" t="s">
        <v>2274</v>
      </c>
      <c r="L396" s="880" t="s">
        <v>2197</v>
      </c>
      <c r="M396" s="895"/>
      <c r="N396" s="895"/>
      <c r="O396" s="895"/>
      <c r="P396" s="895"/>
      <c r="Q396" s="895"/>
      <c r="R396" s="895"/>
      <c r="S396" s="895"/>
      <c r="T396" s="895"/>
      <c r="U396" s="901"/>
      <c r="V396" s="1554"/>
      <c r="W396" s="903">
        <v>259.185</v>
      </c>
      <c r="X396" s="880" t="s">
        <v>2310</v>
      </c>
      <c r="Y396" s="901">
        <v>534835.77899999998</v>
      </c>
      <c r="Z396" s="901">
        <v>3533979.2540000002</v>
      </c>
      <c r="AA396" s="909"/>
    </row>
    <row r="397" spans="1:27">
      <c r="A397" s="895"/>
      <c r="B397" s="880"/>
      <c r="C397" s="880"/>
      <c r="D397" s="907">
        <v>212.08500000000001</v>
      </c>
      <c r="E397" s="1554">
        <v>212.08500000000001</v>
      </c>
      <c r="F397" s="880"/>
      <c r="G397" s="901"/>
      <c r="H397" s="901"/>
      <c r="I397" s="892"/>
      <c r="J397" s="895"/>
      <c r="K397" s="880"/>
      <c r="L397" s="880"/>
      <c r="M397" s="895"/>
      <c r="N397" s="895"/>
      <c r="O397" s="895"/>
      <c r="P397" s="895"/>
      <c r="Q397" s="895"/>
      <c r="R397" s="895"/>
      <c r="S397" s="895"/>
      <c r="T397" s="895"/>
      <c r="U397" s="901">
        <v>211.06299999999999</v>
      </c>
      <c r="V397" s="1554">
        <f>SUM(U397)</f>
        <v>211.06299999999999</v>
      </c>
      <c r="W397" s="903"/>
      <c r="X397" s="880"/>
      <c r="Y397" s="880"/>
      <c r="Z397" s="880"/>
      <c r="AA397" s="909" t="s">
        <v>2325</v>
      </c>
    </row>
    <row r="398" spans="1:27">
      <c r="A398" s="893">
        <f>A396+1</f>
        <v>197</v>
      </c>
      <c r="B398" s="900" t="s">
        <v>2276</v>
      </c>
      <c r="C398" s="880" t="s">
        <v>2197</v>
      </c>
      <c r="D398" s="880"/>
      <c r="E398" s="1554"/>
      <c r="F398" s="880" t="s">
        <v>2277</v>
      </c>
      <c r="G398" s="901">
        <v>534975.84100000001</v>
      </c>
      <c r="H398" s="901">
        <v>3533821.361</v>
      </c>
      <c r="I398" s="892"/>
      <c r="J398" s="893">
        <f>J396+1</f>
        <v>197</v>
      </c>
      <c r="K398" s="900" t="s">
        <v>2276</v>
      </c>
      <c r="L398" s="880" t="s">
        <v>2197</v>
      </c>
      <c r="M398" s="895"/>
      <c r="N398" s="895"/>
      <c r="O398" s="895"/>
      <c r="P398" s="895"/>
      <c r="Q398" s="895"/>
      <c r="R398" s="895"/>
      <c r="S398" s="895"/>
      <c r="T398" s="895"/>
      <c r="U398" s="901"/>
      <c r="V398" s="1554"/>
      <c r="W398" s="903">
        <v>259.19200000000001</v>
      </c>
      <c r="X398" s="880" t="s">
        <v>2311</v>
      </c>
      <c r="Y398" s="901">
        <v>534975.84100000001</v>
      </c>
      <c r="Z398" s="901">
        <v>3533821.361</v>
      </c>
      <c r="AA398" s="790" t="s">
        <v>2326</v>
      </c>
    </row>
    <row r="399" spans="1:27">
      <c r="A399" s="895"/>
      <c r="B399" s="880"/>
      <c r="C399" s="880"/>
      <c r="D399" s="907">
        <v>384.98500000000001</v>
      </c>
      <c r="E399" s="1554">
        <f>D399+D401</f>
        <v>604.23099999999999</v>
      </c>
      <c r="F399" s="880"/>
      <c r="G399" s="901"/>
      <c r="H399" s="901"/>
      <c r="I399" s="892"/>
      <c r="J399" s="895"/>
      <c r="K399" s="880"/>
      <c r="L399" s="880"/>
      <c r="M399" s="895"/>
      <c r="N399" s="895"/>
      <c r="O399" s="895"/>
      <c r="P399" s="895"/>
      <c r="Q399" s="895"/>
      <c r="R399" s="895"/>
      <c r="S399" s="895"/>
      <c r="T399" s="895"/>
      <c r="U399" s="901">
        <v>385.10300000000001</v>
      </c>
      <c r="V399" s="1554">
        <f>SUM(U399:U402)</f>
        <v>618.22900000000004</v>
      </c>
      <c r="W399" s="903"/>
      <c r="X399" s="880"/>
      <c r="Y399" s="902"/>
      <c r="Z399" s="902"/>
      <c r="AA399" s="909" t="s">
        <v>2327</v>
      </c>
    </row>
    <row r="400" spans="1:27">
      <c r="A400" s="893">
        <f>A398+1</f>
        <v>198</v>
      </c>
      <c r="B400" s="900" t="s">
        <v>2278</v>
      </c>
      <c r="C400" s="880" t="s">
        <v>62</v>
      </c>
      <c r="D400" s="880"/>
      <c r="E400" s="1554"/>
      <c r="F400" s="880"/>
      <c r="G400" s="901">
        <v>535035.07299999997</v>
      </c>
      <c r="H400" s="901">
        <v>3533440.96</v>
      </c>
      <c r="I400" s="892"/>
      <c r="J400" s="893">
        <f>J398+1</f>
        <v>198</v>
      </c>
      <c r="K400" s="900" t="s">
        <v>2278</v>
      </c>
      <c r="L400" s="880" t="s">
        <v>62</v>
      </c>
      <c r="M400" s="895"/>
      <c r="N400" s="895"/>
      <c r="O400" s="895"/>
      <c r="P400" s="895"/>
      <c r="Q400" s="895"/>
      <c r="R400" s="895"/>
      <c r="S400" s="895"/>
      <c r="T400" s="895"/>
      <c r="U400" s="901"/>
      <c r="V400" s="1554"/>
      <c r="W400" s="903">
        <v>259.19499999999999</v>
      </c>
      <c r="X400" s="880"/>
      <c r="Y400" s="880">
        <v>535042.64199999999</v>
      </c>
      <c r="Z400" s="880">
        <v>3533442.0959999999</v>
      </c>
      <c r="AA400" s="909"/>
    </row>
    <row r="401" spans="1:27">
      <c r="A401" s="895"/>
      <c r="B401" s="880"/>
      <c r="C401" s="880"/>
      <c r="D401" s="907">
        <v>219.24600000000001</v>
      </c>
      <c r="E401" s="1554"/>
      <c r="F401" s="880"/>
      <c r="G401" s="901"/>
      <c r="H401" s="901"/>
      <c r="I401" s="892"/>
      <c r="J401" s="895"/>
      <c r="K401" s="880"/>
      <c r="L401" s="880"/>
      <c r="M401" s="895"/>
      <c r="N401" s="895"/>
      <c r="O401" s="895"/>
      <c r="P401" s="895"/>
      <c r="Q401" s="895"/>
      <c r="R401" s="895"/>
      <c r="S401" s="895"/>
      <c r="T401" s="895"/>
      <c r="U401" s="901">
        <v>233.126</v>
      </c>
      <c r="V401" s="1554"/>
      <c r="W401" s="903"/>
      <c r="X401" s="880"/>
      <c r="Y401" s="880"/>
      <c r="Z401" s="880"/>
      <c r="AA401" s="909" t="s">
        <v>2328</v>
      </c>
    </row>
    <row r="402" spans="1:27">
      <c r="A402" s="893">
        <f>A400+1</f>
        <v>199</v>
      </c>
      <c r="B402" s="900" t="s">
        <v>2279</v>
      </c>
      <c r="C402" s="880" t="s">
        <v>1319</v>
      </c>
      <c r="D402" s="880"/>
      <c r="E402" s="1554"/>
      <c r="F402" s="880" t="s">
        <v>2280</v>
      </c>
      <c r="G402" s="901">
        <v>535068.80500000005</v>
      </c>
      <c r="H402" s="901">
        <v>3533224.324</v>
      </c>
      <c r="I402" s="892"/>
      <c r="J402" s="893">
        <f>J400+1</f>
        <v>199</v>
      </c>
      <c r="K402" s="900" t="s">
        <v>2279</v>
      </c>
      <c r="L402" s="880" t="s">
        <v>1319</v>
      </c>
      <c r="M402" s="895"/>
      <c r="N402" s="895"/>
      <c r="O402" s="895"/>
      <c r="P402" s="895"/>
      <c r="Q402" s="895"/>
      <c r="R402" s="895"/>
      <c r="S402" s="895"/>
      <c r="T402" s="895"/>
      <c r="U402" s="901"/>
      <c r="V402" s="1554"/>
      <c r="W402" s="903">
        <v>259.26400000000001</v>
      </c>
      <c r="X402" s="880" t="s">
        <v>2312</v>
      </c>
      <c r="Y402" s="901">
        <v>535083.07999999996</v>
      </c>
      <c r="Z402" s="901">
        <v>3533212.5040000002</v>
      </c>
      <c r="AA402" s="909"/>
    </row>
    <row r="403" spans="1:27">
      <c r="A403" s="895"/>
      <c r="B403" s="880"/>
      <c r="C403" s="880"/>
      <c r="D403" s="907">
        <v>389.65100000000001</v>
      </c>
      <c r="E403" s="1554">
        <f>D403+D405+D407</f>
        <v>1199.5439999999999</v>
      </c>
      <c r="F403" s="880"/>
      <c r="G403" s="901"/>
      <c r="H403" s="901"/>
      <c r="I403" s="892"/>
      <c r="J403" s="895"/>
      <c r="K403" s="880"/>
      <c r="L403" s="880"/>
      <c r="M403" s="895"/>
      <c r="N403" s="895"/>
      <c r="O403" s="895"/>
      <c r="P403" s="895"/>
      <c r="Q403" s="895"/>
      <c r="R403" s="895"/>
      <c r="S403" s="895"/>
      <c r="T403" s="895"/>
      <c r="U403" s="901">
        <v>401.23200000000003</v>
      </c>
      <c r="V403" s="1554">
        <f>SUM(U403:U408)</f>
        <v>1181.01</v>
      </c>
      <c r="W403" s="903"/>
      <c r="X403" s="880"/>
      <c r="Y403" s="880"/>
      <c r="Z403" s="880"/>
      <c r="AA403" s="909" t="s">
        <v>2329</v>
      </c>
    </row>
    <row r="404" spans="1:27">
      <c r="A404" s="893">
        <f>A402+1</f>
        <v>200</v>
      </c>
      <c r="B404" s="900" t="s">
        <v>2281</v>
      </c>
      <c r="C404" s="880" t="s">
        <v>62</v>
      </c>
      <c r="D404" s="907"/>
      <c r="E404" s="1554"/>
      <c r="F404" s="880"/>
      <c r="G404" s="901">
        <v>535368.93200000003</v>
      </c>
      <c r="H404" s="901">
        <v>3532975.8259999999</v>
      </c>
      <c r="I404" s="892"/>
      <c r="J404" s="893">
        <f>J402+1</f>
        <v>200</v>
      </c>
      <c r="K404" s="900" t="s">
        <v>2281</v>
      </c>
      <c r="L404" s="880" t="s">
        <v>62</v>
      </c>
      <c r="M404" s="895"/>
      <c r="N404" s="895"/>
      <c r="O404" s="895"/>
      <c r="P404" s="895"/>
      <c r="Q404" s="895"/>
      <c r="R404" s="895"/>
      <c r="S404" s="895"/>
      <c r="T404" s="895"/>
      <c r="U404" s="901"/>
      <c r="V404" s="1554"/>
      <c r="W404" s="903">
        <v>259.92099999999999</v>
      </c>
      <c r="X404" s="880"/>
      <c r="Y404" s="901">
        <v>535392.12699999998</v>
      </c>
      <c r="Z404" s="901">
        <v>3532956.62</v>
      </c>
      <c r="AA404" s="909"/>
    </row>
    <row r="405" spans="1:27">
      <c r="A405" s="895"/>
      <c r="B405" s="880"/>
      <c r="C405" s="880"/>
      <c r="D405" s="907">
        <v>367.11</v>
      </c>
      <c r="E405" s="1554"/>
      <c r="F405" s="880"/>
      <c r="G405" s="901"/>
      <c r="H405" s="901"/>
      <c r="I405" s="892"/>
      <c r="J405" s="895"/>
      <c r="K405" s="880"/>
      <c r="L405" s="880"/>
      <c r="M405" s="895"/>
      <c r="N405" s="895"/>
      <c r="O405" s="895"/>
      <c r="P405" s="895"/>
      <c r="Q405" s="895"/>
      <c r="R405" s="895"/>
      <c r="S405" s="895"/>
      <c r="T405" s="895"/>
      <c r="U405" s="901">
        <v>342.99900000000002</v>
      </c>
      <c r="V405" s="1554"/>
      <c r="W405" s="903"/>
      <c r="X405" s="880"/>
      <c r="Y405" s="880"/>
      <c r="Z405" s="880"/>
      <c r="AA405" s="909" t="s">
        <v>2067</v>
      </c>
    </row>
    <row r="406" spans="1:27">
      <c r="A406" s="893">
        <f>A404+1</f>
        <v>201</v>
      </c>
      <c r="B406" s="900" t="s">
        <v>2282</v>
      </c>
      <c r="C406" s="880" t="s">
        <v>76</v>
      </c>
      <c r="D406" s="907"/>
      <c r="E406" s="1554"/>
      <c r="F406" s="880"/>
      <c r="G406" s="901">
        <v>535651.69700000004</v>
      </c>
      <c r="H406" s="901">
        <v>3532741.7030000002</v>
      </c>
      <c r="I406" s="892"/>
      <c r="J406" s="893">
        <f>J404+1</f>
        <v>201</v>
      </c>
      <c r="K406" s="900" t="s">
        <v>2282</v>
      </c>
      <c r="L406" s="880" t="s">
        <v>76</v>
      </c>
      <c r="M406" s="895"/>
      <c r="N406" s="895"/>
      <c r="O406" s="895"/>
      <c r="P406" s="895"/>
      <c r="Q406" s="895"/>
      <c r="R406" s="895"/>
      <c r="S406" s="895"/>
      <c r="T406" s="895"/>
      <c r="U406" s="901"/>
      <c r="V406" s="1554"/>
      <c r="W406" s="903">
        <v>260.32499999999999</v>
      </c>
      <c r="X406" s="880"/>
      <c r="Y406" s="901">
        <v>535656.321</v>
      </c>
      <c r="Z406" s="901">
        <v>3532737.8730000001</v>
      </c>
      <c r="AA406" s="909"/>
    </row>
    <row r="407" spans="1:27">
      <c r="A407" s="895"/>
      <c r="B407" s="880"/>
      <c r="C407" s="880"/>
      <c r="D407" s="907">
        <v>442.78300000000002</v>
      </c>
      <c r="E407" s="1554"/>
      <c r="F407" s="880"/>
      <c r="G407" s="901"/>
      <c r="H407" s="901"/>
      <c r="I407" s="892"/>
      <c r="J407" s="895"/>
      <c r="K407" s="880"/>
      <c r="L407" s="880"/>
      <c r="M407" s="895"/>
      <c r="N407" s="895"/>
      <c r="O407" s="895"/>
      <c r="P407" s="895"/>
      <c r="Q407" s="895"/>
      <c r="R407" s="895"/>
      <c r="S407" s="895"/>
      <c r="T407" s="895"/>
      <c r="U407" s="901">
        <v>436.779</v>
      </c>
      <c r="V407" s="1554"/>
      <c r="W407" s="903"/>
      <c r="X407" s="880"/>
      <c r="Y407" s="880"/>
      <c r="Z407" s="880"/>
      <c r="AA407" s="909" t="s">
        <v>2328</v>
      </c>
    </row>
    <row r="408" spans="1:27">
      <c r="A408" s="893">
        <f>A406+1</f>
        <v>202</v>
      </c>
      <c r="B408" s="900" t="s">
        <v>2283</v>
      </c>
      <c r="C408" s="880" t="s">
        <v>2197</v>
      </c>
      <c r="D408" s="880"/>
      <c r="E408" s="1554"/>
      <c r="F408" s="880" t="s">
        <v>2284</v>
      </c>
      <c r="G408" s="901">
        <v>535992.74899999995</v>
      </c>
      <c r="H408" s="901">
        <v>3532459.3190000001</v>
      </c>
      <c r="I408" s="892"/>
      <c r="J408" s="893">
        <f>J406+1</f>
        <v>202</v>
      </c>
      <c r="K408" s="900" t="s">
        <v>2283</v>
      </c>
      <c r="L408" s="880" t="s">
        <v>1988</v>
      </c>
      <c r="M408" s="895"/>
      <c r="N408" s="895"/>
      <c r="O408" s="895"/>
      <c r="P408" s="895"/>
      <c r="Q408" s="895"/>
      <c r="R408" s="895"/>
      <c r="S408" s="895"/>
      <c r="T408" s="895"/>
      <c r="U408" s="901"/>
      <c r="V408" s="1554"/>
      <c r="W408" s="903">
        <v>260.55900000000003</v>
      </c>
      <c r="X408" s="880" t="s">
        <v>2313</v>
      </c>
      <c r="Y408" s="901">
        <v>535992.74899999995</v>
      </c>
      <c r="Z408" s="901">
        <v>3532459.3190000001</v>
      </c>
      <c r="AA408" s="909"/>
    </row>
    <row r="409" spans="1:27" ht="29">
      <c r="A409" s="895"/>
      <c r="B409" s="880"/>
      <c r="C409" s="880"/>
      <c r="D409" s="907">
        <v>242.124</v>
      </c>
      <c r="E409" s="1554">
        <v>242.124</v>
      </c>
      <c r="F409" s="880"/>
      <c r="G409" s="901"/>
      <c r="H409" s="901"/>
      <c r="I409" s="892"/>
      <c r="J409" s="895"/>
      <c r="K409" s="880"/>
      <c r="L409" s="880"/>
      <c r="M409" s="895"/>
      <c r="N409" s="895"/>
      <c r="O409" s="895"/>
      <c r="P409" s="895"/>
      <c r="Q409" s="895"/>
      <c r="R409" s="895"/>
      <c r="S409" s="895"/>
      <c r="T409" s="895"/>
      <c r="U409" s="901">
        <v>247.685</v>
      </c>
      <c r="V409" s="1554">
        <f>SUM(U409)</f>
        <v>247.685</v>
      </c>
      <c r="W409" s="903"/>
      <c r="X409" s="880"/>
      <c r="Y409" s="880"/>
      <c r="Z409" s="880"/>
      <c r="AA409" s="908" t="s">
        <v>2330</v>
      </c>
    </row>
    <row r="410" spans="1:27">
      <c r="A410" s="893">
        <f>A408+1</f>
        <v>203</v>
      </c>
      <c r="B410" s="900" t="s">
        <v>2285</v>
      </c>
      <c r="C410" s="880" t="s">
        <v>2197</v>
      </c>
      <c r="D410" s="880"/>
      <c r="E410" s="1554"/>
      <c r="F410" s="880" t="s">
        <v>2286</v>
      </c>
      <c r="G410" s="901">
        <v>536158.98600000003</v>
      </c>
      <c r="H410" s="901">
        <v>3532283.2820000001</v>
      </c>
      <c r="I410" s="892"/>
      <c r="J410" s="893">
        <f>J408+1</f>
        <v>203</v>
      </c>
      <c r="K410" s="900" t="s">
        <v>2285</v>
      </c>
      <c r="L410" s="880" t="s">
        <v>2197</v>
      </c>
      <c r="M410" s="895"/>
      <c r="N410" s="895"/>
      <c r="O410" s="895"/>
      <c r="P410" s="895"/>
      <c r="Q410" s="895"/>
      <c r="R410" s="895"/>
      <c r="S410" s="895"/>
      <c r="T410" s="895"/>
      <c r="U410" s="901"/>
      <c r="V410" s="1554"/>
      <c r="W410" s="903">
        <v>260.69200000000001</v>
      </c>
      <c r="X410" s="880" t="s">
        <v>2314</v>
      </c>
      <c r="Y410" s="901">
        <v>536147.34400000004</v>
      </c>
      <c r="Z410" s="901">
        <v>3532265.804</v>
      </c>
      <c r="AA410" s="909"/>
    </row>
    <row r="411" spans="1:27">
      <c r="A411" s="895"/>
      <c r="B411" s="880"/>
      <c r="C411" s="880"/>
      <c r="D411" s="907">
        <v>377.46800000000002</v>
      </c>
      <c r="E411" s="1554">
        <f>D411+D413+D415+D417</f>
        <v>1471.729</v>
      </c>
      <c r="F411" s="880"/>
      <c r="G411" s="901"/>
      <c r="H411" s="901"/>
      <c r="I411" s="892"/>
      <c r="J411" s="895"/>
      <c r="K411" s="880"/>
      <c r="L411" s="880"/>
      <c r="M411" s="895"/>
      <c r="N411" s="895"/>
      <c r="O411" s="895"/>
      <c r="P411" s="895"/>
      <c r="Q411" s="895"/>
      <c r="R411" s="895"/>
      <c r="S411" s="895"/>
      <c r="T411" s="895"/>
      <c r="U411" s="901">
        <v>360.87799999999999</v>
      </c>
      <c r="V411" s="1554">
        <f>SUM(U411:U417)</f>
        <v>1455.1559999999999</v>
      </c>
      <c r="W411" s="903"/>
      <c r="X411" s="880"/>
      <c r="Y411" s="880"/>
      <c r="Z411" s="880"/>
      <c r="AA411" s="909" t="s">
        <v>2067</v>
      </c>
    </row>
    <row r="412" spans="1:27">
      <c r="A412" s="893">
        <f>A410+1</f>
        <v>204</v>
      </c>
      <c r="B412" s="900" t="s">
        <v>2287</v>
      </c>
      <c r="C412" s="880" t="s">
        <v>62</v>
      </c>
      <c r="D412" s="880"/>
      <c r="E412" s="1554"/>
      <c r="F412" s="880"/>
      <c r="G412" s="901">
        <v>536185.15700000001</v>
      </c>
      <c r="H412" s="901">
        <v>3531906.7230000002</v>
      </c>
      <c r="I412" s="892"/>
      <c r="J412" s="893">
        <f>J410+1</f>
        <v>204</v>
      </c>
      <c r="K412" s="900" t="s">
        <v>2287</v>
      </c>
      <c r="L412" s="880" t="s">
        <v>62</v>
      </c>
      <c r="M412" s="895"/>
      <c r="N412" s="895"/>
      <c r="O412" s="895"/>
      <c r="P412" s="895"/>
      <c r="Q412" s="895"/>
      <c r="R412" s="895"/>
      <c r="S412" s="895"/>
      <c r="T412" s="895"/>
      <c r="U412" s="901"/>
      <c r="V412" s="1554"/>
      <c r="W412" s="903">
        <v>260.87599999999998</v>
      </c>
      <c r="X412" s="880"/>
      <c r="Y412" s="901">
        <v>536175.53700000001</v>
      </c>
      <c r="Z412" s="901">
        <v>3531906.0290000001</v>
      </c>
      <c r="AA412" s="910"/>
    </row>
    <row r="413" spans="1:27">
      <c r="A413" s="895"/>
      <c r="B413" s="880"/>
      <c r="C413" s="880"/>
      <c r="D413" s="907">
        <v>415.65199999999999</v>
      </c>
      <c r="E413" s="1554"/>
      <c r="F413" s="880"/>
      <c r="G413" s="901"/>
      <c r="H413" s="901"/>
      <c r="I413" s="892"/>
      <c r="J413" s="895"/>
      <c r="K413" s="880"/>
      <c r="L413" s="880"/>
      <c r="M413" s="895"/>
      <c r="N413" s="895"/>
      <c r="O413" s="895"/>
      <c r="P413" s="895"/>
      <c r="Q413" s="895"/>
      <c r="R413" s="895"/>
      <c r="S413" s="895"/>
      <c r="T413" s="895"/>
      <c r="U413" s="901">
        <v>415.64299999999997</v>
      </c>
      <c r="V413" s="1554"/>
      <c r="W413" s="903"/>
      <c r="X413" s="880"/>
      <c r="Y413" s="901"/>
      <c r="Z413" s="901"/>
      <c r="AA413" s="909" t="s">
        <v>2331</v>
      </c>
    </row>
    <row r="414" spans="1:27">
      <c r="A414" s="893">
        <f>A412+1</f>
        <v>205</v>
      </c>
      <c r="B414" s="900" t="s">
        <v>2288</v>
      </c>
      <c r="C414" s="880" t="s">
        <v>53</v>
      </c>
      <c r="D414" s="880"/>
      <c r="E414" s="1554"/>
      <c r="F414" s="880"/>
      <c r="G414" s="901">
        <v>536213.97600000002</v>
      </c>
      <c r="H414" s="901">
        <v>3531492.071</v>
      </c>
      <c r="I414" s="892"/>
      <c r="J414" s="893">
        <f>J412+1</f>
        <v>205</v>
      </c>
      <c r="K414" s="900" t="s">
        <v>2288</v>
      </c>
      <c r="L414" s="880" t="s">
        <v>53</v>
      </c>
      <c r="M414" s="895"/>
      <c r="N414" s="895"/>
      <c r="O414" s="895"/>
      <c r="P414" s="895"/>
      <c r="Q414" s="895"/>
      <c r="R414" s="895"/>
      <c r="S414" s="895"/>
      <c r="T414" s="895"/>
      <c r="U414" s="901"/>
      <c r="V414" s="1554"/>
      <c r="W414" s="903">
        <v>259.988</v>
      </c>
      <c r="X414" s="880"/>
      <c r="Y414" s="901">
        <v>536208.00800000003</v>
      </c>
      <c r="Z414" s="901">
        <v>3531491.659</v>
      </c>
      <c r="AA414" s="909"/>
    </row>
    <row r="415" spans="1:27">
      <c r="A415" s="895"/>
      <c r="B415" s="880"/>
      <c r="C415" s="880"/>
      <c r="D415" s="907">
        <v>378.39699999999999</v>
      </c>
      <c r="E415" s="1554"/>
      <c r="F415" s="880"/>
      <c r="G415" s="901"/>
      <c r="H415" s="901"/>
      <c r="I415" s="892"/>
      <c r="J415" s="895"/>
      <c r="K415" s="880"/>
      <c r="L415" s="880"/>
      <c r="M415" s="895"/>
      <c r="N415" s="895"/>
      <c r="O415" s="895"/>
      <c r="P415" s="895"/>
      <c r="Q415" s="895"/>
      <c r="R415" s="895"/>
      <c r="S415" s="895"/>
      <c r="T415" s="895"/>
      <c r="U415" s="901">
        <v>379.75099999999998</v>
      </c>
      <c r="V415" s="1554"/>
      <c r="W415" s="903"/>
      <c r="X415" s="880"/>
      <c r="Y415" s="901"/>
      <c r="Z415" s="901"/>
      <c r="AA415" s="908" t="s">
        <v>2332</v>
      </c>
    </row>
    <row r="416" spans="1:27">
      <c r="A416" s="893">
        <f>A414+1</f>
        <v>206</v>
      </c>
      <c r="B416" s="900" t="s">
        <v>2289</v>
      </c>
      <c r="C416" s="880" t="s">
        <v>76</v>
      </c>
      <c r="D416" s="907"/>
      <c r="E416" s="1554"/>
      <c r="F416" s="880"/>
      <c r="G416" s="901">
        <v>536240.21100000001</v>
      </c>
      <c r="H416" s="901">
        <v>3531114.5839999998</v>
      </c>
      <c r="I416" s="892"/>
      <c r="J416" s="893">
        <f>J414+1</f>
        <v>206</v>
      </c>
      <c r="K416" s="900" t="s">
        <v>2289</v>
      </c>
      <c r="L416" s="880" t="s">
        <v>76</v>
      </c>
      <c r="M416" s="895"/>
      <c r="N416" s="895"/>
      <c r="O416" s="895"/>
      <c r="P416" s="895"/>
      <c r="Q416" s="895"/>
      <c r="R416" s="895"/>
      <c r="S416" s="895"/>
      <c r="T416" s="895"/>
      <c r="U416" s="901"/>
      <c r="V416" s="1554"/>
      <c r="W416" s="903">
        <v>259.39299999999997</v>
      </c>
      <c r="X416" s="880"/>
      <c r="Y416" s="901">
        <v>536237.67599999998</v>
      </c>
      <c r="Z416" s="901">
        <v>3531113.0660000001</v>
      </c>
      <c r="AA416" s="909"/>
    </row>
    <row r="417" spans="1:27">
      <c r="A417" s="895"/>
      <c r="B417" s="880"/>
      <c r="C417" s="880"/>
      <c r="D417" s="907">
        <v>300.21199999999999</v>
      </c>
      <c r="E417" s="1554"/>
      <c r="F417" s="880"/>
      <c r="G417" s="901"/>
      <c r="H417" s="901"/>
      <c r="I417" s="892"/>
      <c r="J417" s="895"/>
      <c r="K417" s="880"/>
      <c r="L417" s="880"/>
      <c r="M417" s="895"/>
      <c r="N417" s="895"/>
      <c r="O417" s="895"/>
      <c r="P417" s="895"/>
      <c r="Q417" s="895"/>
      <c r="R417" s="895"/>
      <c r="S417" s="895"/>
      <c r="T417" s="895"/>
      <c r="U417" s="901">
        <v>298.88400000000001</v>
      </c>
      <c r="V417" s="1554"/>
      <c r="W417" s="903"/>
      <c r="X417" s="880"/>
      <c r="Y417" s="901"/>
      <c r="Z417" s="901"/>
      <c r="AA417" s="909" t="s">
        <v>2067</v>
      </c>
    </row>
    <row r="418" spans="1:27">
      <c r="A418" s="893">
        <f>A416+1</f>
        <v>207</v>
      </c>
      <c r="B418" s="900" t="s">
        <v>2290</v>
      </c>
      <c r="C418" s="880" t="s">
        <v>1277</v>
      </c>
      <c r="D418" s="907"/>
      <c r="E418" s="1554">
        <f>D419+D421+D423</f>
        <v>889.07500000000005</v>
      </c>
      <c r="F418" s="880" t="s">
        <v>2291</v>
      </c>
      <c r="G418" s="901">
        <v>536261.02599999995</v>
      </c>
      <c r="H418" s="901">
        <v>3530815.0950000002</v>
      </c>
      <c r="I418" s="892"/>
      <c r="J418" s="893">
        <f>J416+1</f>
        <v>207</v>
      </c>
      <c r="K418" s="900" t="s">
        <v>2290</v>
      </c>
      <c r="L418" s="880" t="s">
        <v>1277</v>
      </c>
      <c r="M418" s="895"/>
      <c r="N418" s="895"/>
      <c r="O418" s="895"/>
      <c r="P418" s="895"/>
      <c r="Q418" s="895"/>
      <c r="R418" s="895"/>
      <c r="S418" s="895"/>
      <c r="T418" s="895"/>
      <c r="U418" s="901"/>
      <c r="V418" s="1554">
        <f>SUM(U418:U424)</f>
        <v>889.07500000000005</v>
      </c>
      <c r="W418" s="903">
        <v>259.56700000000001</v>
      </c>
      <c r="X418" s="880" t="s">
        <v>2315</v>
      </c>
      <c r="Y418" s="901">
        <v>536261.02599999995</v>
      </c>
      <c r="Z418" s="901">
        <v>3530815.0950000002</v>
      </c>
      <c r="AA418" s="909"/>
    </row>
    <row r="419" spans="1:27">
      <c r="A419" s="895"/>
      <c r="B419" s="880"/>
      <c r="C419" s="880"/>
      <c r="D419" s="907">
        <v>314.66300000000001</v>
      </c>
      <c r="E419" s="1554"/>
      <c r="F419" s="880"/>
      <c r="G419" s="901"/>
      <c r="H419" s="901"/>
      <c r="I419" s="892"/>
      <c r="J419" s="895"/>
      <c r="K419" s="880"/>
      <c r="L419" s="880"/>
      <c r="M419" s="895"/>
      <c r="N419" s="895"/>
      <c r="O419" s="895"/>
      <c r="P419" s="895"/>
      <c r="Q419" s="895"/>
      <c r="R419" s="895"/>
      <c r="S419" s="895"/>
      <c r="T419" s="895"/>
      <c r="U419" s="901">
        <v>314.66399999999999</v>
      </c>
      <c r="V419" s="1554"/>
      <c r="W419" s="903"/>
      <c r="X419" s="880"/>
      <c r="Y419" s="880"/>
      <c r="Z419" s="880"/>
      <c r="AA419" s="909" t="s">
        <v>2333</v>
      </c>
    </row>
    <row r="420" spans="1:27">
      <c r="A420" s="893">
        <f>A418+1</f>
        <v>208</v>
      </c>
      <c r="B420" s="900" t="s">
        <v>2292</v>
      </c>
      <c r="C420" s="880" t="s">
        <v>76</v>
      </c>
      <c r="D420" s="880"/>
      <c r="E420" s="1554"/>
      <c r="F420" s="880"/>
      <c r="G420" s="901">
        <v>536183.85499999998</v>
      </c>
      <c r="H420" s="901">
        <v>3530510.0410000002</v>
      </c>
      <c r="I420" s="892"/>
      <c r="J420" s="893">
        <f>J418+1</f>
        <v>208</v>
      </c>
      <c r="K420" s="900" t="s">
        <v>2292</v>
      </c>
      <c r="L420" s="880" t="s">
        <v>76</v>
      </c>
      <c r="M420" s="895"/>
      <c r="N420" s="895"/>
      <c r="O420" s="895"/>
      <c r="P420" s="895"/>
      <c r="Q420" s="895"/>
      <c r="R420" s="895"/>
      <c r="S420" s="895"/>
      <c r="T420" s="895"/>
      <c r="U420" s="901"/>
      <c r="V420" s="1554"/>
      <c r="W420" s="903">
        <v>260.00700000000001</v>
      </c>
      <c r="X420" s="880"/>
      <c r="Y420" s="901">
        <v>536183.85499999998</v>
      </c>
      <c r="Z420" s="901">
        <v>3530510.0410000002</v>
      </c>
      <c r="AA420" s="909"/>
    </row>
    <row r="421" spans="1:27">
      <c r="A421" s="895"/>
      <c r="B421" s="880"/>
      <c r="C421" s="880"/>
      <c r="D421" s="907">
        <v>301.75700000000001</v>
      </c>
      <c r="E421" s="1554"/>
      <c r="F421" s="880"/>
      <c r="G421" s="901"/>
      <c r="H421" s="901"/>
      <c r="I421" s="892"/>
      <c r="J421" s="895"/>
      <c r="K421" s="880"/>
      <c r="L421" s="880"/>
      <c r="M421" s="895"/>
      <c r="N421" s="895"/>
      <c r="O421" s="895"/>
      <c r="P421" s="895"/>
      <c r="Q421" s="895"/>
      <c r="R421" s="895"/>
      <c r="S421" s="895"/>
      <c r="T421" s="895"/>
      <c r="U421" s="901">
        <v>301.75700000000001</v>
      </c>
      <c r="V421" s="1554"/>
      <c r="W421" s="903"/>
      <c r="X421" s="880"/>
      <c r="Y421" s="901"/>
      <c r="Z421" s="901"/>
      <c r="AA421" s="909" t="s">
        <v>2334</v>
      </c>
    </row>
    <row r="422" spans="1:27">
      <c r="A422" s="893">
        <f>A420+1</f>
        <v>209</v>
      </c>
      <c r="B422" s="900" t="s">
        <v>2293</v>
      </c>
      <c r="C422" s="880" t="s">
        <v>76</v>
      </c>
      <c r="D422" s="880"/>
      <c r="E422" s="1554"/>
      <c r="F422" s="880"/>
      <c r="G422" s="901">
        <v>536109.85</v>
      </c>
      <c r="H422" s="901">
        <v>3530217.5</v>
      </c>
      <c r="I422" s="892"/>
      <c r="J422" s="893">
        <f>J420+1</f>
        <v>209</v>
      </c>
      <c r="K422" s="900" t="s">
        <v>2293</v>
      </c>
      <c r="L422" s="880" t="s">
        <v>76</v>
      </c>
      <c r="M422" s="895"/>
      <c r="N422" s="895"/>
      <c r="O422" s="895"/>
      <c r="P422" s="895"/>
      <c r="Q422" s="895"/>
      <c r="R422" s="895"/>
      <c r="S422" s="895"/>
      <c r="T422" s="895"/>
      <c r="U422" s="901"/>
      <c r="V422" s="1554"/>
      <c r="W422" s="903">
        <v>259.339</v>
      </c>
      <c r="X422" s="880"/>
      <c r="Y422" s="901">
        <v>536109.85</v>
      </c>
      <c r="Z422" s="901">
        <v>3530217.4989999998</v>
      </c>
      <c r="AA422" s="909"/>
    </row>
    <row r="423" spans="1:27">
      <c r="A423" s="895"/>
      <c r="B423" s="880"/>
      <c r="C423" s="880"/>
      <c r="D423" s="907">
        <v>272.65499999999997</v>
      </c>
      <c r="E423" s="1554"/>
      <c r="F423" s="880"/>
      <c r="G423" s="901"/>
      <c r="H423" s="901"/>
      <c r="I423" s="892"/>
      <c r="J423" s="895"/>
      <c r="K423" s="880"/>
      <c r="L423" s="880"/>
      <c r="M423" s="895"/>
      <c r="N423" s="895"/>
      <c r="O423" s="895"/>
      <c r="P423" s="895"/>
      <c r="Q423" s="895"/>
      <c r="R423" s="895"/>
      <c r="S423" s="895"/>
      <c r="T423" s="895"/>
      <c r="U423" s="901">
        <v>272.654</v>
      </c>
      <c r="V423" s="1554"/>
      <c r="W423" s="903"/>
      <c r="X423" s="880"/>
      <c r="Y423" s="901"/>
      <c r="Z423" s="901"/>
      <c r="AA423" s="908"/>
    </row>
    <row r="424" spans="1:27">
      <c r="A424" s="893">
        <f>A422+1</f>
        <v>210</v>
      </c>
      <c r="B424" s="900" t="s">
        <v>2294</v>
      </c>
      <c r="C424" s="880" t="s">
        <v>1269</v>
      </c>
      <c r="D424" s="880"/>
      <c r="E424" s="1554"/>
      <c r="F424" s="880" t="s">
        <v>2295</v>
      </c>
      <c r="G424" s="901">
        <v>536042.98300000001</v>
      </c>
      <c r="H424" s="901">
        <v>3529953.1719999998</v>
      </c>
      <c r="I424" s="892"/>
      <c r="J424" s="893">
        <f>J422+1</f>
        <v>210</v>
      </c>
      <c r="K424" s="900" t="s">
        <v>2306</v>
      </c>
      <c r="L424" s="880" t="s">
        <v>1269</v>
      </c>
      <c r="M424" s="895"/>
      <c r="N424" s="895"/>
      <c r="O424" s="895"/>
      <c r="P424" s="895"/>
      <c r="Q424" s="895"/>
      <c r="R424" s="895"/>
      <c r="S424" s="895"/>
      <c r="T424" s="895"/>
      <c r="U424" s="901"/>
      <c r="V424" s="1554"/>
      <c r="W424" s="903">
        <v>259.19200000000001</v>
      </c>
      <c r="X424" s="880" t="s">
        <v>2316</v>
      </c>
      <c r="Y424" s="901">
        <v>536042.98300000001</v>
      </c>
      <c r="Z424" s="901">
        <v>3529953.1719999998</v>
      </c>
      <c r="AA424" s="909"/>
    </row>
    <row r="425" spans="1:27">
      <c r="A425" s="895"/>
      <c r="B425" s="880"/>
      <c r="C425" s="880"/>
      <c r="D425" s="907">
        <v>411.54199999999997</v>
      </c>
      <c r="E425" s="1554">
        <v>411.54199999999997</v>
      </c>
      <c r="F425" s="880"/>
      <c r="G425" s="901"/>
      <c r="H425" s="901"/>
      <c r="I425" s="892"/>
      <c r="J425" s="895"/>
      <c r="K425" s="880"/>
      <c r="L425" s="880"/>
      <c r="M425" s="895"/>
      <c r="N425" s="895"/>
      <c r="O425" s="895"/>
      <c r="P425" s="895"/>
      <c r="Q425" s="895"/>
      <c r="R425" s="895"/>
      <c r="S425" s="895"/>
      <c r="T425" s="895"/>
      <c r="U425" s="901">
        <v>411.54199999999997</v>
      </c>
      <c r="V425" s="1554">
        <f>SUM(U425)</f>
        <v>411.54199999999997</v>
      </c>
      <c r="W425" s="903"/>
      <c r="X425" s="880"/>
      <c r="Y425" s="880"/>
      <c r="Z425" s="880"/>
      <c r="AA425" s="908" t="s">
        <v>2335</v>
      </c>
    </row>
    <row r="426" spans="1:27">
      <c r="A426" s="893">
        <f>A424+1</f>
        <v>211</v>
      </c>
      <c r="B426" s="900" t="s">
        <v>2296</v>
      </c>
      <c r="C426" s="880" t="s">
        <v>1361</v>
      </c>
      <c r="D426" s="880"/>
      <c r="E426" s="1554"/>
      <c r="F426" s="880" t="s">
        <v>2297</v>
      </c>
      <c r="G426" s="901">
        <v>535938.58799999999</v>
      </c>
      <c r="H426" s="901">
        <v>3529555.091</v>
      </c>
      <c r="I426" s="892"/>
      <c r="J426" s="893">
        <f>J424+1</f>
        <v>211</v>
      </c>
      <c r="K426" s="900" t="s">
        <v>2296</v>
      </c>
      <c r="L426" s="880" t="s">
        <v>1361</v>
      </c>
      <c r="M426" s="895"/>
      <c r="N426" s="895"/>
      <c r="O426" s="895"/>
      <c r="P426" s="895"/>
      <c r="Q426" s="895"/>
      <c r="R426" s="895"/>
      <c r="S426" s="895"/>
      <c r="T426" s="895"/>
      <c r="U426" s="901"/>
      <c r="V426" s="1554"/>
      <c r="W426" s="903">
        <v>258.815</v>
      </c>
      <c r="X426" s="880" t="s">
        <v>2297</v>
      </c>
      <c r="Y426" s="901">
        <v>535938.58799999999</v>
      </c>
      <c r="Z426" s="901">
        <v>3529555.091</v>
      </c>
      <c r="AA426" s="909"/>
    </row>
    <row r="427" spans="1:27">
      <c r="A427" s="895"/>
      <c r="B427" s="880"/>
      <c r="C427" s="880"/>
      <c r="D427" s="907">
        <v>375.053</v>
      </c>
      <c r="E427" s="1554">
        <f>D427+D429+D431+D433+D435</f>
        <v>1751.0180000000003</v>
      </c>
      <c r="F427" s="880"/>
      <c r="G427" s="901"/>
      <c r="H427" s="901"/>
      <c r="I427" s="892"/>
      <c r="J427" s="895"/>
      <c r="K427" s="880"/>
      <c r="L427" s="880"/>
      <c r="M427" s="895"/>
      <c r="N427" s="895"/>
      <c r="O427" s="895"/>
      <c r="P427" s="895"/>
      <c r="Q427" s="895"/>
      <c r="R427" s="895"/>
      <c r="S427" s="895"/>
      <c r="T427" s="895"/>
      <c r="U427" s="901">
        <v>375.05399999999997</v>
      </c>
      <c r="V427" s="1554">
        <f>SUM(U427:U436)</f>
        <v>1751.019</v>
      </c>
      <c r="W427" s="903"/>
      <c r="X427" s="880"/>
      <c r="Y427" s="880"/>
      <c r="Z427" s="880"/>
      <c r="AA427" s="908" t="s">
        <v>2336</v>
      </c>
    </row>
    <row r="428" spans="1:27">
      <c r="A428" s="893">
        <f>A426+1</f>
        <v>212</v>
      </c>
      <c r="B428" s="900" t="s">
        <v>2298</v>
      </c>
      <c r="C428" s="880" t="s">
        <v>76</v>
      </c>
      <c r="D428" s="907"/>
      <c r="E428" s="1554"/>
      <c r="F428" s="880"/>
      <c r="G428" s="901">
        <v>535971.53700000001</v>
      </c>
      <c r="H428" s="901">
        <v>3529181.4879999999</v>
      </c>
      <c r="I428" s="892"/>
      <c r="J428" s="893">
        <f>J426+1</f>
        <v>212</v>
      </c>
      <c r="K428" s="900" t="s">
        <v>2298</v>
      </c>
      <c r="L428" s="880" t="s">
        <v>76</v>
      </c>
      <c r="M428" s="895"/>
      <c r="N428" s="895"/>
      <c r="O428" s="895"/>
      <c r="P428" s="895"/>
      <c r="Q428" s="895"/>
      <c r="R428" s="895"/>
      <c r="S428" s="895"/>
      <c r="T428" s="895"/>
      <c r="U428" s="901"/>
      <c r="V428" s="1554"/>
      <c r="W428" s="903">
        <v>258.94099999999997</v>
      </c>
      <c r="X428" s="880"/>
      <c r="Y428" s="901">
        <v>535971.53700000001</v>
      </c>
      <c r="Z428" s="901">
        <v>3529181.4870000002</v>
      </c>
      <c r="AA428" s="909"/>
    </row>
    <row r="429" spans="1:27">
      <c r="A429" s="895"/>
      <c r="B429" s="880"/>
      <c r="C429" s="880"/>
      <c r="D429" s="907">
        <v>357.80099999999999</v>
      </c>
      <c r="E429" s="1554"/>
      <c r="F429" s="880"/>
      <c r="G429" s="901"/>
      <c r="H429" s="901"/>
      <c r="I429" s="892"/>
      <c r="J429" s="895"/>
      <c r="K429" s="880"/>
      <c r="L429" s="880"/>
      <c r="M429" s="895"/>
      <c r="N429" s="895"/>
      <c r="O429" s="895"/>
      <c r="P429" s="895"/>
      <c r="Q429" s="895"/>
      <c r="R429" s="895"/>
      <c r="S429" s="895"/>
      <c r="T429" s="895"/>
      <c r="U429" s="901">
        <v>357.80099999999999</v>
      </c>
      <c r="V429" s="1554"/>
      <c r="W429" s="903"/>
      <c r="X429" s="880"/>
      <c r="Y429" s="901"/>
      <c r="Z429" s="901"/>
      <c r="AA429" s="909" t="s">
        <v>2337</v>
      </c>
    </row>
    <row r="430" spans="1:27">
      <c r="A430" s="893">
        <f>A428+1</f>
        <v>213</v>
      </c>
      <c r="B430" s="900" t="s">
        <v>2299</v>
      </c>
      <c r="C430" s="880" t="s">
        <v>76</v>
      </c>
      <c r="D430" s="907"/>
      <c r="E430" s="1554"/>
      <c r="F430" s="880"/>
      <c r="G430" s="901">
        <v>536002.97199999995</v>
      </c>
      <c r="H430" s="901">
        <v>3528825.07</v>
      </c>
      <c r="I430" s="892"/>
      <c r="J430" s="893">
        <f>J428+1</f>
        <v>213</v>
      </c>
      <c r="K430" s="900" t="s">
        <v>2299</v>
      </c>
      <c r="L430" s="880" t="s">
        <v>76</v>
      </c>
      <c r="M430" s="895"/>
      <c r="N430" s="895"/>
      <c r="O430" s="895"/>
      <c r="P430" s="895"/>
      <c r="Q430" s="895"/>
      <c r="R430" s="895"/>
      <c r="S430" s="895"/>
      <c r="T430" s="895"/>
      <c r="U430" s="901"/>
      <c r="V430" s="1554"/>
      <c r="W430" s="903">
        <v>258.584</v>
      </c>
      <c r="X430" s="880"/>
      <c r="Y430" s="901">
        <v>536002.97199999995</v>
      </c>
      <c r="Z430" s="901">
        <v>3528825.07</v>
      </c>
      <c r="AA430" s="909"/>
    </row>
    <row r="431" spans="1:27">
      <c r="A431" s="895"/>
      <c r="B431" s="880"/>
      <c r="C431" s="880"/>
      <c r="D431" s="907">
        <v>338.209</v>
      </c>
      <c r="E431" s="1554"/>
      <c r="F431" s="880"/>
      <c r="G431" s="901"/>
      <c r="H431" s="901"/>
      <c r="I431" s="892"/>
      <c r="J431" s="895"/>
      <c r="K431" s="880"/>
      <c r="L431" s="880"/>
      <c r="M431" s="895"/>
      <c r="N431" s="895"/>
      <c r="O431" s="895"/>
      <c r="P431" s="895"/>
      <c r="Q431" s="895"/>
      <c r="R431" s="895"/>
      <c r="S431" s="895"/>
      <c r="T431" s="895"/>
      <c r="U431" s="901">
        <v>338.209</v>
      </c>
      <c r="V431" s="1554"/>
      <c r="W431" s="903"/>
      <c r="X431" s="880"/>
      <c r="Y431" s="901"/>
      <c r="Z431" s="901"/>
      <c r="AA431" s="908" t="s">
        <v>2227</v>
      </c>
    </row>
    <row r="432" spans="1:27">
      <c r="A432" s="893">
        <f>A430+1</f>
        <v>214</v>
      </c>
      <c r="B432" s="900" t="s">
        <v>2300</v>
      </c>
      <c r="C432" s="880" t="s">
        <v>76</v>
      </c>
      <c r="D432" s="907"/>
      <c r="E432" s="1554"/>
      <c r="F432" s="880"/>
      <c r="G432" s="901">
        <v>536032.68500000006</v>
      </c>
      <c r="H432" s="901">
        <v>3528488.1690000002</v>
      </c>
      <c r="I432" s="892"/>
      <c r="J432" s="893">
        <f>J430+1</f>
        <v>214</v>
      </c>
      <c r="K432" s="900" t="s">
        <v>2300</v>
      </c>
      <c r="L432" s="880" t="s">
        <v>76</v>
      </c>
      <c r="M432" s="895"/>
      <c r="N432" s="895"/>
      <c r="O432" s="895"/>
      <c r="P432" s="895"/>
      <c r="Q432" s="895"/>
      <c r="R432" s="895"/>
      <c r="S432" s="895"/>
      <c r="T432" s="895"/>
      <c r="U432" s="901"/>
      <c r="V432" s="1554"/>
      <c r="W432" s="903">
        <v>258.51600000000002</v>
      </c>
      <c r="X432" s="880"/>
      <c r="Y432" s="901">
        <v>536032.68500000006</v>
      </c>
      <c r="Z432" s="901">
        <v>3528488.1690000002</v>
      </c>
      <c r="AA432" s="909"/>
    </row>
    <row r="433" spans="1:27">
      <c r="A433" s="895"/>
      <c r="B433" s="880"/>
      <c r="C433" s="880"/>
      <c r="D433" s="907">
        <v>358.79300000000001</v>
      </c>
      <c r="E433" s="1554"/>
      <c r="F433" s="880"/>
      <c r="G433" s="901"/>
      <c r="H433" s="901"/>
      <c r="I433" s="892"/>
      <c r="J433" s="895"/>
      <c r="K433" s="880"/>
      <c r="L433" s="880"/>
      <c r="M433" s="895"/>
      <c r="N433" s="895"/>
      <c r="O433" s="895"/>
      <c r="P433" s="895"/>
      <c r="Q433" s="895"/>
      <c r="R433" s="895"/>
      <c r="S433" s="895"/>
      <c r="T433" s="895"/>
      <c r="U433" s="901">
        <v>358.79300000000001</v>
      </c>
      <c r="V433" s="1554"/>
      <c r="W433" s="903"/>
      <c r="X433" s="880"/>
      <c r="Y433" s="901"/>
      <c r="Z433" s="901"/>
      <c r="AA433" s="908" t="s">
        <v>2338</v>
      </c>
    </row>
    <row r="434" spans="1:27">
      <c r="A434" s="893">
        <f>A432+1</f>
        <v>215</v>
      </c>
      <c r="B434" s="900" t="s">
        <v>2301</v>
      </c>
      <c r="C434" s="880" t="s">
        <v>76</v>
      </c>
      <c r="D434" s="907"/>
      <c r="E434" s="1554"/>
      <c r="F434" s="880"/>
      <c r="G434" s="901">
        <v>536064.20600000001</v>
      </c>
      <c r="H434" s="901">
        <v>3528130.7629999998</v>
      </c>
      <c r="I434" s="892"/>
      <c r="J434" s="893">
        <f>J432+1</f>
        <v>215</v>
      </c>
      <c r="K434" s="900" t="s">
        <v>2301</v>
      </c>
      <c r="L434" s="880" t="s">
        <v>76</v>
      </c>
      <c r="M434" s="895"/>
      <c r="N434" s="895"/>
      <c r="O434" s="895"/>
      <c r="P434" s="895"/>
      <c r="Q434" s="895"/>
      <c r="R434" s="895"/>
      <c r="S434" s="895"/>
      <c r="T434" s="895"/>
      <c r="U434" s="901"/>
      <c r="V434" s="1554"/>
      <c r="W434" s="903">
        <v>259.27800000000002</v>
      </c>
      <c r="X434" s="880"/>
      <c r="Y434" s="901">
        <v>536064.20600000001</v>
      </c>
      <c r="Z434" s="901">
        <v>3528130.7629999998</v>
      </c>
      <c r="AA434" s="908"/>
    </row>
    <row r="435" spans="1:27">
      <c r="A435" s="895"/>
      <c r="B435" s="880"/>
      <c r="C435" s="880"/>
      <c r="D435" s="907">
        <v>321.16199999999998</v>
      </c>
      <c r="E435" s="1554"/>
      <c r="F435" s="880"/>
      <c r="G435" s="901"/>
      <c r="H435" s="901"/>
      <c r="I435" s="892"/>
      <c r="J435" s="895"/>
      <c r="K435" s="880"/>
      <c r="L435" s="880"/>
      <c r="M435" s="895"/>
      <c r="N435" s="895"/>
      <c r="O435" s="895"/>
      <c r="P435" s="895"/>
      <c r="Q435" s="895"/>
      <c r="R435" s="895"/>
      <c r="S435" s="895"/>
      <c r="T435" s="895"/>
      <c r="U435" s="901">
        <v>321.16199999999998</v>
      </c>
      <c r="V435" s="1554"/>
      <c r="W435" s="903"/>
      <c r="X435" s="880"/>
      <c r="Y435" s="901"/>
      <c r="Z435" s="901"/>
      <c r="AA435" s="908" t="s">
        <v>2339</v>
      </c>
    </row>
    <row r="436" spans="1:27">
      <c r="A436" s="893">
        <f>A434+1</f>
        <v>216</v>
      </c>
      <c r="B436" s="900" t="s">
        <v>2302</v>
      </c>
      <c r="C436" s="880" t="s">
        <v>1277</v>
      </c>
      <c r="D436" s="880"/>
      <c r="E436" s="1554"/>
      <c r="F436" s="880" t="s">
        <v>2303</v>
      </c>
      <c r="G436" s="901">
        <v>536092.42099999997</v>
      </c>
      <c r="H436" s="901">
        <v>3527810.8429999999</v>
      </c>
      <c r="I436" s="892"/>
      <c r="J436" s="893">
        <f>J434+1</f>
        <v>216</v>
      </c>
      <c r="K436" s="900" t="s">
        <v>2302</v>
      </c>
      <c r="L436" s="880" t="s">
        <v>1277</v>
      </c>
      <c r="M436" s="895"/>
      <c r="N436" s="895"/>
      <c r="O436" s="895"/>
      <c r="P436" s="895"/>
      <c r="Q436" s="895"/>
      <c r="R436" s="895"/>
      <c r="S436" s="895"/>
      <c r="T436" s="895"/>
      <c r="U436" s="901"/>
      <c r="V436" s="1554"/>
      <c r="W436" s="903">
        <v>258.70400000000001</v>
      </c>
      <c r="X436" s="880" t="s">
        <v>2303</v>
      </c>
      <c r="Y436" s="901">
        <v>536092.42099999997</v>
      </c>
      <c r="Z436" s="901">
        <v>3527810.8429999999</v>
      </c>
      <c r="AA436" s="909"/>
    </row>
    <row r="437" spans="1:27" ht="8" customHeight="1">
      <c r="A437" s="911"/>
      <c r="B437" s="911"/>
      <c r="C437" s="912"/>
      <c r="D437" s="912"/>
      <c r="E437" s="911"/>
      <c r="F437" s="911"/>
      <c r="G437" s="911"/>
      <c r="H437" s="911"/>
      <c r="I437" s="892"/>
      <c r="J437" s="911"/>
      <c r="K437" s="911"/>
      <c r="L437" s="911"/>
      <c r="M437" s="911"/>
      <c r="N437" s="911"/>
      <c r="O437" s="911"/>
      <c r="P437" s="911"/>
      <c r="Q437" s="911"/>
      <c r="R437" s="911"/>
      <c r="S437" s="911"/>
      <c r="T437" s="911"/>
      <c r="U437" s="913"/>
      <c r="V437" s="911"/>
      <c r="W437" s="911"/>
      <c r="X437" s="911"/>
      <c r="Y437" s="911"/>
      <c r="Z437" s="911"/>
      <c r="AA437" s="914"/>
    </row>
    <row r="438" spans="1:27">
      <c r="A438" s="893">
        <f>A436+1</f>
        <v>217</v>
      </c>
      <c r="B438" s="880" t="s">
        <v>2445</v>
      </c>
      <c r="C438" s="880" t="s">
        <v>1269</v>
      </c>
      <c r="D438" s="880"/>
      <c r="E438" s="1546">
        <v>751.41</v>
      </c>
      <c r="F438" s="55" t="s">
        <v>2446</v>
      </c>
      <c r="G438" s="829">
        <v>537339.01399999997</v>
      </c>
      <c r="H438" s="829">
        <v>3519225.8870000001</v>
      </c>
      <c r="I438" s="892"/>
      <c r="J438" s="893">
        <f>J436+1</f>
        <v>217</v>
      </c>
      <c r="K438" s="55" t="s">
        <v>2445</v>
      </c>
      <c r="L438" s="55" t="s">
        <v>1269</v>
      </c>
      <c r="M438" s="895"/>
      <c r="N438" s="895"/>
      <c r="O438" s="895"/>
      <c r="P438" s="895"/>
      <c r="Q438" s="895"/>
      <c r="R438" s="895"/>
      <c r="S438" s="895"/>
      <c r="T438" s="895"/>
      <c r="U438" s="901"/>
      <c r="V438" s="1550">
        <f>U439+U441</f>
        <v>751.41100000000006</v>
      </c>
      <c r="W438" s="829">
        <v>255.816</v>
      </c>
      <c r="X438" s="55" t="s">
        <v>2446</v>
      </c>
      <c r="Y438" s="829">
        <v>537339.01399999997</v>
      </c>
      <c r="Z438" s="829">
        <v>3519225.8870000001</v>
      </c>
      <c r="AA438" s="829"/>
    </row>
    <row r="439" spans="1:27" ht="29">
      <c r="A439" s="895"/>
      <c r="B439" s="881"/>
      <c r="C439" s="881"/>
      <c r="D439" s="881">
        <v>373.37799999999999</v>
      </c>
      <c r="E439" s="1546"/>
      <c r="F439" s="915"/>
      <c r="G439" s="881"/>
      <c r="H439" s="881"/>
      <c r="I439" s="892"/>
      <c r="J439" s="895"/>
      <c r="K439" s="826"/>
      <c r="L439" s="881"/>
      <c r="M439" s="895"/>
      <c r="N439" s="895"/>
      <c r="O439" s="895"/>
      <c r="P439" s="895"/>
      <c r="Q439" s="895"/>
      <c r="R439" s="895"/>
      <c r="S439" s="895"/>
      <c r="T439" s="895"/>
      <c r="U439" s="916">
        <v>373.37900000000002</v>
      </c>
      <c r="V439" s="1550"/>
      <c r="W439" s="881"/>
      <c r="X439" s="823"/>
      <c r="Y439" s="881"/>
      <c r="Z439" s="881"/>
      <c r="AA439" s="826" t="s">
        <v>2469</v>
      </c>
    </row>
    <row r="440" spans="1:27">
      <c r="A440" s="893">
        <f>A438+1</f>
        <v>218</v>
      </c>
      <c r="B440" s="881" t="s">
        <v>2447</v>
      </c>
      <c r="C440" s="881" t="s">
        <v>53</v>
      </c>
      <c r="D440" s="881"/>
      <c r="E440" s="1546"/>
      <c r="F440" s="915"/>
      <c r="G440" s="830">
        <v>537297.25300000003</v>
      </c>
      <c r="H440" s="830">
        <v>3518854.852</v>
      </c>
      <c r="I440" s="892"/>
      <c r="J440" s="893">
        <f>J438+1</f>
        <v>218</v>
      </c>
      <c r="K440" s="826" t="s">
        <v>2447</v>
      </c>
      <c r="L440" s="826" t="s">
        <v>53</v>
      </c>
      <c r="M440" s="895"/>
      <c r="N440" s="895"/>
      <c r="O440" s="895"/>
      <c r="P440" s="895"/>
      <c r="Q440" s="895"/>
      <c r="R440" s="895"/>
      <c r="S440" s="895"/>
      <c r="T440" s="895"/>
      <c r="U440" s="916"/>
      <c r="V440" s="1550"/>
      <c r="W440" s="830">
        <v>255.91300000000001</v>
      </c>
      <c r="X440" s="823"/>
      <c r="Y440" s="830">
        <v>537297.25300000003</v>
      </c>
      <c r="Z440" s="830">
        <v>3518854.852</v>
      </c>
      <c r="AA440" s="830"/>
    </row>
    <row r="441" spans="1:27">
      <c r="A441" s="895"/>
      <c r="B441" s="881"/>
      <c r="C441" s="881"/>
      <c r="D441" s="881">
        <v>378.00299999999999</v>
      </c>
      <c r="E441" s="1546"/>
      <c r="F441" s="915"/>
      <c r="G441" s="881"/>
      <c r="H441" s="881"/>
      <c r="I441" s="892"/>
      <c r="J441" s="895"/>
      <c r="K441" s="826"/>
      <c r="L441" s="881"/>
      <c r="M441" s="895"/>
      <c r="N441" s="895"/>
      <c r="O441" s="895"/>
      <c r="P441" s="895"/>
      <c r="Q441" s="895"/>
      <c r="R441" s="895"/>
      <c r="S441" s="895"/>
      <c r="T441" s="895"/>
      <c r="U441" s="916">
        <v>378.03199999999998</v>
      </c>
      <c r="V441" s="1550"/>
      <c r="W441" s="881"/>
      <c r="X441" s="823"/>
      <c r="Y441" s="881"/>
      <c r="Z441" s="881"/>
      <c r="AA441" s="881" t="s">
        <v>2470</v>
      </c>
    </row>
    <row r="442" spans="1:27">
      <c r="A442" s="893">
        <f>A440+1</f>
        <v>219</v>
      </c>
      <c r="B442" s="880" t="s">
        <v>2448</v>
      </c>
      <c r="C442" s="880" t="s">
        <v>1269</v>
      </c>
      <c r="D442" s="880"/>
      <c r="E442" s="1546">
        <v>515.47</v>
      </c>
      <c r="F442" s="55" t="s">
        <v>2449</v>
      </c>
      <c r="G442" s="829">
        <v>537254.97199999995</v>
      </c>
      <c r="H442" s="829">
        <v>3518479.1910000001</v>
      </c>
      <c r="I442" s="892"/>
      <c r="J442" s="893">
        <f>J440+1</f>
        <v>219</v>
      </c>
      <c r="K442" s="55" t="s">
        <v>2448</v>
      </c>
      <c r="L442" s="55" t="s">
        <v>1269</v>
      </c>
      <c r="M442" s="895"/>
      <c r="N442" s="895"/>
      <c r="O442" s="895"/>
      <c r="P442" s="895"/>
      <c r="Q442" s="895"/>
      <c r="R442" s="895"/>
      <c r="S442" s="895"/>
      <c r="T442" s="895"/>
      <c r="U442" s="901"/>
      <c r="V442" s="1550">
        <f>U443+U445</f>
        <v>515.46900000000005</v>
      </c>
      <c r="W442" s="829">
        <v>255.82599999999999</v>
      </c>
      <c r="X442" s="55" t="s">
        <v>2449</v>
      </c>
      <c r="Y442" s="829">
        <v>537254.97199999995</v>
      </c>
      <c r="Z442" s="829">
        <v>3518479.1910000001</v>
      </c>
      <c r="AA442" s="829"/>
    </row>
    <row r="443" spans="1:27">
      <c r="A443" s="895"/>
      <c r="B443" s="881"/>
      <c r="C443" s="881"/>
      <c r="D443" s="881">
        <v>283.15600000000001</v>
      </c>
      <c r="E443" s="1546"/>
      <c r="F443" s="915"/>
      <c r="G443" s="881"/>
      <c r="H443" s="881"/>
      <c r="I443" s="892"/>
      <c r="J443" s="895"/>
      <c r="K443" s="826"/>
      <c r="L443" s="881"/>
      <c r="M443" s="895"/>
      <c r="N443" s="895"/>
      <c r="O443" s="895"/>
      <c r="P443" s="895"/>
      <c r="Q443" s="895"/>
      <c r="R443" s="895"/>
      <c r="S443" s="895"/>
      <c r="T443" s="895"/>
      <c r="U443" s="916">
        <v>283.15699999999998</v>
      </c>
      <c r="V443" s="1550"/>
      <c r="W443" s="881"/>
      <c r="X443" s="915"/>
      <c r="Y443" s="881"/>
      <c r="Z443" s="881"/>
      <c r="AA443" s="881" t="s">
        <v>2471</v>
      </c>
    </row>
    <row r="444" spans="1:27">
      <c r="A444" s="893">
        <f>A442+1</f>
        <v>220</v>
      </c>
      <c r="B444" s="881" t="s">
        <v>2450</v>
      </c>
      <c r="C444" s="881" t="s">
        <v>76</v>
      </c>
      <c r="D444" s="881"/>
      <c r="E444" s="1546"/>
      <c r="F444" s="915"/>
      <c r="G444" s="830">
        <v>537244.53099999996</v>
      </c>
      <c r="H444" s="830">
        <v>3518196.227</v>
      </c>
      <c r="I444" s="892"/>
      <c r="J444" s="893">
        <f>J442+1</f>
        <v>220</v>
      </c>
      <c r="K444" s="826" t="s">
        <v>2450</v>
      </c>
      <c r="L444" s="826" t="s">
        <v>1277</v>
      </c>
      <c r="M444" s="895"/>
      <c r="N444" s="895"/>
      <c r="O444" s="895"/>
      <c r="P444" s="895"/>
      <c r="Q444" s="895"/>
      <c r="R444" s="895"/>
      <c r="S444" s="895"/>
      <c r="T444" s="895"/>
      <c r="U444" s="916"/>
      <c r="V444" s="1550"/>
      <c r="W444" s="830">
        <v>254.81</v>
      </c>
      <c r="X444" s="915"/>
      <c r="Y444" s="830">
        <v>537244.53099999996</v>
      </c>
      <c r="Z444" s="830">
        <v>3518196.227</v>
      </c>
      <c r="AA444" s="896" t="s">
        <v>2472</v>
      </c>
    </row>
    <row r="445" spans="1:27">
      <c r="A445" s="895"/>
      <c r="B445" s="881"/>
      <c r="C445" s="881"/>
      <c r="D445" s="881">
        <v>232.31200000000001</v>
      </c>
      <c r="E445" s="1546"/>
      <c r="F445" s="915"/>
      <c r="G445" s="881"/>
      <c r="H445" s="881"/>
      <c r="I445" s="892"/>
      <c r="J445" s="895"/>
      <c r="K445" s="826"/>
      <c r="L445" s="881"/>
      <c r="M445" s="895"/>
      <c r="N445" s="895"/>
      <c r="O445" s="895"/>
      <c r="P445" s="895"/>
      <c r="Q445" s="895"/>
      <c r="R445" s="895"/>
      <c r="S445" s="895"/>
      <c r="T445" s="895"/>
      <c r="U445" s="916">
        <v>232.31200000000001</v>
      </c>
      <c r="V445" s="1550"/>
      <c r="W445" s="881"/>
      <c r="X445" s="915"/>
      <c r="Y445" s="881"/>
      <c r="Z445" s="881"/>
      <c r="AA445" s="881"/>
    </row>
    <row r="446" spans="1:27">
      <c r="A446" s="893">
        <f>A444+1</f>
        <v>221</v>
      </c>
      <c r="B446" s="880" t="s">
        <v>2451</v>
      </c>
      <c r="C446" s="880" t="s">
        <v>1269</v>
      </c>
      <c r="D446" s="880"/>
      <c r="E446" s="880"/>
      <c r="F446" s="917" t="s">
        <v>2452</v>
      </c>
      <c r="G446" s="829">
        <v>537235.96499999997</v>
      </c>
      <c r="H446" s="829">
        <v>3517964.0729999999</v>
      </c>
      <c r="I446" s="892"/>
      <c r="J446" s="893">
        <f>J444+1</f>
        <v>221</v>
      </c>
      <c r="K446" s="55" t="s">
        <v>2451</v>
      </c>
      <c r="L446" s="55" t="s">
        <v>1269</v>
      </c>
      <c r="M446" s="895"/>
      <c r="N446" s="895"/>
      <c r="O446" s="895"/>
      <c r="P446" s="895"/>
      <c r="Q446" s="895"/>
      <c r="R446" s="895"/>
      <c r="S446" s="895"/>
      <c r="T446" s="895"/>
      <c r="U446" s="901"/>
      <c r="V446" s="824"/>
      <c r="W446" s="829">
        <v>254.46100000000001</v>
      </c>
      <c r="X446" s="55" t="s">
        <v>2452</v>
      </c>
      <c r="Y446" s="829">
        <v>537235.96499999997</v>
      </c>
      <c r="Z446" s="829">
        <v>3517964.0729999999</v>
      </c>
      <c r="AA446" s="829"/>
    </row>
    <row r="447" spans="1:27">
      <c r="A447" s="895"/>
      <c r="B447" s="881"/>
      <c r="C447" s="881"/>
      <c r="D447" s="881">
        <v>323.18599999999998</v>
      </c>
      <c r="E447" s="1546">
        <v>1409.68</v>
      </c>
      <c r="F447" s="915"/>
      <c r="G447" s="881"/>
      <c r="H447" s="881"/>
      <c r="I447" s="892"/>
      <c r="J447" s="895"/>
      <c r="K447" s="826"/>
      <c r="L447" s="881"/>
      <c r="M447" s="895"/>
      <c r="N447" s="895"/>
      <c r="O447" s="895"/>
      <c r="P447" s="895"/>
      <c r="Q447" s="895"/>
      <c r="R447" s="895"/>
      <c r="S447" s="895"/>
      <c r="T447" s="895"/>
      <c r="U447" s="916">
        <v>323.18599999999998</v>
      </c>
      <c r="V447" s="1550">
        <f>U447+U449+U451+U453</f>
        <v>1409.681</v>
      </c>
      <c r="W447" s="881"/>
      <c r="X447" s="915"/>
      <c r="Y447" s="881"/>
      <c r="Z447" s="881"/>
      <c r="AA447" s="881" t="s">
        <v>2473</v>
      </c>
    </row>
    <row r="448" spans="1:27">
      <c r="A448" s="893">
        <f>A446+1</f>
        <v>222</v>
      </c>
      <c r="B448" s="881" t="s">
        <v>2378</v>
      </c>
      <c r="C448" s="881" t="s">
        <v>76</v>
      </c>
      <c r="D448" s="881"/>
      <c r="E448" s="1546"/>
      <c r="F448" s="915"/>
      <c r="G448" s="830">
        <v>537189.43799999997</v>
      </c>
      <c r="H448" s="830">
        <v>3517644.2540000002</v>
      </c>
      <c r="I448" s="892"/>
      <c r="J448" s="893">
        <f>J446+1</f>
        <v>222</v>
      </c>
      <c r="K448" s="826" t="s">
        <v>2378</v>
      </c>
      <c r="L448" s="826" t="s">
        <v>76</v>
      </c>
      <c r="M448" s="895"/>
      <c r="N448" s="895"/>
      <c r="O448" s="895"/>
      <c r="P448" s="895"/>
      <c r="Q448" s="895"/>
      <c r="R448" s="895"/>
      <c r="S448" s="895"/>
      <c r="T448" s="895"/>
      <c r="U448" s="916"/>
      <c r="V448" s="1550"/>
      <c r="W448" s="830">
        <v>254.09100000000001</v>
      </c>
      <c r="X448" s="915"/>
      <c r="Y448" s="830">
        <v>537189.43799999997</v>
      </c>
      <c r="Z448" s="830">
        <v>3517644.2540000002</v>
      </c>
      <c r="AA448" s="830"/>
    </row>
    <row r="449" spans="1:27">
      <c r="A449" s="895"/>
      <c r="B449" s="881"/>
      <c r="C449" s="881"/>
      <c r="D449" s="881">
        <v>351.47500000000002</v>
      </c>
      <c r="E449" s="1546"/>
      <c r="F449" s="915"/>
      <c r="G449" s="881"/>
      <c r="H449" s="881"/>
      <c r="I449" s="892"/>
      <c r="J449" s="895"/>
      <c r="K449" s="826"/>
      <c r="L449" s="881"/>
      <c r="M449" s="895"/>
      <c r="N449" s="895"/>
      <c r="O449" s="895"/>
      <c r="P449" s="895"/>
      <c r="Q449" s="895"/>
      <c r="R449" s="895"/>
      <c r="S449" s="895"/>
      <c r="T449" s="895"/>
      <c r="U449" s="916">
        <v>351.47500000000002</v>
      </c>
      <c r="V449" s="1550"/>
      <c r="W449" s="881"/>
      <c r="X449" s="915"/>
      <c r="Y449" s="881"/>
      <c r="Z449" s="881"/>
      <c r="AA449" s="881" t="s">
        <v>2474</v>
      </c>
    </row>
    <row r="450" spans="1:27">
      <c r="A450" s="893">
        <f>A448+1</f>
        <v>223</v>
      </c>
      <c r="B450" s="881" t="s">
        <v>2453</v>
      </c>
      <c r="C450" s="881" t="s">
        <v>62</v>
      </c>
      <c r="D450" s="881"/>
      <c r="E450" s="1546"/>
      <c r="F450" s="915"/>
      <c r="G450" s="830">
        <v>537138.83900000004</v>
      </c>
      <c r="H450" s="830">
        <v>3517296.44</v>
      </c>
      <c r="I450" s="892"/>
      <c r="J450" s="893">
        <f>J448+1</f>
        <v>223</v>
      </c>
      <c r="K450" s="826" t="s">
        <v>2453</v>
      </c>
      <c r="L450" s="826" t="s">
        <v>62</v>
      </c>
      <c r="M450" s="895"/>
      <c r="N450" s="895"/>
      <c r="O450" s="895"/>
      <c r="P450" s="895"/>
      <c r="Q450" s="895"/>
      <c r="R450" s="895"/>
      <c r="S450" s="895"/>
      <c r="T450" s="895"/>
      <c r="U450" s="916"/>
      <c r="V450" s="1550"/>
      <c r="W450" s="830">
        <v>253.624</v>
      </c>
      <c r="X450" s="915"/>
      <c r="Y450" s="830">
        <v>537138.83900000004</v>
      </c>
      <c r="Z450" s="830">
        <v>3517296.44</v>
      </c>
      <c r="AA450" s="830"/>
    </row>
    <row r="451" spans="1:27">
      <c r="A451" s="895"/>
      <c r="B451" s="881"/>
      <c r="C451" s="881"/>
      <c r="D451" s="881">
        <v>368.87400000000002</v>
      </c>
      <c r="E451" s="1546"/>
      <c r="F451" s="915"/>
      <c r="G451" s="881"/>
      <c r="H451" s="881"/>
      <c r="I451" s="892"/>
      <c r="J451" s="895"/>
      <c r="K451" s="826"/>
      <c r="L451" s="881"/>
      <c r="M451" s="895"/>
      <c r="N451" s="895"/>
      <c r="O451" s="895"/>
      <c r="P451" s="895"/>
      <c r="Q451" s="895"/>
      <c r="R451" s="895"/>
      <c r="S451" s="895"/>
      <c r="T451" s="895"/>
      <c r="U451" s="916">
        <v>368.87400000000002</v>
      </c>
      <c r="V451" s="1550"/>
      <c r="W451" s="881"/>
      <c r="X451" s="915"/>
      <c r="Y451" s="881"/>
      <c r="Z451" s="881"/>
      <c r="AA451" s="881" t="s">
        <v>2475</v>
      </c>
    </row>
    <row r="452" spans="1:27">
      <c r="A452" s="893">
        <f>A450+1</f>
        <v>224</v>
      </c>
      <c r="B452" s="881" t="s">
        <v>2379</v>
      </c>
      <c r="C452" s="881" t="s">
        <v>76</v>
      </c>
      <c r="D452" s="881"/>
      <c r="E452" s="1546"/>
      <c r="F452" s="915"/>
      <c r="G452" s="830">
        <v>537085.73400000005</v>
      </c>
      <c r="H452" s="830">
        <v>3516931.409</v>
      </c>
      <c r="I452" s="892"/>
      <c r="J452" s="893">
        <f>J450+1</f>
        <v>224</v>
      </c>
      <c r="K452" s="826" t="s">
        <v>2379</v>
      </c>
      <c r="L452" s="826" t="s">
        <v>76</v>
      </c>
      <c r="M452" s="895"/>
      <c r="N452" s="895"/>
      <c r="O452" s="895"/>
      <c r="P452" s="895"/>
      <c r="Q452" s="895"/>
      <c r="R452" s="895"/>
      <c r="S452" s="895"/>
      <c r="T452" s="895"/>
      <c r="U452" s="916"/>
      <c r="V452" s="1550"/>
      <c r="W452" s="830">
        <v>252.684</v>
      </c>
      <c r="X452" s="915"/>
      <c r="Y452" s="830">
        <v>537085.73400000005</v>
      </c>
      <c r="Z452" s="830">
        <v>3516931.409</v>
      </c>
      <c r="AA452" s="830"/>
    </row>
    <row r="453" spans="1:27">
      <c r="A453" s="895"/>
      <c r="B453" s="881"/>
      <c r="C453" s="881"/>
      <c r="D453" s="881">
        <v>366.14699999999999</v>
      </c>
      <c r="E453" s="1546"/>
      <c r="F453" s="915"/>
      <c r="G453" s="881"/>
      <c r="H453" s="881"/>
      <c r="I453" s="892"/>
      <c r="J453" s="895"/>
      <c r="K453" s="826"/>
      <c r="L453" s="881"/>
      <c r="M453" s="895"/>
      <c r="N453" s="895"/>
      <c r="O453" s="895"/>
      <c r="P453" s="895"/>
      <c r="Q453" s="895"/>
      <c r="R453" s="895"/>
      <c r="S453" s="895"/>
      <c r="T453" s="895"/>
      <c r="U453" s="916">
        <v>366.14600000000002</v>
      </c>
      <c r="V453" s="1550"/>
      <c r="W453" s="881"/>
      <c r="X453" s="915"/>
      <c r="Y453" s="881"/>
      <c r="Z453" s="881"/>
      <c r="AA453" s="881" t="s">
        <v>2476</v>
      </c>
    </row>
    <row r="454" spans="1:27">
      <c r="A454" s="893">
        <f>A452+1</f>
        <v>225</v>
      </c>
      <c r="B454" s="880" t="s">
        <v>2454</v>
      </c>
      <c r="C454" s="880" t="s">
        <v>1277</v>
      </c>
      <c r="D454" s="880"/>
      <c r="E454" s="1546">
        <v>634.36</v>
      </c>
      <c r="F454" s="55" t="s">
        <v>2455</v>
      </c>
      <c r="G454" s="829">
        <v>537033.022</v>
      </c>
      <c r="H454" s="829">
        <v>3516569.0759999999</v>
      </c>
      <c r="I454" s="892"/>
      <c r="J454" s="893">
        <f>J452+1</f>
        <v>225</v>
      </c>
      <c r="K454" s="55" t="s">
        <v>2454</v>
      </c>
      <c r="L454" s="55" t="s">
        <v>1277</v>
      </c>
      <c r="M454" s="895"/>
      <c r="N454" s="895"/>
      <c r="O454" s="895"/>
      <c r="P454" s="895"/>
      <c r="Q454" s="895"/>
      <c r="R454" s="895"/>
      <c r="S454" s="895"/>
      <c r="T454" s="895"/>
      <c r="U454" s="901"/>
      <c r="V454" s="1550">
        <f>U455+U457</f>
        <v>634.35900000000004</v>
      </c>
      <c r="W454" s="829">
        <v>252.40199999999999</v>
      </c>
      <c r="X454" s="55" t="s">
        <v>2455</v>
      </c>
      <c r="Y454" s="829">
        <v>537033.022</v>
      </c>
      <c r="Z454" s="829">
        <v>3516569.0759999999</v>
      </c>
      <c r="AA454" s="829"/>
    </row>
    <row r="455" spans="1:27">
      <c r="A455" s="895"/>
      <c r="B455" s="881"/>
      <c r="C455" s="881"/>
      <c r="D455" s="881">
        <v>326.20999999999998</v>
      </c>
      <c r="E455" s="1546"/>
      <c r="F455" s="915"/>
      <c r="G455" s="881"/>
      <c r="H455" s="881"/>
      <c r="I455" s="892"/>
      <c r="J455" s="895"/>
      <c r="K455" s="826"/>
      <c r="L455" s="881"/>
      <c r="M455" s="895"/>
      <c r="N455" s="895"/>
      <c r="O455" s="895"/>
      <c r="P455" s="895"/>
      <c r="Q455" s="895"/>
      <c r="R455" s="895"/>
      <c r="S455" s="895"/>
      <c r="T455" s="895"/>
      <c r="U455" s="916">
        <v>326.21100000000001</v>
      </c>
      <c r="V455" s="1550"/>
      <c r="W455" s="881"/>
      <c r="X455" s="915"/>
      <c r="Y455" s="881"/>
      <c r="Z455" s="881"/>
      <c r="AA455" s="881" t="s">
        <v>2477</v>
      </c>
    </row>
    <row r="456" spans="1:27">
      <c r="A456" s="893">
        <f>A454+1</f>
        <v>226</v>
      </c>
      <c r="B456" s="881" t="s">
        <v>2377</v>
      </c>
      <c r="C456" s="881" t="s">
        <v>76</v>
      </c>
      <c r="D456" s="881"/>
      <c r="E456" s="1546"/>
      <c r="F456" s="915"/>
      <c r="G456" s="830">
        <v>537077.777</v>
      </c>
      <c r="H456" s="830">
        <v>3516245.9509999999</v>
      </c>
      <c r="I456" s="892"/>
      <c r="J456" s="893">
        <f>J454+1</f>
        <v>226</v>
      </c>
      <c r="K456" s="826" t="s">
        <v>2377</v>
      </c>
      <c r="L456" s="826" t="s">
        <v>76</v>
      </c>
      <c r="M456" s="895"/>
      <c r="N456" s="895"/>
      <c r="O456" s="895"/>
      <c r="P456" s="895"/>
      <c r="Q456" s="895"/>
      <c r="R456" s="895"/>
      <c r="S456" s="895"/>
      <c r="T456" s="895"/>
      <c r="U456" s="916"/>
      <c r="V456" s="1550"/>
      <c r="W456" s="830">
        <v>253.28100000000001</v>
      </c>
      <c r="X456" s="915"/>
      <c r="Y456" s="830">
        <v>537077.777</v>
      </c>
      <c r="Z456" s="830">
        <v>3516245.9509999999</v>
      </c>
      <c r="AA456" s="830"/>
    </row>
    <row r="457" spans="1:27">
      <c r="A457" s="895"/>
      <c r="B457" s="881"/>
      <c r="C457" s="881"/>
      <c r="D457" s="881">
        <v>308.149</v>
      </c>
      <c r="E457" s="1546"/>
      <c r="F457" s="915"/>
      <c r="G457" s="881"/>
      <c r="H457" s="881"/>
      <c r="I457" s="892"/>
      <c r="J457" s="895"/>
      <c r="K457" s="826"/>
      <c r="L457" s="881"/>
      <c r="M457" s="895"/>
      <c r="N457" s="895"/>
      <c r="O457" s="895"/>
      <c r="P457" s="895"/>
      <c r="Q457" s="895"/>
      <c r="R457" s="895"/>
      <c r="S457" s="895"/>
      <c r="T457" s="895"/>
      <c r="U457" s="916">
        <v>308.14800000000002</v>
      </c>
      <c r="V457" s="1550"/>
      <c r="W457" s="881"/>
      <c r="X457" s="915"/>
      <c r="Y457" s="881"/>
      <c r="Z457" s="881"/>
      <c r="AA457" s="881" t="s">
        <v>2478</v>
      </c>
    </row>
    <row r="458" spans="1:27">
      <c r="A458" s="893">
        <f>A456+1</f>
        <v>227</v>
      </c>
      <c r="B458" s="880" t="s">
        <v>2456</v>
      </c>
      <c r="C458" s="880" t="s">
        <v>1277</v>
      </c>
      <c r="D458" s="880"/>
      <c r="E458" s="1546">
        <v>518.17999999999995</v>
      </c>
      <c r="F458" s="55" t="s">
        <v>2457</v>
      </c>
      <c r="G458" s="829">
        <v>537120.054</v>
      </c>
      <c r="H458" s="829">
        <v>3515940.716</v>
      </c>
      <c r="I458" s="892"/>
      <c r="J458" s="893">
        <f>J456+1</f>
        <v>227</v>
      </c>
      <c r="K458" s="55" t="s">
        <v>2456</v>
      </c>
      <c r="L458" s="55" t="s">
        <v>1277</v>
      </c>
      <c r="M458" s="895"/>
      <c r="N458" s="895"/>
      <c r="O458" s="895"/>
      <c r="P458" s="895"/>
      <c r="Q458" s="895"/>
      <c r="R458" s="895"/>
      <c r="S458" s="895"/>
      <c r="T458" s="895"/>
      <c r="U458" s="901"/>
      <c r="V458" s="1550">
        <f>U459+U461</f>
        <v>518.17499999999995</v>
      </c>
      <c r="W458" s="829">
        <v>253.51</v>
      </c>
      <c r="X458" s="55" t="s">
        <v>2457</v>
      </c>
      <c r="Y458" s="829">
        <v>537120.054</v>
      </c>
      <c r="Z458" s="829">
        <v>3515940.716</v>
      </c>
      <c r="AA458" s="829"/>
    </row>
    <row r="459" spans="1:27">
      <c r="A459" s="895"/>
      <c r="B459" s="881"/>
      <c r="C459" s="881"/>
      <c r="D459" s="881">
        <v>285.935</v>
      </c>
      <c r="E459" s="1546"/>
      <c r="F459" s="915"/>
      <c r="G459" s="881"/>
      <c r="H459" s="881"/>
      <c r="I459" s="892"/>
      <c r="J459" s="895"/>
      <c r="K459" s="826"/>
      <c r="L459" s="881"/>
      <c r="M459" s="895"/>
      <c r="N459" s="895"/>
      <c r="O459" s="895"/>
      <c r="P459" s="895"/>
      <c r="Q459" s="895"/>
      <c r="R459" s="895"/>
      <c r="S459" s="895"/>
      <c r="T459" s="895"/>
      <c r="U459" s="916">
        <v>285.93599999999998</v>
      </c>
      <c r="V459" s="1550"/>
      <c r="W459" s="881"/>
      <c r="X459" s="915"/>
      <c r="Y459" s="881"/>
      <c r="Z459" s="881"/>
      <c r="AA459" s="881" t="s">
        <v>2479</v>
      </c>
    </row>
    <row r="460" spans="1:27">
      <c r="A460" s="893">
        <f>A458+1</f>
        <v>228</v>
      </c>
      <c r="B460" s="881" t="s">
        <v>2458</v>
      </c>
      <c r="C460" s="881" t="s">
        <v>76</v>
      </c>
      <c r="D460" s="881"/>
      <c r="E460" s="1546"/>
      <c r="F460" s="915"/>
      <c r="G460" s="830">
        <v>537280.62300000002</v>
      </c>
      <c r="H460" s="830">
        <v>3515704.1230000001</v>
      </c>
      <c r="I460" s="892"/>
      <c r="J460" s="893">
        <f>J458+1</f>
        <v>228</v>
      </c>
      <c r="K460" s="826" t="s">
        <v>2458</v>
      </c>
      <c r="L460" s="826" t="s">
        <v>76</v>
      </c>
      <c r="M460" s="895"/>
      <c r="N460" s="895"/>
      <c r="O460" s="895"/>
      <c r="P460" s="895"/>
      <c r="Q460" s="895"/>
      <c r="R460" s="895"/>
      <c r="S460" s="895"/>
      <c r="T460" s="895"/>
      <c r="U460" s="916"/>
      <c r="V460" s="1550"/>
      <c r="W460" s="830">
        <v>253.74799999999999</v>
      </c>
      <c r="X460" s="915"/>
      <c r="Y460" s="830">
        <v>537280.62300000002</v>
      </c>
      <c r="Z460" s="830">
        <v>3515704.1230000001</v>
      </c>
      <c r="AA460" s="830"/>
    </row>
    <row r="461" spans="1:27">
      <c r="A461" s="895"/>
      <c r="B461" s="881"/>
      <c r="C461" s="881"/>
      <c r="D461" s="881">
        <v>232.24</v>
      </c>
      <c r="E461" s="1546"/>
      <c r="F461" s="915"/>
      <c r="G461" s="881"/>
      <c r="H461" s="881"/>
      <c r="I461" s="892"/>
      <c r="J461" s="895"/>
      <c r="K461" s="826"/>
      <c r="L461" s="881"/>
      <c r="M461" s="895"/>
      <c r="N461" s="895"/>
      <c r="O461" s="895"/>
      <c r="P461" s="895"/>
      <c r="Q461" s="895"/>
      <c r="R461" s="895"/>
      <c r="S461" s="895"/>
      <c r="T461" s="895"/>
      <c r="U461" s="916">
        <v>232.239</v>
      </c>
      <c r="V461" s="1550"/>
      <c r="W461" s="881"/>
      <c r="X461" s="915"/>
      <c r="Y461" s="881"/>
      <c r="Z461" s="881"/>
      <c r="AA461" s="881" t="s">
        <v>2480</v>
      </c>
    </row>
    <row r="462" spans="1:27">
      <c r="A462" s="893">
        <f>A460+1</f>
        <v>229</v>
      </c>
      <c r="B462" s="880" t="s">
        <v>2459</v>
      </c>
      <c r="C462" s="880" t="s">
        <v>1319</v>
      </c>
      <c r="D462" s="880"/>
      <c r="E462" s="1546">
        <v>1212.3699999999999</v>
      </c>
      <c r="F462" s="822" t="s">
        <v>2460</v>
      </c>
      <c r="G462" s="829">
        <v>537411.04</v>
      </c>
      <c r="H462" s="829">
        <v>3515511.9589999998</v>
      </c>
      <c r="I462" s="892"/>
      <c r="J462" s="893">
        <f>J460+1</f>
        <v>229</v>
      </c>
      <c r="K462" s="55" t="s">
        <v>2459</v>
      </c>
      <c r="L462" s="55" t="s">
        <v>1319</v>
      </c>
      <c r="M462" s="895"/>
      <c r="N462" s="895"/>
      <c r="O462" s="895"/>
      <c r="P462" s="895"/>
      <c r="Q462" s="895"/>
      <c r="R462" s="895"/>
      <c r="S462" s="895"/>
      <c r="T462" s="895"/>
      <c r="U462" s="901"/>
      <c r="V462" s="1550">
        <f>U463+U465+U467</f>
        <v>1212.3690000000001</v>
      </c>
      <c r="W462" s="829">
        <v>254.13200000000001</v>
      </c>
      <c r="X462" s="55" t="s">
        <v>2460</v>
      </c>
      <c r="Y462" s="829">
        <v>537411.04</v>
      </c>
      <c r="Z462" s="829">
        <v>3515511.9589999998</v>
      </c>
      <c r="AA462" s="829"/>
    </row>
    <row r="463" spans="1:27">
      <c r="A463" s="895"/>
      <c r="B463" s="881"/>
      <c r="C463" s="881"/>
      <c r="D463" s="881">
        <v>396.91300000000001</v>
      </c>
      <c r="E463" s="1546"/>
      <c r="F463" s="825"/>
      <c r="G463" s="881"/>
      <c r="H463" s="881"/>
      <c r="I463" s="892"/>
      <c r="J463" s="895"/>
      <c r="K463" s="826"/>
      <c r="L463" s="881"/>
      <c r="M463" s="895"/>
      <c r="N463" s="895"/>
      <c r="O463" s="895"/>
      <c r="P463" s="895"/>
      <c r="Q463" s="895"/>
      <c r="R463" s="895"/>
      <c r="S463" s="895"/>
      <c r="T463" s="895"/>
      <c r="U463" s="916">
        <v>396.91399999999999</v>
      </c>
      <c r="V463" s="1550"/>
      <c r="W463" s="881"/>
      <c r="X463" s="826"/>
      <c r="Y463" s="881"/>
      <c r="Z463" s="881"/>
      <c r="AA463" s="881" t="s">
        <v>2481</v>
      </c>
    </row>
    <row r="464" spans="1:27">
      <c r="A464" s="893">
        <f>A462+1</f>
        <v>230</v>
      </c>
      <c r="B464" s="881" t="s">
        <v>2461</v>
      </c>
      <c r="C464" s="881" t="s">
        <v>62</v>
      </c>
      <c r="D464" s="881"/>
      <c r="E464" s="1546"/>
      <c r="F464" s="825"/>
      <c r="G464" s="830">
        <v>537356.68700000003</v>
      </c>
      <c r="H464" s="830">
        <v>3515118.7850000001</v>
      </c>
      <c r="I464" s="892"/>
      <c r="J464" s="893">
        <f>J462+1</f>
        <v>230</v>
      </c>
      <c r="K464" s="826" t="s">
        <v>2461</v>
      </c>
      <c r="L464" s="826" t="s">
        <v>62</v>
      </c>
      <c r="M464" s="895"/>
      <c r="N464" s="895"/>
      <c r="O464" s="895"/>
      <c r="P464" s="895"/>
      <c r="Q464" s="895"/>
      <c r="R464" s="895"/>
      <c r="S464" s="895"/>
      <c r="T464" s="895"/>
      <c r="U464" s="916"/>
      <c r="V464" s="1550"/>
      <c r="W464" s="830">
        <v>253.923</v>
      </c>
      <c r="X464" s="827"/>
      <c r="Y464" s="830">
        <v>537356.68700000003</v>
      </c>
      <c r="Z464" s="830">
        <v>3515118.7850000001</v>
      </c>
      <c r="AA464" s="830"/>
    </row>
    <row r="465" spans="1:27">
      <c r="A465" s="895"/>
      <c r="B465" s="881"/>
      <c r="C465" s="881"/>
      <c r="D465" s="881">
        <v>412.77600000000001</v>
      </c>
      <c r="E465" s="1546"/>
      <c r="F465" s="825"/>
      <c r="G465" s="881"/>
      <c r="H465" s="881"/>
      <c r="I465" s="892"/>
      <c r="J465" s="895"/>
      <c r="K465" s="826"/>
      <c r="L465" s="881"/>
      <c r="M465" s="895"/>
      <c r="N465" s="895"/>
      <c r="O465" s="895"/>
      <c r="P465" s="895"/>
      <c r="Q465" s="895"/>
      <c r="R465" s="895"/>
      <c r="S465" s="895"/>
      <c r="T465" s="895"/>
      <c r="U465" s="916">
        <v>412.76600000000002</v>
      </c>
      <c r="V465" s="1550"/>
      <c r="W465" s="881"/>
      <c r="X465" s="827"/>
      <c r="Y465" s="881"/>
      <c r="Z465" s="881"/>
      <c r="AA465" s="881" t="s">
        <v>2482</v>
      </c>
    </row>
    <row r="466" spans="1:27">
      <c r="A466" s="893">
        <f>A464+1</f>
        <v>231</v>
      </c>
      <c r="B466" s="881" t="s">
        <v>2462</v>
      </c>
      <c r="C466" s="881" t="s">
        <v>53</v>
      </c>
      <c r="D466" s="881"/>
      <c r="E466" s="1546"/>
      <c r="F466" s="825"/>
      <c r="G466" s="830">
        <v>537300.16299999994</v>
      </c>
      <c r="H466" s="830">
        <v>3514709.9070000001</v>
      </c>
      <c r="I466" s="892"/>
      <c r="J466" s="893">
        <f>J464+1</f>
        <v>231</v>
      </c>
      <c r="K466" s="826" t="s">
        <v>2462</v>
      </c>
      <c r="L466" s="826" t="s">
        <v>53</v>
      </c>
      <c r="M466" s="895"/>
      <c r="N466" s="895"/>
      <c r="O466" s="895"/>
      <c r="P466" s="895"/>
      <c r="Q466" s="895"/>
      <c r="R466" s="895"/>
      <c r="S466" s="895"/>
      <c r="T466" s="895"/>
      <c r="U466" s="916"/>
      <c r="V466" s="1550"/>
      <c r="W466" s="830">
        <v>253.78299999999999</v>
      </c>
      <c r="X466" s="827"/>
      <c r="Y466" s="830">
        <v>537300.16299999994</v>
      </c>
      <c r="Z466" s="830">
        <v>3514709.9070000001</v>
      </c>
      <c r="AA466" s="830"/>
    </row>
    <row r="467" spans="1:27">
      <c r="A467" s="895"/>
      <c r="B467" s="881"/>
      <c r="C467" s="881"/>
      <c r="D467" s="881">
        <v>402.69</v>
      </c>
      <c r="E467" s="1546"/>
      <c r="F467" s="825"/>
      <c r="G467" s="881"/>
      <c r="H467" s="881"/>
      <c r="I467" s="892"/>
      <c r="J467" s="895"/>
      <c r="K467" s="826"/>
      <c r="L467" s="881"/>
      <c r="M467" s="895"/>
      <c r="N467" s="895"/>
      <c r="O467" s="895"/>
      <c r="P467" s="895"/>
      <c r="Q467" s="895"/>
      <c r="R467" s="895"/>
      <c r="S467" s="895"/>
      <c r="T467" s="895"/>
      <c r="U467" s="916">
        <v>402.68900000000002</v>
      </c>
      <c r="V467" s="1550"/>
      <c r="W467" s="881"/>
      <c r="X467" s="827"/>
      <c r="Y467" s="881"/>
      <c r="Z467" s="881"/>
      <c r="AA467" s="881" t="s">
        <v>2483</v>
      </c>
    </row>
    <row r="468" spans="1:27">
      <c r="A468" s="893">
        <f>A466+1</f>
        <v>232</v>
      </c>
      <c r="B468" s="880" t="s">
        <v>2463</v>
      </c>
      <c r="C468" s="880" t="s">
        <v>1361</v>
      </c>
      <c r="D468" s="880"/>
      <c r="E468" s="1546">
        <v>1136.05</v>
      </c>
      <c r="F468" s="822" t="s">
        <v>2493</v>
      </c>
      <c r="G468" s="829">
        <v>537245.01800000004</v>
      </c>
      <c r="H468" s="829">
        <v>3514311.0109999999</v>
      </c>
      <c r="I468" s="892"/>
      <c r="J468" s="893">
        <f>J466+1</f>
        <v>232</v>
      </c>
      <c r="K468" s="55" t="s">
        <v>2463</v>
      </c>
      <c r="L468" s="55" t="s">
        <v>1361</v>
      </c>
      <c r="M468" s="895"/>
      <c r="N468" s="895"/>
      <c r="O468" s="895"/>
      <c r="P468" s="895"/>
      <c r="Q468" s="895"/>
      <c r="R468" s="895"/>
      <c r="S468" s="895"/>
      <c r="T468" s="895"/>
      <c r="U468" s="901"/>
      <c r="V468" s="1548">
        <f>U469+U471+U473</f>
        <v>1136.8589999999999</v>
      </c>
      <c r="W468" s="829">
        <v>253.607</v>
      </c>
      <c r="X468" s="55" t="s">
        <v>2484</v>
      </c>
      <c r="Y468" s="829">
        <v>537245.01800000004</v>
      </c>
      <c r="Z468" s="829">
        <v>3514311.0109999999</v>
      </c>
      <c r="AA468" s="829"/>
    </row>
    <row r="469" spans="1:27">
      <c r="A469" s="895"/>
      <c r="B469" s="881"/>
      <c r="C469" s="881"/>
      <c r="D469" s="881">
        <v>373.86599999999999</v>
      </c>
      <c r="E469" s="1546"/>
      <c r="F469" s="825"/>
      <c r="G469" s="881"/>
      <c r="H469" s="881"/>
      <c r="I469" s="892"/>
      <c r="J469" s="895"/>
      <c r="K469" s="826"/>
      <c r="L469" s="881"/>
      <c r="M469" s="895"/>
      <c r="N469" s="895"/>
      <c r="O469" s="895"/>
      <c r="P469" s="895"/>
      <c r="Q469" s="895"/>
      <c r="R469" s="895"/>
      <c r="S469" s="895"/>
      <c r="T469" s="895"/>
      <c r="U469" s="916">
        <v>374.13299999999998</v>
      </c>
      <c r="V469" s="1548"/>
      <c r="W469" s="881"/>
      <c r="X469" s="827"/>
      <c r="Y469" s="828"/>
      <c r="Z469" s="828"/>
      <c r="AA469" s="828" t="s">
        <v>2485</v>
      </c>
    </row>
    <row r="470" spans="1:27">
      <c r="A470" s="893">
        <f>A468+1</f>
        <v>233</v>
      </c>
      <c r="B470" s="881" t="s">
        <v>2464</v>
      </c>
      <c r="C470" s="881" t="s">
        <v>76</v>
      </c>
      <c r="D470" s="881"/>
      <c r="E470" s="1546"/>
      <c r="F470" s="825"/>
      <c r="G470" s="830">
        <v>537325.24399999995</v>
      </c>
      <c r="H470" s="830">
        <v>3513945.8539999998</v>
      </c>
      <c r="I470" s="892"/>
      <c r="J470" s="893">
        <f>J468+1</f>
        <v>233</v>
      </c>
      <c r="K470" s="826" t="s">
        <v>2464</v>
      </c>
      <c r="L470" s="826" t="s">
        <v>76</v>
      </c>
      <c r="M470" s="895"/>
      <c r="N470" s="895"/>
      <c r="O470" s="895"/>
      <c r="P470" s="895"/>
      <c r="Q470" s="895"/>
      <c r="R470" s="895"/>
      <c r="S470" s="895"/>
      <c r="T470" s="895"/>
      <c r="U470" s="916"/>
      <c r="V470" s="1548"/>
      <c r="W470" s="830">
        <v>253.477</v>
      </c>
      <c r="X470" s="827"/>
      <c r="Y470" s="828">
        <v>537320.478</v>
      </c>
      <c r="Z470" s="828">
        <v>3513944.5669999998</v>
      </c>
      <c r="AA470" s="828"/>
    </row>
    <row r="471" spans="1:27">
      <c r="A471" s="895"/>
      <c r="B471" s="881"/>
      <c r="C471" s="881"/>
      <c r="D471" s="881">
        <v>377.108</v>
      </c>
      <c r="E471" s="1546"/>
      <c r="F471" s="825"/>
      <c r="G471" s="881"/>
      <c r="H471" s="881"/>
      <c r="I471" s="892"/>
      <c r="J471" s="895"/>
      <c r="K471" s="826"/>
      <c r="L471" s="881"/>
      <c r="M471" s="895"/>
      <c r="N471" s="895"/>
      <c r="O471" s="895"/>
      <c r="P471" s="895"/>
      <c r="Q471" s="895"/>
      <c r="R471" s="895"/>
      <c r="S471" s="895"/>
      <c r="T471" s="895"/>
      <c r="U471" s="916">
        <v>377.37599999999998</v>
      </c>
      <c r="V471" s="1548"/>
      <c r="W471" s="881"/>
      <c r="X471" s="827"/>
      <c r="Y471" s="828"/>
      <c r="Z471" s="828" t="s">
        <v>1543</v>
      </c>
      <c r="AA471" s="828" t="s">
        <v>2486</v>
      </c>
    </row>
    <row r="472" spans="1:27">
      <c r="A472" s="893">
        <f>A470+1</f>
        <v>234</v>
      </c>
      <c r="B472" s="881" t="s">
        <v>2465</v>
      </c>
      <c r="C472" s="881" t="s">
        <v>76</v>
      </c>
      <c r="D472" s="881"/>
      <c r="E472" s="1546"/>
      <c r="F472" s="825"/>
      <c r="G472" s="830">
        <v>537406.16399999999</v>
      </c>
      <c r="H472" s="830">
        <v>3513577.53</v>
      </c>
      <c r="I472" s="892"/>
      <c r="J472" s="893">
        <f>J470+1</f>
        <v>234</v>
      </c>
      <c r="K472" s="826" t="s">
        <v>2465</v>
      </c>
      <c r="L472" s="826" t="s">
        <v>76</v>
      </c>
      <c r="M472" s="895"/>
      <c r="N472" s="895"/>
      <c r="O472" s="895"/>
      <c r="P472" s="895"/>
      <c r="Q472" s="895"/>
      <c r="R472" s="895"/>
      <c r="S472" s="895"/>
      <c r="T472" s="895"/>
      <c r="U472" s="916"/>
      <c r="V472" s="1548"/>
      <c r="W472" s="830">
        <v>253.35400000000001</v>
      </c>
      <c r="X472" s="827"/>
      <c r="Y472" s="828">
        <v>537396.59100000001</v>
      </c>
      <c r="Z472" s="828">
        <v>3513574.946</v>
      </c>
      <c r="AA472" s="828"/>
    </row>
    <row r="473" spans="1:27">
      <c r="A473" s="895"/>
      <c r="B473" s="881"/>
      <c r="C473" s="881"/>
      <c r="D473" s="881">
        <v>385.07600000000002</v>
      </c>
      <c r="E473" s="1546"/>
      <c r="F473" s="825"/>
      <c r="G473" s="881"/>
      <c r="H473" s="881"/>
      <c r="I473" s="892"/>
      <c r="J473" s="895"/>
      <c r="K473" s="826"/>
      <c r="L473" s="881"/>
      <c r="M473" s="895"/>
      <c r="N473" s="895"/>
      <c r="O473" s="895"/>
      <c r="P473" s="895"/>
      <c r="Q473" s="895"/>
      <c r="R473" s="895"/>
      <c r="S473" s="895"/>
      <c r="T473" s="895"/>
      <c r="U473" s="916">
        <v>385.35</v>
      </c>
      <c r="V473" s="1548"/>
      <c r="W473" s="881"/>
      <c r="X473" s="827"/>
      <c r="Y473" s="828"/>
      <c r="Z473" s="828"/>
      <c r="AA473" s="828" t="s">
        <v>2487</v>
      </c>
    </row>
    <row r="474" spans="1:27" ht="29">
      <c r="A474" s="893">
        <f>A472+1</f>
        <v>235</v>
      </c>
      <c r="B474" s="880" t="s">
        <v>2494</v>
      </c>
      <c r="C474" s="880" t="s">
        <v>1269</v>
      </c>
      <c r="D474" s="880"/>
      <c r="E474" s="1549">
        <v>753.4</v>
      </c>
      <c r="F474" s="822" t="s">
        <v>2495</v>
      </c>
      <c r="G474" s="880">
        <v>537488.79500000004</v>
      </c>
      <c r="H474" s="880">
        <v>3513201.4240000001</v>
      </c>
      <c r="I474" s="892"/>
      <c r="J474" s="893">
        <f>J472+1</f>
        <v>235</v>
      </c>
      <c r="K474" s="55" t="s">
        <v>2466</v>
      </c>
      <c r="L474" s="880" t="s">
        <v>1269</v>
      </c>
      <c r="M474" s="895"/>
      <c r="N474" s="895"/>
      <c r="O474" s="895"/>
      <c r="P474" s="895"/>
      <c r="Q474" s="895"/>
      <c r="R474" s="895"/>
      <c r="S474" s="895"/>
      <c r="T474" s="895"/>
      <c r="U474" s="901"/>
      <c r="V474" s="1548">
        <f>U475+U477</f>
        <v>753.54600000000005</v>
      </c>
      <c r="W474" s="880">
        <v>253.22900000000001</v>
      </c>
      <c r="X474" s="55" t="s">
        <v>2488</v>
      </c>
      <c r="Y474" s="760">
        <v>537474.31299999997</v>
      </c>
      <c r="Z474" s="760">
        <v>3513197.5159999998</v>
      </c>
      <c r="AA474" s="828" t="s">
        <v>2489</v>
      </c>
    </row>
    <row r="475" spans="1:27">
      <c r="A475" s="895"/>
      <c r="B475" s="881"/>
      <c r="C475" s="881"/>
      <c r="D475" s="881">
        <v>395.17200000000003</v>
      </c>
      <c r="E475" s="1549"/>
      <c r="F475" s="825"/>
      <c r="G475" s="881"/>
      <c r="H475" s="881"/>
      <c r="I475" s="892"/>
      <c r="J475" s="895"/>
      <c r="K475" s="826"/>
      <c r="L475" s="881"/>
      <c r="M475" s="895"/>
      <c r="N475" s="895"/>
      <c r="O475" s="895"/>
      <c r="P475" s="895"/>
      <c r="Q475" s="895"/>
      <c r="R475" s="895"/>
      <c r="S475" s="895"/>
      <c r="T475" s="895"/>
      <c r="U475" s="916">
        <v>395.25</v>
      </c>
      <c r="V475" s="1548"/>
      <c r="W475" s="881"/>
      <c r="X475" s="827"/>
      <c r="Y475" s="828"/>
      <c r="Z475" s="828"/>
      <c r="AA475" s="828" t="s">
        <v>2490</v>
      </c>
    </row>
    <row r="476" spans="1:27">
      <c r="A476" s="893">
        <f>A474+1</f>
        <v>236</v>
      </c>
      <c r="B476" s="881" t="s">
        <v>2467</v>
      </c>
      <c r="C476" s="881" t="s">
        <v>62</v>
      </c>
      <c r="D476" s="881"/>
      <c r="E476" s="1549"/>
      <c r="F476" s="825"/>
      <c r="G476" s="881">
        <v>537591.74800000002</v>
      </c>
      <c r="H476" s="881">
        <v>3512819.8990000002</v>
      </c>
      <c r="I476" s="892"/>
      <c r="J476" s="893">
        <f>J474+1</f>
        <v>236</v>
      </c>
      <c r="K476" s="826" t="s">
        <v>2467</v>
      </c>
      <c r="L476" s="881" t="s">
        <v>62</v>
      </c>
      <c r="M476" s="895"/>
      <c r="N476" s="895"/>
      <c r="O476" s="895"/>
      <c r="P476" s="895"/>
      <c r="Q476" s="895"/>
      <c r="R476" s="895"/>
      <c r="S476" s="895"/>
      <c r="T476" s="895"/>
      <c r="U476" s="916"/>
      <c r="V476" s="1548"/>
      <c r="W476" s="881">
        <v>254.136</v>
      </c>
      <c r="X476" s="827"/>
      <c r="Y476" s="828">
        <v>537584.94099999999</v>
      </c>
      <c r="Z476" s="828">
        <v>3512817.7719999999</v>
      </c>
      <c r="AA476" s="828"/>
    </row>
    <row r="477" spans="1:27">
      <c r="A477" s="895"/>
      <c r="B477" s="881"/>
      <c r="C477" s="881"/>
      <c r="D477" s="881">
        <v>358.22500000000002</v>
      </c>
      <c r="E477" s="1549"/>
      <c r="F477" s="764"/>
      <c r="G477" s="830"/>
      <c r="H477" s="830"/>
      <c r="I477" s="892"/>
      <c r="J477" s="895"/>
      <c r="K477" s="826"/>
      <c r="L477" s="826"/>
      <c r="M477" s="895"/>
      <c r="N477" s="895"/>
      <c r="O477" s="895"/>
      <c r="P477" s="895"/>
      <c r="Q477" s="895"/>
      <c r="R477" s="895"/>
      <c r="S477" s="895"/>
      <c r="T477" s="895"/>
      <c r="U477" s="916">
        <v>358.29599999999999</v>
      </c>
      <c r="V477" s="1548"/>
      <c r="W477" s="830"/>
      <c r="X477" s="827"/>
      <c r="Y477" s="828"/>
      <c r="Z477" s="828"/>
      <c r="AA477" s="828" t="s">
        <v>2491</v>
      </c>
    </row>
    <row r="478" spans="1:27">
      <c r="A478" s="893">
        <f>A476+1</f>
        <v>237</v>
      </c>
      <c r="B478" s="881" t="s">
        <v>2496</v>
      </c>
      <c r="C478" s="881" t="s">
        <v>1319</v>
      </c>
      <c r="D478" s="881"/>
      <c r="E478" s="1549"/>
      <c r="F478" s="822" t="s">
        <v>2497</v>
      </c>
      <c r="G478" s="826">
        <v>537685.70600000001</v>
      </c>
      <c r="H478" s="827">
        <v>3512474.0449999999</v>
      </c>
      <c r="I478" s="892"/>
      <c r="J478" s="893">
        <f>J476+1</f>
        <v>237</v>
      </c>
      <c r="K478" s="826" t="s">
        <v>2468</v>
      </c>
      <c r="L478" s="826" t="s">
        <v>1319</v>
      </c>
      <c r="M478" s="895"/>
      <c r="N478" s="895"/>
      <c r="O478" s="895"/>
      <c r="P478" s="895"/>
      <c r="Q478" s="895"/>
      <c r="R478" s="895"/>
      <c r="S478" s="895"/>
      <c r="T478" s="895"/>
      <c r="U478" s="828"/>
      <c r="V478" s="828"/>
      <c r="W478" s="826">
        <v>253.947</v>
      </c>
      <c r="X478" s="55" t="s">
        <v>2492</v>
      </c>
      <c r="Y478" s="828">
        <v>537685.076</v>
      </c>
      <c r="Z478" s="828">
        <v>3512474.0449999999</v>
      </c>
      <c r="AA478" s="828"/>
    </row>
    <row r="479" spans="1:27" ht="8" customHeight="1">
      <c r="A479" s="911" t="s">
        <v>2627</v>
      </c>
      <c r="B479" s="911"/>
      <c r="C479" s="912"/>
      <c r="D479" s="912"/>
      <c r="E479" s="911"/>
      <c r="F479" s="911"/>
      <c r="G479" s="911"/>
      <c r="H479" s="911"/>
      <c r="I479" s="911"/>
      <c r="J479" s="911"/>
      <c r="K479" s="911"/>
      <c r="L479" s="911"/>
      <c r="M479" s="911"/>
      <c r="N479" s="911"/>
      <c r="O479" s="911"/>
      <c r="P479" s="911"/>
      <c r="Q479" s="911"/>
      <c r="R479" s="911"/>
      <c r="S479" s="911"/>
      <c r="T479" s="911"/>
      <c r="U479" s="913"/>
      <c r="V479" s="911"/>
      <c r="W479" s="911"/>
      <c r="X479" s="911"/>
      <c r="Y479" s="911"/>
      <c r="Z479" s="911"/>
      <c r="AA479" s="914"/>
    </row>
    <row r="480" spans="1:27" s="890" customFormat="1">
      <c r="A480" s="918">
        <f>A478+1</f>
        <v>238</v>
      </c>
      <c r="B480" s="826" t="s">
        <v>2498</v>
      </c>
      <c r="C480" s="826" t="s">
        <v>1277</v>
      </c>
      <c r="D480" s="830"/>
      <c r="E480" s="1545">
        <f>D481+D483+D485+D487+D489+D491+D493</f>
        <v>2841.9870000000001</v>
      </c>
      <c r="F480" s="837" t="s">
        <v>2499</v>
      </c>
      <c r="G480" s="830">
        <v>538168.00899999996</v>
      </c>
      <c r="H480" s="830">
        <v>3509218.148</v>
      </c>
      <c r="I480" s="835"/>
      <c r="J480" s="918">
        <f>J478+1</f>
        <v>238</v>
      </c>
      <c r="K480" s="826" t="s">
        <v>2498</v>
      </c>
      <c r="L480" s="826" t="s">
        <v>1277</v>
      </c>
      <c r="M480" s="897"/>
      <c r="N480" s="897"/>
      <c r="O480" s="897"/>
      <c r="P480" s="897"/>
      <c r="Q480" s="897"/>
      <c r="R480" s="897"/>
      <c r="S480" s="897"/>
      <c r="T480" s="897"/>
      <c r="U480" s="916"/>
      <c r="V480" s="1547">
        <f>U481+U483+U485+U487+U489+U491+U493</f>
        <v>2841.9879999999998</v>
      </c>
      <c r="W480" s="830">
        <v>252.715</v>
      </c>
      <c r="X480" s="764" t="s">
        <v>2499</v>
      </c>
      <c r="Y480" s="830">
        <v>538168.00899999996</v>
      </c>
      <c r="Z480" s="830">
        <v>3509218.148</v>
      </c>
      <c r="AA480" s="830"/>
    </row>
    <row r="481" spans="1:27" s="890" customFormat="1">
      <c r="A481" s="897"/>
      <c r="B481" s="884"/>
      <c r="C481" s="880"/>
      <c r="D481" s="884">
        <v>407.94499999999999</v>
      </c>
      <c r="E481" s="1545"/>
      <c r="F481" s="837"/>
      <c r="G481" s="880"/>
      <c r="H481" s="880"/>
      <c r="I481" s="919"/>
      <c r="J481" s="897"/>
      <c r="K481" s="884"/>
      <c r="L481" s="880"/>
      <c r="M481" s="897"/>
      <c r="N481" s="897"/>
      <c r="O481" s="897"/>
      <c r="P481" s="897"/>
      <c r="Q481" s="897"/>
      <c r="R481" s="897"/>
      <c r="S481" s="897"/>
      <c r="T481" s="897"/>
      <c r="U481" s="901">
        <v>407.94600000000003</v>
      </c>
      <c r="V481" s="1547"/>
      <c r="W481" s="881"/>
      <c r="X481" s="915"/>
      <c r="Y481" s="880"/>
      <c r="Z481" s="880"/>
      <c r="AA481" s="826" t="s">
        <v>2527</v>
      </c>
    </row>
    <row r="482" spans="1:27" s="890" customFormat="1">
      <c r="A482" s="918">
        <f>A480+1</f>
        <v>239</v>
      </c>
      <c r="B482" s="826" t="s">
        <v>2500</v>
      </c>
      <c r="C482" s="826" t="s">
        <v>62</v>
      </c>
      <c r="D482" s="832"/>
      <c r="E482" s="1545"/>
      <c r="F482" s="837"/>
      <c r="G482" s="829">
        <v>538287.402</v>
      </c>
      <c r="H482" s="829">
        <v>3508828.0649999999</v>
      </c>
      <c r="I482" s="836"/>
      <c r="J482" s="918">
        <f>J480+1</f>
        <v>239</v>
      </c>
      <c r="K482" s="826" t="s">
        <v>2500</v>
      </c>
      <c r="L482" s="826" t="s">
        <v>62</v>
      </c>
      <c r="M482" s="897"/>
      <c r="N482" s="897"/>
      <c r="O482" s="897"/>
      <c r="P482" s="897"/>
      <c r="Q482" s="897"/>
      <c r="R482" s="897"/>
      <c r="S482" s="897"/>
      <c r="T482" s="897"/>
      <c r="U482" s="829"/>
      <c r="V482" s="1547"/>
      <c r="W482" s="830">
        <v>253.285</v>
      </c>
      <c r="X482" s="915"/>
      <c r="Y482" s="829">
        <v>538287.402</v>
      </c>
      <c r="Z482" s="829">
        <v>3508828.0649999999</v>
      </c>
      <c r="AA482" s="830"/>
    </row>
    <row r="483" spans="1:27" s="890" customFormat="1">
      <c r="A483" s="897"/>
      <c r="B483" s="884"/>
      <c r="C483" s="880"/>
      <c r="D483" s="884">
        <v>429.84699999999998</v>
      </c>
      <c r="E483" s="1545"/>
      <c r="F483" s="837"/>
      <c r="G483" s="880"/>
      <c r="H483" s="880"/>
      <c r="I483" s="919"/>
      <c r="J483" s="897"/>
      <c r="K483" s="884"/>
      <c r="L483" s="880"/>
      <c r="M483" s="897"/>
      <c r="N483" s="897"/>
      <c r="O483" s="897"/>
      <c r="P483" s="897"/>
      <c r="Q483" s="897"/>
      <c r="R483" s="897"/>
      <c r="S483" s="897"/>
      <c r="T483" s="897"/>
      <c r="U483" s="901">
        <v>429.84699999999998</v>
      </c>
      <c r="V483" s="1547"/>
      <c r="W483" s="881"/>
      <c r="X483" s="915"/>
      <c r="Y483" s="880"/>
      <c r="Z483" s="880"/>
      <c r="AA483" s="881" t="s">
        <v>2477</v>
      </c>
    </row>
    <row r="484" spans="1:27" s="890" customFormat="1">
      <c r="A484" s="918">
        <f>A482+1</f>
        <v>240</v>
      </c>
      <c r="B484" s="826" t="s">
        <v>2501</v>
      </c>
      <c r="C484" s="826" t="s">
        <v>62</v>
      </c>
      <c r="D484" s="829"/>
      <c r="E484" s="1545"/>
      <c r="F484" s="837"/>
      <c r="G484" s="829">
        <v>538413.20499999996</v>
      </c>
      <c r="H484" s="829">
        <v>3508417.0389999999</v>
      </c>
      <c r="I484" s="836"/>
      <c r="J484" s="918">
        <f>J482+1</f>
        <v>240</v>
      </c>
      <c r="K484" s="826" t="s">
        <v>2501</v>
      </c>
      <c r="L484" s="826" t="s">
        <v>62</v>
      </c>
      <c r="M484" s="897"/>
      <c r="N484" s="897"/>
      <c r="O484" s="897"/>
      <c r="P484" s="897"/>
      <c r="Q484" s="897"/>
      <c r="R484" s="897"/>
      <c r="S484" s="897"/>
      <c r="T484" s="897"/>
      <c r="U484" s="829"/>
      <c r="V484" s="1547"/>
      <c r="W484" s="829">
        <v>252.58099999999999</v>
      </c>
      <c r="X484" s="822"/>
      <c r="Y484" s="829">
        <v>538413.20499999996</v>
      </c>
      <c r="Z484" s="829">
        <v>3508417.0389999999</v>
      </c>
      <c r="AA484" s="829"/>
    </row>
    <row r="485" spans="1:27" s="890" customFormat="1">
      <c r="A485" s="897"/>
      <c r="B485" s="884"/>
      <c r="C485" s="880"/>
      <c r="D485" s="884">
        <v>407.77800000000002</v>
      </c>
      <c r="E485" s="1545"/>
      <c r="F485" s="837"/>
      <c r="G485" s="880"/>
      <c r="H485" s="880"/>
      <c r="I485" s="919"/>
      <c r="J485" s="897"/>
      <c r="K485" s="884"/>
      <c r="L485" s="880"/>
      <c r="M485" s="897"/>
      <c r="N485" s="897"/>
      <c r="O485" s="897"/>
      <c r="P485" s="897"/>
      <c r="Q485" s="897"/>
      <c r="R485" s="897"/>
      <c r="S485" s="897"/>
      <c r="T485" s="897"/>
      <c r="U485" s="901">
        <v>407.77800000000002</v>
      </c>
      <c r="V485" s="1547"/>
      <c r="W485" s="881"/>
      <c r="X485" s="915"/>
      <c r="Y485" s="880"/>
      <c r="Z485" s="880"/>
      <c r="AA485" s="881" t="s">
        <v>2475</v>
      </c>
    </row>
    <row r="486" spans="1:27" s="890" customFormat="1">
      <c r="A486" s="918">
        <f>A484+1</f>
        <v>241</v>
      </c>
      <c r="B486" s="826" t="s">
        <v>2502</v>
      </c>
      <c r="C486" s="826" t="s">
        <v>62</v>
      </c>
      <c r="D486" s="829"/>
      <c r="E486" s="1545"/>
      <c r="F486" s="837"/>
      <c r="G486" s="829">
        <v>538532.549</v>
      </c>
      <c r="H486" s="829">
        <v>3508027.1159999999</v>
      </c>
      <c r="I486" s="836"/>
      <c r="J486" s="918">
        <f>J484+1</f>
        <v>241</v>
      </c>
      <c r="K486" s="826" t="s">
        <v>2502</v>
      </c>
      <c r="L486" s="826" t="s">
        <v>62</v>
      </c>
      <c r="M486" s="897"/>
      <c r="N486" s="897"/>
      <c r="O486" s="897"/>
      <c r="P486" s="897"/>
      <c r="Q486" s="897"/>
      <c r="R486" s="897"/>
      <c r="S486" s="897"/>
      <c r="T486" s="897"/>
      <c r="U486" s="829"/>
      <c r="V486" s="1547"/>
      <c r="W486" s="830">
        <v>253.64099999999999</v>
      </c>
      <c r="X486" s="915"/>
      <c r="Y486" s="829">
        <v>538532.549</v>
      </c>
      <c r="Z486" s="829">
        <v>3508027.1159999999</v>
      </c>
      <c r="AA486" s="830"/>
    </row>
    <row r="487" spans="1:27" s="890" customFormat="1">
      <c r="A487" s="897"/>
      <c r="B487" s="884"/>
      <c r="C487" s="880"/>
      <c r="D487" s="884">
        <v>416.733</v>
      </c>
      <c r="E487" s="1545"/>
      <c r="F487" s="837"/>
      <c r="G487" s="880"/>
      <c r="H487" s="880"/>
      <c r="I487" s="919"/>
      <c r="J487" s="897"/>
      <c r="K487" s="884"/>
      <c r="L487" s="880"/>
      <c r="M487" s="897"/>
      <c r="N487" s="897"/>
      <c r="O487" s="897"/>
      <c r="P487" s="897"/>
      <c r="Q487" s="897"/>
      <c r="R487" s="897"/>
      <c r="S487" s="897"/>
      <c r="T487" s="897"/>
      <c r="U487" s="901">
        <v>416.733</v>
      </c>
      <c r="V487" s="1547"/>
      <c r="W487" s="881"/>
      <c r="X487" s="915"/>
      <c r="Y487" s="880"/>
      <c r="Z487" s="880"/>
      <c r="AA487" s="881" t="s">
        <v>2528</v>
      </c>
    </row>
    <row r="488" spans="1:27" s="890" customFormat="1">
      <c r="A488" s="918">
        <f>A486+1</f>
        <v>242</v>
      </c>
      <c r="B488" s="826" t="s">
        <v>2503</v>
      </c>
      <c r="C488" s="826" t="s">
        <v>76</v>
      </c>
      <c r="D488" s="829"/>
      <c r="E488" s="1545"/>
      <c r="F488" s="837"/>
      <c r="G488" s="829">
        <v>538654.51300000004</v>
      </c>
      <c r="H488" s="829">
        <v>3507628.63</v>
      </c>
      <c r="I488" s="836"/>
      <c r="J488" s="918">
        <f>J486+1</f>
        <v>242</v>
      </c>
      <c r="K488" s="826" t="s">
        <v>2503</v>
      </c>
      <c r="L488" s="826" t="s">
        <v>76</v>
      </c>
      <c r="M488" s="897"/>
      <c r="N488" s="897"/>
      <c r="O488" s="897"/>
      <c r="P488" s="897"/>
      <c r="Q488" s="897"/>
      <c r="R488" s="897"/>
      <c r="S488" s="897"/>
      <c r="T488" s="897"/>
      <c r="U488" s="829"/>
      <c r="V488" s="1547"/>
      <c r="W488" s="829">
        <v>251.63800000000001</v>
      </c>
      <c r="X488" s="822"/>
      <c r="Y488" s="829">
        <v>538654.51300000004</v>
      </c>
      <c r="Z488" s="829">
        <v>3507628.63</v>
      </c>
      <c r="AA488" s="829"/>
    </row>
    <row r="489" spans="1:27" s="890" customFormat="1">
      <c r="A489" s="897"/>
      <c r="B489" s="884"/>
      <c r="C489" s="880"/>
      <c r="D489" s="884">
        <v>421.34500000000003</v>
      </c>
      <c r="E489" s="1545"/>
      <c r="F489" s="837"/>
      <c r="G489" s="880"/>
      <c r="H489" s="880"/>
      <c r="I489" s="919"/>
      <c r="J489" s="897"/>
      <c r="K489" s="884"/>
      <c r="L489" s="880"/>
      <c r="M489" s="897"/>
      <c r="N489" s="897"/>
      <c r="O489" s="897"/>
      <c r="P489" s="897"/>
      <c r="Q489" s="897"/>
      <c r="R489" s="897"/>
      <c r="S489" s="897"/>
      <c r="T489" s="897"/>
      <c r="U489" s="901">
        <v>421.34500000000003</v>
      </c>
      <c r="V489" s="1547"/>
      <c r="W489" s="881"/>
      <c r="X489" s="915"/>
      <c r="Y489" s="880"/>
      <c r="Z489" s="880"/>
      <c r="AA489" s="881" t="s">
        <v>2529</v>
      </c>
    </row>
    <row r="490" spans="1:27" s="890" customFormat="1">
      <c r="A490" s="918">
        <f>A488+1</f>
        <v>243</v>
      </c>
      <c r="B490" s="826" t="s">
        <v>2504</v>
      </c>
      <c r="C490" s="826" t="s">
        <v>62</v>
      </c>
      <c r="D490" s="829"/>
      <c r="E490" s="1545"/>
      <c r="F490" s="837"/>
      <c r="G490" s="829">
        <v>538777.82799999998</v>
      </c>
      <c r="H490" s="829">
        <v>3507225.7340000002</v>
      </c>
      <c r="I490" s="836"/>
      <c r="J490" s="918">
        <f>J488+1</f>
        <v>243</v>
      </c>
      <c r="K490" s="826" t="s">
        <v>2504</v>
      </c>
      <c r="L490" s="826" t="s">
        <v>62</v>
      </c>
      <c r="M490" s="897"/>
      <c r="N490" s="897"/>
      <c r="O490" s="897"/>
      <c r="P490" s="897"/>
      <c r="Q490" s="897"/>
      <c r="R490" s="897"/>
      <c r="S490" s="897"/>
      <c r="T490" s="897"/>
      <c r="U490" s="829"/>
      <c r="V490" s="1547"/>
      <c r="W490" s="830">
        <v>250.84899999999999</v>
      </c>
      <c r="X490" s="915"/>
      <c r="Y490" s="829">
        <v>538777.82799999998</v>
      </c>
      <c r="Z490" s="829">
        <v>3507225.7340000002</v>
      </c>
      <c r="AA490" s="830"/>
    </row>
    <row r="491" spans="1:27" s="890" customFormat="1">
      <c r="A491" s="897"/>
      <c r="B491" s="884"/>
      <c r="C491" s="880"/>
      <c r="D491" s="884">
        <v>385.64</v>
      </c>
      <c r="E491" s="1545"/>
      <c r="F491" s="837"/>
      <c r="G491" s="880"/>
      <c r="H491" s="880"/>
      <c r="I491" s="919"/>
      <c r="J491" s="897"/>
      <c r="K491" s="884"/>
      <c r="L491" s="880"/>
      <c r="M491" s="897"/>
      <c r="N491" s="897"/>
      <c r="O491" s="897"/>
      <c r="P491" s="897"/>
      <c r="Q491" s="897"/>
      <c r="R491" s="897"/>
      <c r="S491" s="897"/>
      <c r="T491" s="897"/>
      <c r="U491" s="901">
        <v>385.64</v>
      </c>
      <c r="V491" s="1547"/>
      <c r="W491" s="881"/>
      <c r="X491" s="915"/>
      <c r="Y491" s="880"/>
      <c r="Z491" s="880"/>
      <c r="AA491" s="881" t="s">
        <v>2474</v>
      </c>
    </row>
    <row r="492" spans="1:27" s="890" customFormat="1">
      <c r="A492" s="918">
        <f>A490+1</f>
        <v>244</v>
      </c>
      <c r="B492" s="826" t="s">
        <v>2505</v>
      </c>
      <c r="C492" s="826" t="s">
        <v>76</v>
      </c>
      <c r="D492" s="829"/>
      <c r="E492" s="1545"/>
      <c r="F492" s="837"/>
      <c r="G492" s="830">
        <v>538890.69299999997</v>
      </c>
      <c r="H492" s="830">
        <v>3506856.98</v>
      </c>
      <c r="I492" s="835"/>
      <c r="J492" s="918">
        <f>J490+1</f>
        <v>244</v>
      </c>
      <c r="K492" s="826" t="s">
        <v>2505</v>
      </c>
      <c r="L492" s="826" t="s">
        <v>76</v>
      </c>
      <c r="M492" s="897"/>
      <c r="N492" s="897"/>
      <c r="O492" s="897"/>
      <c r="P492" s="897"/>
      <c r="Q492" s="897"/>
      <c r="R492" s="897"/>
      <c r="S492" s="897"/>
      <c r="T492" s="897"/>
      <c r="U492" s="829"/>
      <c r="V492" s="1547"/>
      <c r="W492" s="830">
        <v>249.36</v>
      </c>
      <c r="X492" s="915"/>
      <c r="Y492" s="830">
        <v>538890.69299999997</v>
      </c>
      <c r="Z492" s="830">
        <v>3506856.98</v>
      </c>
      <c r="AA492" s="830"/>
    </row>
    <row r="493" spans="1:27" s="890" customFormat="1">
      <c r="A493" s="897"/>
      <c r="B493" s="884"/>
      <c r="C493" s="880"/>
      <c r="D493" s="884">
        <v>372.69900000000001</v>
      </c>
      <c r="E493" s="1545"/>
      <c r="F493" s="837"/>
      <c r="G493" s="880"/>
      <c r="H493" s="880"/>
      <c r="I493" s="919"/>
      <c r="J493" s="897"/>
      <c r="K493" s="884"/>
      <c r="L493" s="880"/>
      <c r="M493" s="897"/>
      <c r="N493" s="897"/>
      <c r="O493" s="897"/>
      <c r="P493" s="897"/>
      <c r="Q493" s="897"/>
      <c r="R493" s="897"/>
      <c r="S493" s="897"/>
      <c r="T493" s="897"/>
      <c r="U493" s="901">
        <v>372.69900000000001</v>
      </c>
      <c r="V493" s="1547"/>
      <c r="W493" s="881"/>
      <c r="X493" s="915"/>
      <c r="Y493" s="880"/>
      <c r="Z493" s="880"/>
      <c r="AA493" s="881" t="s">
        <v>2470</v>
      </c>
    </row>
    <row r="494" spans="1:27" s="890" customFormat="1" ht="43.5">
      <c r="A494" s="918">
        <f>A492+1</f>
        <v>245</v>
      </c>
      <c r="B494" s="55" t="s">
        <v>2506</v>
      </c>
      <c r="C494" s="826" t="s">
        <v>2583</v>
      </c>
      <c r="D494" s="832"/>
      <c r="E494" s="920"/>
      <c r="F494" s="838" t="s">
        <v>2507</v>
      </c>
      <c r="G494" s="829">
        <v>538999.77</v>
      </c>
      <c r="H494" s="829">
        <v>3506500.6</v>
      </c>
      <c r="I494" s="921"/>
      <c r="J494" s="918">
        <f>J492+1</f>
        <v>245</v>
      </c>
      <c r="K494" s="55" t="s">
        <v>2506</v>
      </c>
      <c r="L494" s="55" t="s">
        <v>1402</v>
      </c>
      <c r="M494" s="918">
        <v>1.5</v>
      </c>
      <c r="N494" s="918">
        <v>1.5</v>
      </c>
      <c r="O494" s="918">
        <v>1.5</v>
      </c>
      <c r="P494" s="918">
        <v>1.5</v>
      </c>
      <c r="Q494" s="897"/>
      <c r="R494" s="897"/>
      <c r="S494" s="897"/>
      <c r="T494" s="897"/>
      <c r="U494" s="829"/>
      <c r="V494" s="831"/>
      <c r="W494" s="829">
        <v>250.43</v>
      </c>
      <c r="X494" s="822" t="s">
        <v>2507</v>
      </c>
      <c r="Y494" s="829">
        <v>538999.77</v>
      </c>
      <c r="Z494" s="829">
        <v>3506500.6</v>
      </c>
      <c r="AA494" s="829"/>
    </row>
    <row r="495" spans="1:27" s="890" customFormat="1">
      <c r="A495" s="897"/>
      <c r="B495" s="884"/>
      <c r="C495" s="880"/>
      <c r="D495" s="884">
        <v>407.91199999999998</v>
      </c>
      <c r="E495" s="1545">
        <v>816.077</v>
      </c>
      <c r="F495" s="838"/>
      <c r="G495" s="880"/>
      <c r="H495" s="880"/>
      <c r="I495" s="921"/>
      <c r="J495" s="897"/>
      <c r="K495" s="884"/>
      <c r="L495" s="880"/>
      <c r="M495" s="897"/>
      <c r="N495" s="897"/>
      <c r="O495" s="897"/>
      <c r="P495" s="897"/>
      <c r="Q495" s="897"/>
      <c r="R495" s="897"/>
      <c r="S495" s="897"/>
      <c r="T495" s="897"/>
      <c r="U495" s="901">
        <v>407.91199999999998</v>
      </c>
      <c r="V495" s="1547">
        <v>816.077</v>
      </c>
      <c r="W495" s="881"/>
      <c r="X495" s="915"/>
      <c r="Y495" s="880"/>
      <c r="Z495" s="880"/>
      <c r="AA495" s="881" t="s">
        <v>2539</v>
      </c>
    </row>
    <row r="496" spans="1:27" s="890" customFormat="1">
      <c r="A496" s="918">
        <f>A494+1</f>
        <v>246</v>
      </c>
      <c r="B496" s="826" t="s">
        <v>2508</v>
      </c>
      <c r="C496" s="826" t="s">
        <v>62</v>
      </c>
      <c r="D496" s="830"/>
      <c r="E496" s="1545"/>
      <c r="F496" s="838"/>
      <c r="G496" s="829">
        <v>538919.42500000005</v>
      </c>
      <c r="H496" s="829">
        <v>3506100.679</v>
      </c>
      <c r="I496" s="921"/>
      <c r="J496" s="918">
        <f>J494+1</f>
        <v>246</v>
      </c>
      <c r="K496" s="826" t="s">
        <v>2508</v>
      </c>
      <c r="L496" s="826" t="s">
        <v>62</v>
      </c>
      <c r="M496" s="897"/>
      <c r="N496" s="897"/>
      <c r="O496" s="897"/>
      <c r="P496" s="897"/>
      <c r="Q496" s="897"/>
      <c r="R496" s="897"/>
      <c r="S496" s="897"/>
      <c r="T496" s="897"/>
      <c r="U496" s="830"/>
      <c r="V496" s="1547"/>
      <c r="W496" s="829">
        <v>250.22</v>
      </c>
      <c r="X496" s="822"/>
      <c r="Y496" s="829">
        <v>538919.42500000005</v>
      </c>
      <c r="Z496" s="829">
        <v>3506100.679</v>
      </c>
      <c r="AA496" s="829"/>
    </row>
    <row r="497" spans="1:27" s="890" customFormat="1">
      <c r="A497" s="897"/>
      <c r="B497" s="884"/>
      <c r="C497" s="880"/>
      <c r="D497" s="884">
        <v>408.16500000000002</v>
      </c>
      <c r="E497" s="1545"/>
      <c r="F497" s="838"/>
      <c r="G497" s="880"/>
      <c r="H497" s="880"/>
      <c r="I497" s="921"/>
      <c r="J497" s="897"/>
      <c r="K497" s="884"/>
      <c r="L497" s="880"/>
      <c r="M497" s="897"/>
      <c r="N497" s="897"/>
      <c r="O497" s="897"/>
      <c r="P497" s="897"/>
      <c r="Q497" s="897"/>
      <c r="R497" s="897"/>
      <c r="S497" s="897"/>
      <c r="T497" s="897"/>
      <c r="U497" s="901">
        <v>408.16500000000002</v>
      </c>
      <c r="V497" s="1547"/>
      <c r="W497" s="881"/>
      <c r="X497" s="915"/>
      <c r="Y497" s="880"/>
      <c r="Z497" s="880"/>
      <c r="AA497" s="881" t="s">
        <v>2540</v>
      </c>
    </row>
    <row r="498" spans="1:27" s="890" customFormat="1">
      <c r="A498" s="918">
        <f>A496+1</f>
        <v>247</v>
      </c>
      <c r="B498" s="55" t="s">
        <v>2509</v>
      </c>
      <c r="C498" s="55" t="s">
        <v>1402</v>
      </c>
      <c r="D498" s="829"/>
      <c r="E498" s="1545">
        <f>D499</f>
        <v>227.36600000000001</v>
      </c>
      <c r="F498" s="822" t="s">
        <v>2510</v>
      </c>
      <c r="G498" s="829">
        <v>538839.02899999998</v>
      </c>
      <c r="H498" s="829">
        <v>3505700.51</v>
      </c>
      <c r="I498" s="921"/>
      <c r="J498" s="918">
        <f>J496+1</f>
        <v>247</v>
      </c>
      <c r="K498" s="55" t="s">
        <v>2509</v>
      </c>
      <c r="L498" s="55" t="s">
        <v>1935</v>
      </c>
      <c r="M498" s="897"/>
      <c r="N498" s="897"/>
      <c r="O498" s="897"/>
      <c r="P498" s="897"/>
      <c r="Q498" s="897"/>
      <c r="R498" s="897"/>
      <c r="S498" s="897"/>
      <c r="T498" s="897"/>
      <c r="U498" s="829"/>
      <c r="V498" s="1547"/>
      <c r="W498" s="829">
        <v>249.72</v>
      </c>
      <c r="X498" s="822" t="s">
        <v>2510</v>
      </c>
      <c r="Y498" s="829">
        <v>538839.02899999998</v>
      </c>
      <c r="Z498" s="829">
        <v>3505700.51</v>
      </c>
      <c r="AA498" s="829"/>
    </row>
    <row r="499" spans="1:27" s="890" customFormat="1">
      <c r="A499" s="897"/>
      <c r="B499" s="884"/>
      <c r="C499" s="880"/>
      <c r="D499" s="884">
        <v>227.36600000000001</v>
      </c>
      <c r="E499" s="1545"/>
      <c r="F499" s="915"/>
      <c r="G499" s="880"/>
      <c r="H499" s="880"/>
      <c r="I499" s="921"/>
      <c r="J499" s="897"/>
      <c r="K499" s="884"/>
      <c r="L499" s="880"/>
      <c r="M499" s="897"/>
      <c r="N499" s="897"/>
      <c r="O499" s="897"/>
      <c r="P499" s="897"/>
      <c r="Q499" s="897"/>
      <c r="R499" s="897"/>
      <c r="S499" s="897"/>
      <c r="T499" s="897"/>
      <c r="U499" s="901">
        <v>227.36600000000001</v>
      </c>
      <c r="V499" s="1547">
        <f>U499</f>
        <v>227.36600000000001</v>
      </c>
      <c r="W499" s="881"/>
      <c r="X499" s="915"/>
      <c r="Y499" s="880"/>
      <c r="Z499" s="880"/>
      <c r="AA499" s="881" t="s">
        <v>2541</v>
      </c>
    </row>
    <row r="500" spans="1:27" s="890" customFormat="1">
      <c r="A500" s="918">
        <f>A498+1</f>
        <v>248</v>
      </c>
      <c r="B500" s="826" t="s">
        <v>2511</v>
      </c>
      <c r="C500" s="826" t="s">
        <v>90</v>
      </c>
      <c r="D500" s="830"/>
      <c r="E500" s="1546">
        <f>D501</f>
        <v>401.36599999999999</v>
      </c>
      <c r="F500" s="764" t="s">
        <v>2512</v>
      </c>
      <c r="G500" s="830">
        <v>538867.96900000004</v>
      </c>
      <c r="H500" s="830">
        <v>3505474.9929999998</v>
      </c>
      <c r="I500" s="921"/>
      <c r="J500" s="918">
        <f>J498+1</f>
        <v>248</v>
      </c>
      <c r="K500" s="826" t="s">
        <v>2511</v>
      </c>
      <c r="L500" s="826" t="s">
        <v>1995</v>
      </c>
      <c r="M500" s="897"/>
      <c r="N500" s="897"/>
      <c r="O500" s="897"/>
      <c r="P500" s="897"/>
      <c r="Q500" s="897"/>
      <c r="R500" s="897"/>
      <c r="S500" s="897"/>
      <c r="T500" s="897"/>
      <c r="U500" s="830"/>
      <c r="V500" s="1547"/>
      <c r="W500" s="830">
        <v>248.90199999999999</v>
      </c>
      <c r="X500" s="764" t="s">
        <v>2512</v>
      </c>
      <c r="Y500" s="830">
        <v>538867.96900000004</v>
      </c>
      <c r="Z500" s="830">
        <v>3505474.9929999998</v>
      </c>
      <c r="AA500" s="830"/>
    </row>
    <row r="501" spans="1:27" s="890" customFormat="1">
      <c r="A501" s="897"/>
      <c r="B501" s="884"/>
      <c r="C501" s="880"/>
      <c r="D501" s="884">
        <v>401.36599999999999</v>
      </c>
      <c r="E501" s="1546"/>
      <c r="F501" s="915"/>
      <c r="G501" s="880"/>
      <c r="H501" s="880"/>
      <c r="I501" s="921"/>
      <c r="J501" s="897"/>
      <c r="K501" s="884"/>
      <c r="L501" s="880"/>
      <c r="M501" s="897"/>
      <c r="N501" s="897"/>
      <c r="O501" s="897"/>
      <c r="P501" s="897"/>
      <c r="Q501" s="897"/>
      <c r="R501" s="897"/>
      <c r="S501" s="897"/>
      <c r="T501" s="897"/>
      <c r="U501" s="901">
        <v>401.36599999999999</v>
      </c>
      <c r="V501" s="1547">
        <f>U501</f>
        <v>401.36599999999999</v>
      </c>
      <c r="W501" s="881"/>
      <c r="X501" s="915"/>
      <c r="Y501" s="880"/>
      <c r="Z501" s="880"/>
      <c r="AA501" s="881" t="s">
        <v>2542</v>
      </c>
    </row>
    <row r="502" spans="1:27" s="890" customFormat="1">
      <c r="A502" s="918">
        <f>A500+1</f>
        <v>249</v>
      </c>
      <c r="B502" s="55" t="s">
        <v>2513</v>
      </c>
      <c r="C502" s="55" t="s">
        <v>90</v>
      </c>
      <c r="D502" s="829"/>
      <c r="E502" s="1546">
        <f>D503+D505+D507</f>
        <v>1221.902</v>
      </c>
      <c r="F502" s="822" t="s">
        <v>2514</v>
      </c>
      <c r="G502" s="829">
        <v>538901.55599999998</v>
      </c>
      <c r="H502" s="829">
        <v>3505075.0350000001</v>
      </c>
      <c r="I502" s="921"/>
      <c r="J502" s="918">
        <f>J500+1</f>
        <v>249</v>
      </c>
      <c r="K502" s="55" t="s">
        <v>2513</v>
      </c>
      <c r="L502" s="55" t="s">
        <v>90</v>
      </c>
      <c r="M502" s="897"/>
      <c r="N502" s="897"/>
      <c r="O502" s="897"/>
      <c r="P502" s="897"/>
      <c r="Q502" s="897"/>
      <c r="R502" s="897"/>
      <c r="S502" s="897"/>
      <c r="T502" s="897"/>
      <c r="U502" s="829"/>
      <c r="V502" s="1547"/>
      <c r="W502" s="829">
        <v>249.03899999999999</v>
      </c>
      <c r="X502" s="822" t="s">
        <v>2514</v>
      </c>
      <c r="Y502" s="829">
        <v>538901.55599999998</v>
      </c>
      <c r="Z502" s="829">
        <v>3505075.0350000001</v>
      </c>
      <c r="AA502" s="829"/>
    </row>
    <row r="503" spans="1:27" s="890" customFormat="1">
      <c r="A503" s="897"/>
      <c r="B503" s="884"/>
      <c r="C503" s="880"/>
      <c r="D503" s="884">
        <v>403.06400000000002</v>
      </c>
      <c r="E503" s="1546"/>
      <c r="F503" s="915"/>
      <c r="G503" s="880"/>
      <c r="H503" s="880"/>
      <c r="I503" s="921"/>
      <c r="J503" s="897"/>
      <c r="K503" s="884"/>
      <c r="L503" s="880"/>
      <c r="M503" s="897"/>
      <c r="N503" s="897"/>
      <c r="O503" s="897"/>
      <c r="P503" s="897"/>
      <c r="Q503" s="897"/>
      <c r="R503" s="897"/>
      <c r="S503" s="897"/>
      <c r="T503" s="897"/>
      <c r="U503" s="901">
        <v>403.06400000000002</v>
      </c>
      <c r="V503" s="1547">
        <f>U503+U505+U507</f>
        <v>1221.902</v>
      </c>
      <c r="W503" s="881"/>
      <c r="X503" s="915"/>
      <c r="Y503" s="880"/>
      <c r="Z503" s="880"/>
      <c r="AA503" s="881" t="s">
        <v>2543</v>
      </c>
    </row>
    <row r="504" spans="1:27" s="890" customFormat="1">
      <c r="A504" s="918">
        <f>A502+1</f>
        <v>250</v>
      </c>
      <c r="B504" s="826" t="s">
        <v>2515</v>
      </c>
      <c r="C504" s="826" t="s">
        <v>53</v>
      </c>
      <c r="D504" s="829"/>
      <c r="E504" s="1546"/>
      <c r="F504" s="822"/>
      <c r="G504" s="829">
        <v>538846.11899999995</v>
      </c>
      <c r="H504" s="829">
        <v>3504675.8020000001</v>
      </c>
      <c r="I504" s="921"/>
      <c r="J504" s="918">
        <f>J502+1</f>
        <v>250</v>
      </c>
      <c r="K504" s="826" t="s">
        <v>2515</v>
      </c>
      <c r="L504" s="826" t="s">
        <v>53</v>
      </c>
      <c r="M504" s="897"/>
      <c r="N504" s="897"/>
      <c r="O504" s="897"/>
      <c r="P504" s="897"/>
      <c r="Q504" s="897"/>
      <c r="R504" s="897"/>
      <c r="S504" s="897"/>
      <c r="T504" s="897"/>
      <c r="U504" s="829"/>
      <c r="V504" s="1547"/>
      <c r="W504" s="829">
        <v>248.761</v>
      </c>
      <c r="X504" s="822"/>
      <c r="Y504" s="829">
        <v>538846.11899999995</v>
      </c>
      <c r="Z504" s="829">
        <v>3504675.8020000001</v>
      </c>
      <c r="AA504" s="829"/>
    </row>
    <row r="505" spans="1:27" s="890" customFormat="1">
      <c r="A505" s="897"/>
      <c r="B505" s="884"/>
      <c r="C505" s="880"/>
      <c r="D505" s="884">
        <v>398.93299999999999</v>
      </c>
      <c r="E505" s="1546"/>
      <c r="F505" s="825"/>
      <c r="G505" s="880"/>
      <c r="H505" s="880"/>
      <c r="I505" s="921"/>
      <c r="J505" s="897"/>
      <c r="K505" s="884"/>
      <c r="L505" s="880"/>
      <c r="M505" s="897"/>
      <c r="N505" s="897"/>
      <c r="O505" s="897"/>
      <c r="P505" s="897"/>
      <c r="Q505" s="897"/>
      <c r="R505" s="897"/>
      <c r="S505" s="897"/>
      <c r="T505" s="897"/>
      <c r="U505" s="901">
        <v>398.93299999999999</v>
      </c>
      <c r="V505" s="1547"/>
      <c r="W505" s="881"/>
      <c r="X505" s="825"/>
      <c r="Y505" s="880"/>
      <c r="Z505" s="880"/>
      <c r="AA505" s="881" t="s">
        <v>2544</v>
      </c>
    </row>
    <row r="506" spans="1:27" s="890" customFormat="1">
      <c r="A506" s="918">
        <f>A504+1</f>
        <v>251</v>
      </c>
      <c r="B506" s="826" t="s">
        <v>2516</v>
      </c>
      <c r="C506" s="826" t="s">
        <v>62</v>
      </c>
      <c r="D506" s="829"/>
      <c r="E506" s="1546"/>
      <c r="F506" s="825"/>
      <c r="G506" s="829">
        <v>538791.24899999995</v>
      </c>
      <c r="H506" s="829">
        <v>3504280.66</v>
      </c>
      <c r="I506" s="921"/>
      <c r="J506" s="918">
        <f>J504+1</f>
        <v>251</v>
      </c>
      <c r="K506" s="826" t="s">
        <v>2516</v>
      </c>
      <c r="L506" s="826" t="s">
        <v>62</v>
      </c>
      <c r="M506" s="897"/>
      <c r="N506" s="897"/>
      <c r="O506" s="897"/>
      <c r="P506" s="897"/>
      <c r="Q506" s="897"/>
      <c r="R506" s="897"/>
      <c r="S506" s="897"/>
      <c r="T506" s="897"/>
      <c r="U506" s="829"/>
      <c r="V506" s="1547"/>
      <c r="W506" s="830">
        <v>248.54300000000001</v>
      </c>
      <c r="X506" s="825"/>
      <c r="Y506" s="829">
        <v>538791.24899999995</v>
      </c>
      <c r="Z506" s="829">
        <v>3504280.66</v>
      </c>
      <c r="AA506" s="830"/>
    </row>
    <row r="507" spans="1:27" s="890" customFormat="1">
      <c r="A507" s="897"/>
      <c r="B507" s="884"/>
      <c r="C507" s="880"/>
      <c r="D507" s="884">
        <v>419.90499999999997</v>
      </c>
      <c r="E507" s="1546"/>
      <c r="F507" s="825"/>
      <c r="G507" s="880"/>
      <c r="H507" s="880"/>
      <c r="I507" s="921"/>
      <c r="J507" s="897"/>
      <c r="K507" s="884"/>
      <c r="L507" s="880"/>
      <c r="M507" s="897"/>
      <c r="N507" s="897"/>
      <c r="O507" s="897"/>
      <c r="P507" s="897"/>
      <c r="Q507" s="897"/>
      <c r="R507" s="897"/>
      <c r="S507" s="897"/>
      <c r="T507" s="897"/>
      <c r="U507" s="901">
        <v>419.90499999999997</v>
      </c>
      <c r="V507" s="1547"/>
      <c r="W507" s="881"/>
      <c r="X507" s="825"/>
      <c r="Y507" s="880"/>
      <c r="Z507" s="880"/>
      <c r="AA507" s="881" t="s">
        <v>2545</v>
      </c>
    </row>
    <row r="508" spans="1:27" s="890" customFormat="1">
      <c r="A508" s="918">
        <f>A506+1</f>
        <v>252</v>
      </c>
      <c r="B508" s="55" t="s">
        <v>2517</v>
      </c>
      <c r="C508" s="55" t="s">
        <v>1361</v>
      </c>
      <c r="D508" s="829"/>
      <c r="E508" s="1546"/>
      <c r="F508" s="822" t="s">
        <v>2518</v>
      </c>
      <c r="G508" s="829">
        <v>538733.495</v>
      </c>
      <c r="H508" s="829">
        <v>3503864.7459999998</v>
      </c>
      <c r="I508" s="921"/>
      <c r="J508" s="918">
        <f>J506+1</f>
        <v>252</v>
      </c>
      <c r="K508" s="55" t="s">
        <v>2517</v>
      </c>
      <c r="L508" s="55" t="s">
        <v>1361</v>
      </c>
      <c r="M508" s="897"/>
      <c r="N508" s="897"/>
      <c r="O508" s="897"/>
      <c r="P508" s="897"/>
      <c r="Q508" s="897"/>
      <c r="R508" s="897"/>
      <c r="S508" s="897"/>
      <c r="T508" s="897"/>
      <c r="U508" s="829"/>
      <c r="V508" s="1547"/>
      <c r="W508" s="829">
        <v>248.35400000000001</v>
      </c>
      <c r="X508" s="822" t="s">
        <v>2546</v>
      </c>
      <c r="Y508" s="829">
        <v>538733.495</v>
      </c>
      <c r="Z508" s="829">
        <v>3503864.7459999998</v>
      </c>
      <c r="AA508" s="829"/>
    </row>
    <row r="509" spans="1:27" s="890" customFormat="1">
      <c r="A509" s="897"/>
      <c r="B509" s="884"/>
      <c r="C509" s="880"/>
      <c r="D509" s="884">
        <v>373.38900000000001</v>
      </c>
      <c r="E509" s="1546">
        <v>2000.393</v>
      </c>
      <c r="F509" s="825"/>
      <c r="G509" s="880"/>
      <c r="H509" s="880"/>
      <c r="I509" s="921"/>
      <c r="J509" s="897"/>
      <c r="K509" s="884"/>
      <c r="L509" s="880"/>
      <c r="M509" s="897"/>
      <c r="N509" s="897"/>
      <c r="O509" s="897"/>
      <c r="P509" s="897"/>
      <c r="Q509" s="897"/>
      <c r="R509" s="897"/>
      <c r="S509" s="897"/>
      <c r="T509" s="897"/>
      <c r="U509" s="901">
        <v>373.38900000000001</v>
      </c>
      <c r="V509" s="1547">
        <f>U509+U511+U513+U515+U517</f>
        <v>2000.393</v>
      </c>
      <c r="W509" s="881"/>
      <c r="X509" s="825"/>
      <c r="Y509" s="880"/>
      <c r="Z509" s="880"/>
      <c r="AA509" s="881" t="s">
        <v>2547</v>
      </c>
    </row>
    <row r="510" spans="1:27" s="890" customFormat="1">
      <c r="A510" s="918">
        <f>A508+1</f>
        <v>253</v>
      </c>
      <c r="B510" s="826" t="s">
        <v>2519</v>
      </c>
      <c r="C510" s="826" t="s">
        <v>62</v>
      </c>
      <c r="D510" s="829"/>
      <c r="E510" s="1546"/>
      <c r="F510" s="822"/>
      <c r="G510" s="829">
        <v>538799.77500000002</v>
      </c>
      <c r="H510" s="829">
        <v>3503497.287</v>
      </c>
      <c r="I510" s="921"/>
      <c r="J510" s="918">
        <f>J508+1</f>
        <v>253</v>
      </c>
      <c r="K510" s="826" t="s">
        <v>2519</v>
      </c>
      <c r="L510" s="826" t="s">
        <v>62</v>
      </c>
      <c r="M510" s="897"/>
      <c r="N510" s="897"/>
      <c r="O510" s="897"/>
      <c r="P510" s="897"/>
      <c r="Q510" s="897"/>
      <c r="R510" s="897"/>
      <c r="S510" s="897"/>
      <c r="T510" s="897"/>
      <c r="U510" s="829"/>
      <c r="V510" s="1547"/>
      <c r="W510" s="829">
        <v>248.31100000000001</v>
      </c>
      <c r="X510" s="822"/>
      <c r="Y510" s="829">
        <v>538799.77500000002</v>
      </c>
      <c r="Z510" s="829">
        <v>3503497.287</v>
      </c>
      <c r="AA510" s="829"/>
    </row>
    <row r="511" spans="1:27" s="890" customFormat="1">
      <c r="A511" s="897"/>
      <c r="B511" s="884"/>
      <c r="C511" s="880"/>
      <c r="D511" s="884">
        <v>419.81299999999999</v>
      </c>
      <c r="E511" s="1546"/>
      <c r="F511" s="825"/>
      <c r="G511" s="880"/>
      <c r="H511" s="880"/>
      <c r="I511" s="921"/>
      <c r="J511" s="897"/>
      <c r="K511" s="884"/>
      <c r="L511" s="880"/>
      <c r="M511" s="897"/>
      <c r="N511" s="897"/>
      <c r="O511" s="897"/>
      <c r="P511" s="897"/>
      <c r="Q511" s="897"/>
      <c r="R511" s="897"/>
      <c r="S511" s="897"/>
      <c r="T511" s="897"/>
      <c r="U511" s="901">
        <v>419.81299999999999</v>
      </c>
      <c r="V511" s="1547"/>
      <c r="W511" s="881"/>
      <c r="X511" s="825"/>
      <c r="Y511" s="880"/>
      <c r="Z511" s="880"/>
      <c r="AA511" s="828" t="s">
        <v>2475</v>
      </c>
    </row>
    <row r="512" spans="1:27" s="890" customFormat="1">
      <c r="A512" s="918">
        <f>A510+1</f>
        <v>254</v>
      </c>
      <c r="B512" s="826" t="s">
        <v>2520</v>
      </c>
      <c r="C512" s="826" t="s">
        <v>62</v>
      </c>
      <c r="D512" s="829"/>
      <c r="E512" s="1546"/>
      <c r="F512" s="825"/>
      <c r="G512" s="829">
        <v>538874.29500000004</v>
      </c>
      <c r="H512" s="829">
        <v>3503084.14</v>
      </c>
      <c r="I512" s="921"/>
      <c r="J512" s="918">
        <f>J510+1</f>
        <v>254</v>
      </c>
      <c r="K512" s="826" t="s">
        <v>2520</v>
      </c>
      <c r="L512" s="826" t="s">
        <v>62</v>
      </c>
      <c r="M512" s="897"/>
      <c r="N512" s="897"/>
      <c r="O512" s="897"/>
      <c r="P512" s="897"/>
      <c r="Q512" s="897"/>
      <c r="R512" s="897"/>
      <c r="S512" s="897"/>
      <c r="T512" s="897"/>
      <c r="U512" s="829"/>
      <c r="V512" s="1547"/>
      <c r="W512" s="830">
        <v>248.22399999999999</v>
      </c>
      <c r="X512" s="825"/>
      <c r="Y512" s="829">
        <v>538874.29500000004</v>
      </c>
      <c r="Z512" s="829">
        <v>3503084.14</v>
      </c>
      <c r="AA512" s="828"/>
    </row>
    <row r="513" spans="1:27" s="890" customFormat="1">
      <c r="A513" s="897"/>
      <c r="B513" s="884"/>
      <c r="C513" s="880"/>
      <c r="D513" s="884">
        <v>410.04899999999998</v>
      </c>
      <c r="E513" s="1546"/>
      <c r="F513" s="825"/>
      <c r="G513" s="880"/>
      <c r="H513" s="880"/>
      <c r="I513" s="921"/>
      <c r="J513" s="897"/>
      <c r="K513" s="884"/>
      <c r="L513" s="880"/>
      <c r="M513" s="897"/>
      <c r="N513" s="897"/>
      <c r="O513" s="897"/>
      <c r="P513" s="897"/>
      <c r="Q513" s="897"/>
      <c r="R513" s="897"/>
      <c r="S513" s="897"/>
      <c r="T513" s="897"/>
      <c r="U513" s="901">
        <v>410.04899999999998</v>
      </c>
      <c r="V513" s="1547"/>
      <c r="W513" s="881"/>
      <c r="X513" s="825"/>
      <c r="Y513" s="880"/>
      <c r="Z513" s="880"/>
      <c r="AA513" s="828" t="s">
        <v>2475</v>
      </c>
    </row>
    <row r="514" spans="1:27" s="890" customFormat="1">
      <c r="A514" s="918">
        <f>A512+1</f>
        <v>255</v>
      </c>
      <c r="B514" s="826" t="s">
        <v>2521</v>
      </c>
      <c r="C514" s="826" t="s">
        <v>76</v>
      </c>
      <c r="D514" s="829"/>
      <c r="E514" s="1546"/>
      <c r="F514" s="825"/>
      <c r="G514" s="829">
        <v>538947.08100000001</v>
      </c>
      <c r="H514" s="829">
        <v>3502680.6030000001</v>
      </c>
      <c r="I514" s="921"/>
      <c r="J514" s="918">
        <f>J512+1</f>
        <v>255</v>
      </c>
      <c r="K514" s="826" t="s">
        <v>2521</v>
      </c>
      <c r="L514" s="826" t="s">
        <v>76</v>
      </c>
      <c r="M514" s="897"/>
      <c r="N514" s="897"/>
      <c r="O514" s="897"/>
      <c r="P514" s="897"/>
      <c r="Q514" s="897"/>
      <c r="R514" s="897"/>
      <c r="S514" s="897"/>
      <c r="T514" s="897"/>
      <c r="U514" s="829"/>
      <c r="V514" s="1547"/>
      <c r="W514" s="830">
        <v>248.36600000000001</v>
      </c>
      <c r="X514" s="825"/>
      <c r="Y514" s="829">
        <v>538947.08100000001</v>
      </c>
      <c r="Z514" s="829">
        <v>3502680.6030000001</v>
      </c>
      <c r="AA514" s="828"/>
    </row>
    <row r="515" spans="1:27" s="890" customFormat="1">
      <c r="A515" s="897"/>
      <c r="B515" s="884"/>
      <c r="C515" s="880"/>
      <c r="D515" s="884">
        <v>415.17099999999999</v>
      </c>
      <c r="E515" s="1546"/>
      <c r="F515" s="825"/>
      <c r="G515" s="880"/>
      <c r="H515" s="880"/>
      <c r="I515" s="921"/>
      <c r="J515" s="897"/>
      <c r="K515" s="884"/>
      <c r="L515" s="880"/>
      <c r="M515" s="897"/>
      <c r="N515" s="897"/>
      <c r="O515" s="897"/>
      <c r="P515" s="897"/>
      <c r="Q515" s="897"/>
      <c r="R515" s="897"/>
      <c r="S515" s="897"/>
      <c r="T515" s="897"/>
      <c r="U515" s="901">
        <v>415.17099999999999</v>
      </c>
      <c r="V515" s="1547"/>
      <c r="W515" s="881"/>
      <c r="X515" s="825"/>
      <c r="Y515" s="880"/>
      <c r="Z515" s="880"/>
      <c r="AA515" s="828" t="s">
        <v>2548</v>
      </c>
    </row>
    <row r="516" spans="1:27" s="890" customFormat="1">
      <c r="A516" s="918">
        <f>A514+1</f>
        <v>256</v>
      </c>
      <c r="B516" s="826" t="s">
        <v>2522</v>
      </c>
      <c r="C516" s="826" t="s">
        <v>62</v>
      </c>
      <c r="D516" s="829"/>
      <c r="E516" s="1546"/>
      <c r="F516" s="822"/>
      <c r="G516" s="829">
        <v>539020.777</v>
      </c>
      <c r="H516" s="829">
        <v>3502272.0249999999</v>
      </c>
      <c r="I516" s="921"/>
      <c r="J516" s="918">
        <f>J514+1</f>
        <v>256</v>
      </c>
      <c r="K516" s="826" t="s">
        <v>2522</v>
      </c>
      <c r="L516" s="826" t="s">
        <v>62</v>
      </c>
      <c r="M516" s="897"/>
      <c r="N516" s="897"/>
      <c r="O516" s="897"/>
      <c r="P516" s="897"/>
      <c r="Q516" s="897"/>
      <c r="R516" s="897"/>
      <c r="S516" s="897"/>
      <c r="T516" s="897"/>
      <c r="U516" s="829"/>
      <c r="V516" s="1547"/>
      <c r="W516" s="880">
        <v>248.90100000000001</v>
      </c>
      <c r="X516" s="822"/>
      <c r="Y516" s="829">
        <v>539020.777</v>
      </c>
      <c r="Z516" s="829">
        <v>3502272.0249999999</v>
      </c>
      <c r="AA516" s="828"/>
    </row>
    <row r="517" spans="1:27" s="890" customFormat="1">
      <c r="A517" s="897"/>
      <c r="B517" s="884"/>
      <c r="C517" s="880"/>
      <c r="D517" s="884">
        <v>381.971</v>
      </c>
      <c r="E517" s="1546"/>
      <c r="F517" s="825"/>
      <c r="G517" s="880"/>
      <c r="H517" s="880"/>
      <c r="I517" s="921"/>
      <c r="J517" s="897"/>
      <c r="K517" s="884"/>
      <c r="L517" s="880"/>
      <c r="M517" s="897"/>
      <c r="N517" s="897"/>
      <c r="O517" s="897"/>
      <c r="P517" s="897"/>
      <c r="Q517" s="897"/>
      <c r="R517" s="897"/>
      <c r="S517" s="897"/>
      <c r="T517" s="897"/>
      <c r="U517" s="901">
        <v>381.971</v>
      </c>
      <c r="V517" s="1547"/>
      <c r="W517" s="881"/>
      <c r="X517" s="825"/>
      <c r="Y517" s="880"/>
      <c r="Z517" s="880"/>
      <c r="AA517" s="828"/>
    </row>
    <row r="518" spans="1:27" s="890" customFormat="1">
      <c r="A518" s="918">
        <f>A516+1</f>
        <v>257</v>
      </c>
      <c r="B518" s="55" t="s">
        <v>2523</v>
      </c>
      <c r="C518" s="55" t="s">
        <v>1361</v>
      </c>
      <c r="D518" s="829"/>
      <c r="E518" s="1549">
        <f>D519+D521+D523</f>
        <v>1037.588</v>
      </c>
      <c r="F518" s="822" t="s">
        <v>2524</v>
      </c>
      <c r="G518" s="829">
        <v>539088.57999999996</v>
      </c>
      <c r="H518" s="829">
        <v>3501896.12</v>
      </c>
      <c r="I518" s="921"/>
      <c r="J518" s="918">
        <f>J516+1</f>
        <v>257</v>
      </c>
      <c r="K518" s="55" t="s">
        <v>2523</v>
      </c>
      <c r="L518" s="55" t="s">
        <v>1361</v>
      </c>
      <c r="M518" s="897"/>
      <c r="N518" s="897"/>
      <c r="O518" s="897"/>
      <c r="P518" s="897"/>
      <c r="Q518" s="897"/>
      <c r="R518" s="897"/>
      <c r="S518" s="897"/>
      <c r="T518" s="897"/>
      <c r="U518" s="829"/>
      <c r="V518" s="1547"/>
      <c r="W518" s="880">
        <v>248.51</v>
      </c>
      <c r="X518" s="822" t="s">
        <v>2549</v>
      </c>
      <c r="Y518" s="829">
        <v>539088.57999999996</v>
      </c>
      <c r="Z518" s="829">
        <v>3501896.12</v>
      </c>
      <c r="AA518" s="760"/>
    </row>
    <row r="519" spans="1:27" s="890" customFormat="1">
      <c r="A519" s="897"/>
      <c r="B519" s="884"/>
      <c r="C519" s="880"/>
      <c r="D519" s="884">
        <v>377.62299999999999</v>
      </c>
      <c r="E519" s="1549"/>
      <c r="F519" s="764"/>
      <c r="G519" s="880"/>
      <c r="H519" s="880"/>
      <c r="I519" s="921"/>
      <c r="J519" s="897"/>
      <c r="K519" s="884"/>
      <c r="L519" s="880"/>
      <c r="M519" s="897"/>
      <c r="N519" s="897"/>
      <c r="O519" s="897"/>
      <c r="P519" s="897"/>
      <c r="Q519" s="897"/>
      <c r="R519" s="897"/>
      <c r="S519" s="897"/>
      <c r="T519" s="897"/>
      <c r="U519" s="901">
        <v>377.62299999999999</v>
      </c>
      <c r="V519" s="1548">
        <f>U519+U521+U523</f>
        <v>1037.587</v>
      </c>
      <c r="W519" s="830"/>
      <c r="X519" s="764"/>
      <c r="Y519" s="880"/>
      <c r="Z519" s="880"/>
      <c r="AA519" s="828" t="s">
        <v>2529</v>
      </c>
    </row>
    <row r="520" spans="1:27" s="890" customFormat="1">
      <c r="A520" s="918">
        <f>A518+1</f>
        <v>258</v>
      </c>
      <c r="B520" s="826" t="s">
        <v>2525</v>
      </c>
      <c r="C520" s="826" t="s">
        <v>76</v>
      </c>
      <c r="D520" s="829"/>
      <c r="E520" s="1549"/>
      <c r="F520" s="822"/>
      <c r="G520" s="829">
        <v>538967.61899999995</v>
      </c>
      <c r="H520" s="829">
        <v>3501538.395</v>
      </c>
      <c r="I520" s="921"/>
      <c r="J520" s="918">
        <f>J518+1</f>
        <v>258</v>
      </c>
      <c r="K520" s="826" t="s">
        <v>2525</v>
      </c>
      <c r="L520" s="826" t="s">
        <v>76</v>
      </c>
      <c r="M520" s="897"/>
      <c r="N520" s="897"/>
      <c r="O520" s="897"/>
      <c r="P520" s="897"/>
      <c r="Q520" s="897"/>
      <c r="R520" s="897"/>
      <c r="S520" s="897"/>
      <c r="T520" s="897"/>
      <c r="U520" s="829"/>
      <c r="V520" s="1548"/>
      <c r="W520" s="826">
        <v>248.489</v>
      </c>
      <c r="X520" s="822"/>
      <c r="Y520" s="829">
        <v>538967.61899999995</v>
      </c>
      <c r="Z520" s="829">
        <v>3501538.395</v>
      </c>
      <c r="AA520" s="828"/>
    </row>
    <row r="521" spans="1:27" s="890" customFormat="1">
      <c r="A521" s="897"/>
      <c r="B521" s="884"/>
      <c r="C521" s="880"/>
      <c r="D521" s="884">
        <v>354.13799999999998</v>
      </c>
      <c r="E521" s="1549"/>
      <c r="F521" s="880"/>
      <c r="G521" s="880"/>
      <c r="H521" s="880"/>
      <c r="I521" s="921"/>
      <c r="J521" s="897"/>
      <c r="K521" s="884"/>
      <c r="L521" s="880"/>
      <c r="M521" s="897"/>
      <c r="N521" s="897"/>
      <c r="O521" s="897"/>
      <c r="P521" s="897"/>
      <c r="Q521" s="897"/>
      <c r="R521" s="897"/>
      <c r="S521" s="897"/>
      <c r="T521" s="897"/>
      <c r="U521" s="901">
        <v>354.13799999999998</v>
      </c>
      <c r="V521" s="1548"/>
      <c r="W521" s="880"/>
      <c r="X521" s="880"/>
      <c r="Y521" s="880"/>
      <c r="Z521" s="880"/>
      <c r="AA521" s="880" t="s">
        <v>2540</v>
      </c>
    </row>
    <row r="522" spans="1:27" s="890" customFormat="1">
      <c r="A522" s="918">
        <f>A520+1</f>
        <v>259</v>
      </c>
      <c r="B522" s="826" t="s">
        <v>2526</v>
      </c>
      <c r="C522" s="826" t="s">
        <v>76</v>
      </c>
      <c r="D522" s="829"/>
      <c r="E522" s="1549"/>
      <c r="F522" s="881"/>
      <c r="G522" s="829">
        <v>538854.18000000005</v>
      </c>
      <c r="H522" s="829">
        <v>3501202.9169999999</v>
      </c>
      <c r="I522" s="921"/>
      <c r="J522" s="918">
        <f>J520+1</f>
        <v>259</v>
      </c>
      <c r="K522" s="826" t="s">
        <v>2526</v>
      </c>
      <c r="L522" s="826" t="s">
        <v>76</v>
      </c>
      <c r="M522" s="897"/>
      <c r="N522" s="897"/>
      <c r="O522" s="897"/>
      <c r="P522" s="897"/>
      <c r="Q522" s="897"/>
      <c r="R522" s="897"/>
      <c r="S522" s="897"/>
      <c r="T522" s="897"/>
      <c r="U522" s="829"/>
      <c r="V522" s="1548"/>
      <c r="W522" s="881">
        <v>248.27799999999999</v>
      </c>
      <c r="X522" s="881"/>
      <c r="Y522" s="829">
        <v>538854.18000000005</v>
      </c>
      <c r="Z522" s="829">
        <v>3501202.9169999999</v>
      </c>
      <c r="AA522" s="881"/>
    </row>
    <row r="523" spans="1:27" s="890" customFormat="1">
      <c r="A523" s="897"/>
      <c r="B523" s="884"/>
      <c r="C523" s="880"/>
      <c r="D523" s="884">
        <v>305.827</v>
      </c>
      <c r="E523" s="1549"/>
      <c r="F523" s="881"/>
      <c r="G523" s="880"/>
      <c r="H523" s="880"/>
      <c r="I523" s="921"/>
      <c r="J523" s="897"/>
      <c r="K523" s="884"/>
      <c r="L523" s="880"/>
      <c r="M523" s="897"/>
      <c r="N523" s="897"/>
      <c r="O523" s="897"/>
      <c r="P523" s="897"/>
      <c r="Q523" s="897"/>
      <c r="R523" s="897"/>
      <c r="S523" s="897"/>
      <c r="T523" s="897"/>
      <c r="U523" s="901">
        <v>305.82600000000002</v>
      </c>
      <c r="V523" s="1548"/>
      <c r="W523" s="881"/>
      <c r="X523" s="881"/>
      <c r="Y523" s="880"/>
      <c r="Z523" s="880"/>
      <c r="AA523" s="881" t="s">
        <v>2550</v>
      </c>
    </row>
    <row r="524" spans="1:27" s="890" customFormat="1">
      <c r="A524" s="918">
        <f>A522+1</f>
        <v>260</v>
      </c>
      <c r="B524" s="55" t="s">
        <v>2530</v>
      </c>
      <c r="C524" s="55" t="s">
        <v>1319</v>
      </c>
      <c r="D524" s="829"/>
      <c r="E524" s="1546">
        <f>D525+D527+D529</f>
        <v>944.97399999999993</v>
      </c>
      <c r="F524" s="822" t="s">
        <v>2536</v>
      </c>
      <c r="G524" s="829">
        <v>538756.21600000001</v>
      </c>
      <c r="H524" s="829">
        <v>3500913.2050000001</v>
      </c>
      <c r="I524" s="921"/>
      <c r="J524" s="918">
        <f>J522+1</f>
        <v>260</v>
      </c>
      <c r="K524" s="55" t="s">
        <v>2530</v>
      </c>
      <c r="L524" s="55" t="s">
        <v>1319</v>
      </c>
      <c r="M524" s="897"/>
      <c r="N524" s="897"/>
      <c r="O524" s="897"/>
      <c r="P524" s="897"/>
      <c r="Q524" s="897"/>
      <c r="R524" s="897"/>
      <c r="S524" s="897"/>
      <c r="T524" s="897"/>
      <c r="U524" s="829"/>
      <c r="V524" s="1546">
        <f>U525+U527+U529</f>
        <v>944.97399999999993</v>
      </c>
      <c r="W524" s="880">
        <v>248.041</v>
      </c>
      <c r="X524" s="822" t="s">
        <v>2536</v>
      </c>
      <c r="Y524" s="829">
        <v>538756.21600000001</v>
      </c>
      <c r="Z524" s="829">
        <v>3500913.2050000001</v>
      </c>
      <c r="AA524" s="880"/>
    </row>
    <row r="525" spans="1:27" s="890" customFormat="1">
      <c r="A525" s="897"/>
      <c r="B525" s="884"/>
      <c r="C525" s="880"/>
      <c r="D525" s="884">
        <v>320.98599999999999</v>
      </c>
      <c r="E525" s="1546"/>
      <c r="F525" s="880"/>
      <c r="G525" s="880"/>
      <c r="H525" s="880"/>
      <c r="I525" s="921"/>
      <c r="J525" s="897"/>
      <c r="K525" s="884"/>
      <c r="L525" s="880"/>
      <c r="M525" s="897"/>
      <c r="N525" s="897"/>
      <c r="O525" s="897"/>
      <c r="P525" s="897"/>
      <c r="Q525" s="897"/>
      <c r="R525" s="897"/>
      <c r="S525" s="897"/>
      <c r="T525" s="897"/>
      <c r="U525" s="901">
        <v>320.98700000000002</v>
      </c>
      <c r="V525" s="1546"/>
      <c r="W525" s="880"/>
      <c r="X525" s="880"/>
      <c r="Y525" s="880"/>
      <c r="Z525" s="880"/>
      <c r="AA525" s="880" t="s">
        <v>2479</v>
      </c>
    </row>
    <row r="526" spans="1:27" s="890" customFormat="1">
      <c r="A526" s="918">
        <f>A524+1</f>
        <v>261</v>
      </c>
      <c r="B526" s="826" t="s">
        <v>2531</v>
      </c>
      <c r="C526" s="826" t="s">
        <v>76</v>
      </c>
      <c r="D526" s="829"/>
      <c r="E526" s="1546"/>
      <c r="F526" s="881"/>
      <c r="G526" s="829">
        <v>538828.86499999999</v>
      </c>
      <c r="H526" s="829">
        <v>3500600.548</v>
      </c>
      <c r="I526" s="921"/>
      <c r="J526" s="918">
        <f>J524+1</f>
        <v>261</v>
      </c>
      <c r="K526" s="826" t="s">
        <v>2531</v>
      </c>
      <c r="L526" s="826" t="s">
        <v>76</v>
      </c>
      <c r="M526" s="897"/>
      <c r="N526" s="897"/>
      <c r="O526" s="897"/>
      <c r="P526" s="897"/>
      <c r="Q526" s="897"/>
      <c r="R526" s="897"/>
      <c r="S526" s="897"/>
      <c r="T526" s="897"/>
      <c r="U526" s="829"/>
      <c r="V526" s="1546"/>
      <c r="W526" s="881">
        <v>248.30699999999999</v>
      </c>
      <c r="X526" s="881"/>
      <c r="Y526" s="829">
        <v>538828.86499999999</v>
      </c>
      <c r="Z526" s="829">
        <v>3500600.548</v>
      </c>
      <c r="AA526" s="881"/>
    </row>
    <row r="527" spans="1:27" s="890" customFormat="1">
      <c r="A527" s="897"/>
      <c r="B527" s="884"/>
      <c r="C527" s="880"/>
      <c r="D527" s="884">
        <v>329.94600000000003</v>
      </c>
      <c r="E527" s="1546"/>
      <c r="F527" s="881"/>
      <c r="G527" s="880"/>
      <c r="H527" s="880"/>
      <c r="I527" s="921"/>
      <c r="J527" s="897"/>
      <c r="K527" s="884"/>
      <c r="L527" s="880"/>
      <c r="M527" s="897"/>
      <c r="N527" s="897"/>
      <c r="O527" s="897"/>
      <c r="P527" s="897"/>
      <c r="Q527" s="897"/>
      <c r="R527" s="897"/>
      <c r="S527" s="897"/>
      <c r="T527" s="897"/>
      <c r="U527" s="901">
        <v>329.94600000000003</v>
      </c>
      <c r="V527" s="1546"/>
      <c r="W527" s="881"/>
      <c r="X527" s="881"/>
      <c r="Y527" s="880"/>
      <c r="Z527" s="880"/>
      <c r="AA527" s="881" t="s">
        <v>2551</v>
      </c>
    </row>
    <row r="528" spans="1:27" s="890" customFormat="1">
      <c r="A528" s="918">
        <f>A526+1</f>
        <v>262</v>
      </c>
      <c r="B528" s="826" t="s">
        <v>2532</v>
      </c>
      <c r="C528" s="826" t="s">
        <v>76</v>
      </c>
      <c r="D528" s="829"/>
      <c r="E528" s="1546"/>
      <c r="F528" s="881"/>
      <c r="G528" s="829">
        <v>538903.54099999997</v>
      </c>
      <c r="H528" s="829">
        <v>3500279.1639999999</v>
      </c>
      <c r="I528" s="921"/>
      <c r="J528" s="918">
        <f>J526+1</f>
        <v>262</v>
      </c>
      <c r="K528" s="826" t="s">
        <v>2532</v>
      </c>
      <c r="L528" s="826" t="s">
        <v>76</v>
      </c>
      <c r="M528" s="897"/>
      <c r="N528" s="897"/>
      <c r="O528" s="897"/>
      <c r="P528" s="897"/>
      <c r="Q528" s="897"/>
      <c r="R528" s="897"/>
      <c r="S528" s="897"/>
      <c r="T528" s="897"/>
      <c r="U528" s="829"/>
      <c r="V528" s="1546"/>
      <c r="W528" s="881">
        <v>248.35900000000001</v>
      </c>
      <c r="X528" s="881"/>
      <c r="Y528" s="829">
        <v>538903.54099999997</v>
      </c>
      <c r="Z528" s="829">
        <v>3500279.1639999999</v>
      </c>
      <c r="AA528" s="881"/>
    </row>
    <row r="529" spans="1:27" s="890" customFormat="1" ht="29">
      <c r="A529" s="897"/>
      <c r="B529" s="884"/>
      <c r="C529" s="880"/>
      <c r="D529" s="884">
        <v>294.04199999999997</v>
      </c>
      <c r="E529" s="1546"/>
      <c r="F529" s="880"/>
      <c r="G529" s="880"/>
      <c r="H529" s="880"/>
      <c r="I529" s="921"/>
      <c r="J529" s="897"/>
      <c r="K529" s="884"/>
      <c r="L529" s="880"/>
      <c r="M529" s="897"/>
      <c r="N529" s="897"/>
      <c r="O529" s="897"/>
      <c r="P529" s="897"/>
      <c r="Q529" s="897"/>
      <c r="R529" s="897"/>
      <c r="S529" s="897"/>
      <c r="T529" s="897"/>
      <c r="U529" s="901">
        <v>294.041</v>
      </c>
      <c r="V529" s="1546"/>
      <c r="W529" s="880"/>
      <c r="X529" s="880"/>
      <c r="Y529" s="880"/>
      <c r="Z529" s="880"/>
      <c r="AA529" s="881" t="s">
        <v>2552</v>
      </c>
    </row>
    <row r="530" spans="1:27" s="890" customFormat="1">
      <c r="A530" s="918">
        <f>A528+1</f>
        <v>263</v>
      </c>
      <c r="B530" s="826" t="s">
        <v>2533</v>
      </c>
      <c r="C530" s="826" t="s">
        <v>1269</v>
      </c>
      <c r="D530" s="829"/>
      <c r="E530" s="1546">
        <f>D531+D533</f>
        <v>809.12200000000007</v>
      </c>
      <c r="F530" s="764" t="s">
        <v>2537</v>
      </c>
      <c r="G530" s="829">
        <v>538970.09199999995</v>
      </c>
      <c r="H530" s="829">
        <v>3499992.7519999999</v>
      </c>
      <c r="I530" s="921"/>
      <c r="J530" s="918">
        <f>J528+1</f>
        <v>263</v>
      </c>
      <c r="K530" s="826" t="s">
        <v>2533</v>
      </c>
      <c r="L530" s="826" t="s">
        <v>1269</v>
      </c>
      <c r="M530" s="897"/>
      <c r="N530" s="897"/>
      <c r="O530" s="897"/>
      <c r="P530" s="897"/>
      <c r="Q530" s="897"/>
      <c r="R530" s="897"/>
      <c r="S530" s="897"/>
      <c r="T530" s="897"/>
      <c r="U530" s="829"/>
      <c r="V530" s="1546">
        <f>U533+U531</f>
        <v>809.12199999999996</v>
      </c>
      <c r="W530" s="881">
        <v>246.90299999999999</v>
      </c>
      <c r="X530" s="764" t="s">
        <v>2553</v>
      </c>
      <c r="Y530" s="829">
        <v>538970.09199999995</v>
      </c>
      <c r="Z530" s="829">
        <v>3499992.7519999999</v>
      </c>
      <c r="AA530" s="881"/>
    </row>
    <row r="531" spans="1:27" s="890" customFormat="1">
      <c r="A531" s="897"/>
      <c r="B531" s="884"/>
      <c r="C531" s="880"/>
      <c r="D531" s="884">
        <v>381.66800000000001</v>
      </c>
      <c r="E531" s="1546"/>
      <c r="F531" s="881"/>
      <c r="G531" s="880"/>
      <c r="H531" s="880"/>
      <c r="I531" s="921"/>
      <c r="J531" s="897"/>
      <c r="K531" s="884"/>
      <c r="L531" s="880"/>
      <c r="M531" s="897"/>
      <c r="N531" s="897"/>
      <c r="O531" s="897"/>
      <c r="P531" s="897"/>
      <c r="Q531" s="897"/>
      <c r="R531" s="897"/>
      <c r="S531" s="897"/>
      <c r="T531" s="897"/>
      <c r="U531" s="901">
        <v>381.66899999999998</v>
      </c>
      <c r="V531" s="1546"/>
      <c r="W531" s="881"/>
      <c r="X531" s="881"/>
      <c r="Y531" s="880"/>
      <c r="Z531" s="880"/>
      <c r="AA531" s="881" t="s">
        <v>2554</v>
      </c>
    </row>
    <row r="532" spans="1:27" s="890" customFormat="1">
      <c r="A532" s="918">
        <f>A530+1</f>
        <v>264</v>
      </c>
      <c r="B532" s="826" t="s">
        <v>2534</v>
      </c>
      <c r="C532" s="826" t="s">
        <v>62</v>
      </c>
      <c r="D532" s="829"/>
      <c r="E532" s="1546"/>
      <c r="F532" s="881"/>
      <c r="G532" s="829">
        <v>539094.39</v>
      </c>
      <c r="H532" s="829">
        <v>3499631.8909999998</v>
      </c>
      <c r="I532" s="921"/>
      <c r="J532" s="918">
        <f>J530+1</f>
        <v>264</v>
      </c>
      <c r="K532" s="826" t="s">
        <v>2534</v>
      </c>
      <c r="L532" s="826" t="s">
        <v>62</v>
      </c>
      <c r="M532" s="897"/>
      <c r="N532" s="897"/>
      <c r="O532" s="897"/>
      <c r="P532" s="897"/>
      <c r="Q532" s="897"/>
      <c r="R532" s="897"/>
      <c r="S532" s="897"/>
      <c r="T532" s="897"/>
      <c r="U532" s="829"/>
      <c r="V532" s="1546"/>
      <c r="W532" s="881">
        <v>239.42400000000001</v>
      </c>
      <c r="X532" s="881"/>
      <c r="Y532" s="829">
        <v>539094.39</v>
      </c>
      <c r="Z532" s="829">
        <v>3499631.8909999998</v>
      </c>
      <c r="AA532" s="881"/>
    </row>
    <row r="533" spans="1:27" s="890" customFormat="1">
      <c r="A533" s="897"/>
      <c r="B533" s="884"/>
      <c r="C533" s="880"/>
      <c r="D533" s="884">
        <v>427.45400000000001</v>
      </c>
      <c r="E533" s="1546"/>
      <c r="F533" s="881"/>
      <c r="G533" s="880"/>
      <c r="H533" s="880"/>
      <c r="I533" s="921"/>
      <c r="J533" s="897"/>
      <c r="K533" s="884"/>
      <c r="L533" s="880"/>
      <c r="M533" s="897"/>
      <c r="N533" s="897"/>
      <c r="O533" s="897"/>
      <c r="P533" s="897"/>
      <c r="Q533" s="897"/>
      <c r="R533" s="897"/>
      <c r="S533" s="897"/>
      <c r="T533" s="897"/>
      <c r="U533" s="901">
        <v>427.45299999999997</v>
      </c>
      <c r="V533" s="1546"/>
      <c r="W533" s="881"/>
      <c r="X533" s="881"/>
      <c r="Y533" s="880"/>
      <c r="Z533" s="880"/>
      <c r="AA533" s="881" t="s">
        <v>2555</v>
      </c>
    </row>
    <row r="534" spans="1:27" s="890" customFormat="1">
      <c r="A534" s="918">
        <f>A532+1</f>
        <v>265</v>
      </c>
      <c r="B534" s="826" t="s">
        <v>2535</v>
      </c>
      <c r="C534" s="826" t="s">
        <v>2197</v>
      </c>
      <c r="D534" s="829"/>
      <c r="E534" s="1546"/>
      <c r="F534" s="764" t="s">
        <v>2538</v>
      </c>
      <c r="G534" s="829">
        <v>539233.6</v>
      </c>
      <c r="H534" s="829">
        <v>3499227.7409999999</v>
      </c>
      <c r="I534" s="921"/>
      <c r="J534" s="918">
        <f>J532+1</f>
        <v>265</v>
      </c>
      <c r="K534" s="826" t="s">
        <v>2535</v>
      </c>
      <c r="L534" s="826" t="s">
        <v>2197</v>
      </c>
      <c r="M534" s="897"/>
      <c r="N534" s="897"/>
      <c r="O534" s="897"/>
      <c r="P534" s="897"/>
      <c r="Q534" s="897"/>
      <c r="R534" s="897"/>
      <c r="S534" s="897"/>
      <c r="T534" s="897"/>
      <c r="U534" s="916"/>
      <c r="V534" s="1546"/>
      <c r="W534" s="881">
        <v>235.97300000000001</v>
      </c>
      <c r="X534" s="764" t="s">
        <v>2538</v>
      </c>
      <c r="Y534" s="829">
        <v>539233.6</v>
      </c>
      <c r="Z534" s="829">
        <v>3499227.7409999999</v>
      </c>
      <c r="AA534" s="881"/>
    </row>
    <row r="535" spans="1:27" ht="8.5" customHeight="1">
      <c r="A535" s="911"/>
      <c r="B535" s="911"/>
      <c r="C535" s="912"/>
      <c r="D535" s="912"/>
      <c r="E535" s="911"/>
      <c r="F535" s="911"/>
      <c r="G535" s="911"/>
      <c r="H535" s="911"/>
      <c r="I535" s="911"/>
      <c r="J535" s="911"/>
      <c r="K535" s="911"/>
      <c r="L535" s="911"/>
      <c r="M535" s="911"/>
      <c r="N535" s="911"/>
      <c r="O535" s="911"/>
      <c r="P535" s="911"/>
      <c r="Q535" s="911"/>
      <c r="R535" s="911"/>
      <c r="S535" s="911"/>
      <c r="T535" s="911"/>
      <c r="U535" s="913"/>
      <c r="V535" s="911"/>
      <c r="W535" s="911"/>
      <c r="X535" s="911"/>
      <c r="Y535" s="911"/>
      <c r="Z535" s="911"/>
      <c r="AA535" s="914"/>
    </row>
    <row r="536" spans="1:27">
      <c r="A536" s="918">
        <f>A534+1</f>
        <v>266</v>
      </c>
      <c r="B536" s="826" t="s">
        <v>2556</v>
      </c>
      <c r="C536" s="826" t="s">
        <v>1269</v>
      </c>
      <c r="D536" s="830"/>
      <c r="E536" s="1545">
        <f>D537+D539+D541</f>
        <v>1066.883</v>
      </c>
      <c r="F536" s="764" t="s">
        <v>2557</v>
      </c>
      <c r="G536" s="830">
        <v>539550.52</v>
      </c>
      <c r="H536" s="830">
        <v>3494836.47</v>
      </c>
      <c r="I536" s="892"/>
      <c r="J536" s="918">
        <f>J534+1</f>
        <v>266</v>
      </c>
      <c r="K536" s="826" t="s">
        <v>2556</v>
      </c>
      <c r="L536" s="902" t="s">
        <v>1269</v>
      </c>
      <c r="M536" s="895"/>
      <c r="N536" s="895"/>
      <c r="O536" s="895"/>
      <c r="P536" s="895"/>
      <c r="Q536" s="895"/>
      <c r="R536" s="895"/>
      <c r="S536" s="895"/>
      <c r="T536" s="895"/>
      <c r="U536" s="830"/>
      <c r="V536" s="1545">
        <f>U537+U539+U541</f>
        <v>1066.883</v>
      </c>
      <c r="W536" s="903">
        <v>232.37299999999999</v>
      </c>
      <c r="X536" s="764" t="s">
        <v>2557</v>
      </c>
      <c r="Y536" s="830">
        <v>539550.52</v>
      </c>
      <c r="Z536" s="830">
        <v>3494836.47</v>
      </c>
      <c r="AA536" s="830"/>
    </row>
    <row r="537" spans="1:27">
      <c r="A537" s="895"/>
      <c r="B537" s="880"/>
      <c r="C537" s="880"/>
      <c r="D537" s="880">
        <v>330.49200000000002</v>
      </c>
      <c r="E537" s="1545"/>
      <c r="F537" s="764"/>
      <c r="G537" s="880"/>
      <c r="H537" s="880"/>
      <c r="I537" s="892"/>
      <c r="J537" s="895"/>
      <c r="K537" s="880"/>
      <c r="L537" s="902"/>
      <c r="M537" s="895"/>
      <c r="N537" s="895"/>
      <c r="O537" s="895"/>
      <c r="P537" s="895"/>
      <c r="Q537" s="895"/>
      <c r="R537" s="895"/>
      <c r="S537" s="895"/>
      <c r="T537" s="895"/>
      <c r="U537" s="903">
        <v>330.49200000000002</v>
      </c>
      <c r="V537" s="1545"/>
      <c r="W537" s="903"/>
      <c r="X537" s="764"/>
      <c r="Y537" s="880"/>
      <c r="Z537" s="880"/>
      <c r="AA537" s="826" t="s">
        <v>2584</v>
      </c>
    </row>
    <row r="538" spans="1:27">
      <c r="A538" s="918">
        <f>A536+1</f>
        <v>267</v>
      </c>
      <c r="B538" s="826" t="s">
        <v>2558</v>
      </c>
      <c r="C538" s="826" t="s">
        <v>76</v>
      </c>
      <c r="D538" s="832"/>
      <c r="E538" s="1545"/>
      <c r="F538" s="764"/>
      <c r="G538" s="829">
        <v>539481.19900000002</v>
      </c>
      <c r="H538" s="829">
        <v>3494513.33</v>
      </c>
      <c r="I538" s="892"/>
      <c r="J538" s="918">
        <f>J536+1</f>
        <v>267</v>
      </c>
      <c r="K538" s="826" t="s">
        <v>2558</v>
      </c>
      <c r="L538" s="902" t="s">
        <v>76</v>
      </c>
      <c r="M538" s="895"/>
      <c r="N538" s="895"/>
      <c r="O538" s="895"/>
      <c r="P538" s="895"/>
      <c r="Q538" s="895"/>
      <c r="R538" s="895"/>
      <c r="S538" s="895"/>
      <c r="T538" s="895"/>
      <c r="U538" s="834"/>
      <c r="V538" s="1545"/>
      <c r="W538" s="903">
        <v>232.053</v>
      </c>
      <c r="X538" s="764"/>
      <c r="Y538" s="829">
        <v>539481.19900000002</v>
      </c>
      <c r="Z538" s="829">
        <v>3494513.33</v>
      </c>
      <c r="AA538" s="830"/>
    </row>
    <row r="539" spans="1:27">
      <c r="A539" s="895"/>
      <c r="B539" s="880"/>
      <c r="C539" s="880"/>
      <c r="D539" s="880">
        <v>342.10599999999999</v>
      </c>
      <c r="E539" s="1545"/>
      <c r="F539" s="764"/>
      <c r="G539" s="880"/>
      <c r="H539" s="880"/>
      <c r="I539" s="892"/>
      <c r="J539" s="895"/>
      <c r="K539" s="880"/>
      <c r="L539" s="902"/>
      <c r="M539" s="895"/>
      <c r="N539" s="895"/>
      <c r="O539" s="895"/>
      <c r="P539" s="895"/>
      <c r="Q539" s="895"/>
      <c r="R539" s="895"/>
      <c r="S539" s="895"/>
      <c r="T539" s="895"/>
      <c r="U539" s="903">
        <v>342.10599999999999</v>
      </c>
      <c r="V539" s="1545"/>
      <c r="W539" s="903"/>
      <c r="X539" s="764"/>
      <c r="Y539" s="880"/>
      <c r="Z539" s="880"/>
      <c r="AA539" s="881" t="s">
        <v>2585</v>
      </c>
    </row>
    <row r="540" spans="1:27">
      <c r="A540" s="918">
        <f>A538+1</f>
        <v>268</v>
      </c>
      <c r="B540" s="826" t="s">
        <v>2559</v>
      </c>
      <c r="C540" s="826" t="s">
        <v>62</v>
      </c>
      <c r="D540" s="829"/>
      <c r="E540" s="1545"/>
      <c r="F540" s="764"/>
      <c r="G540" s="829">
        <v>539409.44200000004</v>
      </c>
      <c r="H540" s="829">
        <v>3494178.8339999998</v>
      </c>
      <c r="I540" s="892"/>
      <c r="J540" s="918">
        <f>J538+1</f>
        <v>268</v>
      </c>
      <c r="K540" s="826" t="s">
        <v>2559</v>
      </c>
      <c r="L540" s="902" t="s">
        <v>62</v>
      </c>
      <c r="M540" s="895"/>
      <c r="N540" s="895"/>
      <c r="O540" s="895"/>
      <c r="P540" s="895"/>
      <c r="Q540" s="895"/>
      <c r="R540" s="895"/>
      <c r="S540" s="895"/>
      <c r="T540" s="895"/>
      <c r="U540" s="834"/>
      <c r="V540" s="1545"/>
      <c r="W540" s="903">
        <v>232.07400000000001</v>
      </c>
      <c r="X540" s="764"/>
      <c r="Y540" s="829">
        <v>539409.44200000004</v>
      </c>
      <c r="Z540" s="829">
        <v>3494178.8339999998</v>
      </c>
      <c r="AA540" s="829"/>
    </row>
    <row r="541" spans="1:27">
      <c r="A541" s="895"/>
      <c r="B541" s="880"/>
      <c r="C541" s="880"/>
      <c r="D541" s="880">
        <v>394.28500000000003</v>
      </c>
      <c r="E541" s="1545"/>
      <c r="F541" s="764"/>
      <c r="G541" s="880"/>
      <c r="H541" s="880"/>
      <c r="I541" s="892"/>
      <c r="J541" s="895"/>
      <c r="K541" s="880"/>
      <c r="L541" s="902"/>
      <c r="M541" s="895"/>
      <c r="N541" s="895"/>
      <c r="O541" s="895"/>
      <c r="P541" s="895"/>
      <c r="Q541" s="895"/>
      <c r="R541" s="895"/>
      <c r="S541" s="895"/>
      <c r="T541" s="895"/>
      <c r="U541" s="903">
        <v>394.28500000000003</v>
      </c>
      <c r="V541" s="1545"/>
      <c r="W541" s="903"/>
      <c r="X541" s="764"/>
      <c r="Y541" s="880"/>
      <c r="Z541" s="880"/>
      <c r="AA541" s="881" t="s">
        <v>2586</v>
      </c>
    </row>
    <row r="542" spans="1:27">
      <c r="A542" s="918">
        <f>A540+1</f>
        <v>269</v>
      </c>
      <c r="B542" s="826" t="s">
        <v>2560</v>
      </c>
      <c r="C542" s="826" t="s">
        <v>1277</v>
      </c>
      <c r="D542" s="829"/>
      <c r="E542" s="1545"/>
      <c r="F542" s="764" t="s">
        <v>2561</v>
      </c>
      <c r="G542" s="829">
        <v>539326.74</v>
      </c>
      <c r="H542" s="829">
        <v>3493793.32</v>
      </c>
      <c r="I542" s="892"/>
      <c r="J542" s="918">
        <f>J540+1</f>
        <v>269</v>
      </c>
      <c r="K542" s="826" t="s">
        <v>2560</v>
      </c>
      <c r="L542" s="902" t="s">
        <v>1277</v>
      </c>
      <c r="M542" s="895"/>
      <c r="N542" s="895"/>
      <c r="O542" s="895"/>
      <c r="P542" s="895"/>
      <c r="Q542" s="895"/>
      <c r="R542" s="895"/>
      <c r="S542" s="895"/>
      <c r="T542" s="895"/>
      <c r="U542" s="834"/>
      <c r="V542" s="1545"/>
      <c r="W542" s="903">
        <v>232.34700000000001</v>
      </c>
      <c r="X542" s="764" t="s">
        <v>2561</v>
      </c>
      <c r="Y542" s="829">
        <v>539326.74</v>
      </c>
      <c r="Z542" s="829">
        <v>3493793.32</v>
      </c>
      <c r="AA542" s="830"/>
    </row>
    <row r="543" spans="1:27">
      <c r="A543" s="895"/>
      <c r="B543" s="880"/>
      <c r="C543" s="880"/>
      <c r="D543" s="880">
        <v>245.679</v>
      </c>
      <c r="E543" s="1545">
        <f>D543</f>
        <v>245.679</v>
      </c>
      <c r="F543" s="764"/>
      <c r="G543" s="880"/>
      <c r="H543" s="880"/>
      <c r="I543" s="892"/>
      <c r="J543" s="895"/>
      <c r="K543" s="880"/>
      <c r="L543" s="902"/>
      <c r="M543" s="895"/>
      <c r="N543" s="895"/>
      <c r="O543" s="895"/>
      <c r="P543" s="895"/>
      <c r="Q543" s="895"/>
      <c r="R543" s="895"/>
      <c r="S543" s="895"/>
      <c r="T543" s="895"/>
      <c r="U543" s="903">
        <v>245.679</v>
      </c>
      <c r="V543" s="1545">
        <f>U543</f>
        <v>245.679</v>
      </c>
      <c r="W543" s="903"/>
      <c r="X543" s="764"/>
      <c r="Y543" s="880"/>
      <c r="Z543" s="880"/>
      <c r="AA543" s="881"/>
    </row>
    <row r="544" spans="1:27">
      <c r="A544" s="918">
        <f>A542+1</f>
        <v>270</v>
      </c>
      <c r="B544" s="826" t="s">
        <v>2562</v>
      </c>
      <c r="C544" s="826" t="s">
        <v>1269</v>
      </c>
      <c r="D544" s="829"/>
      <c r="E544" s="1545"/>
      <c r="F544" s="764"/>
      <c r="G544" s="829">
        <v>539401.05200000003</v>
      </c>
      <c r="H544" s="829">
        <v>3493559.1490000002</v>
      </c>
      <c r="I544" s="892"/>
      <c r="J544" s="918">
        <f>J542+1</f>
        <v>270</v>
      </c>
      <c r="K544" s="826" t="s">
        <v>2562</v>
      </c>
      <c r="L544" s="902" t="s">
        <v>1269</v>
      </c>
      <c r="M544" s="895"/>
      <c r="N544" s="895"/>
      <c r="O544" s="895"/>
      <c r="P544" s="895"/>
      <c r="Q544" s="895"/>
      <c r="R544" s="895"/>
      <c r="S544" s="895"/>
      <c r="T544" s="895"/>
      <c r="U544" s="834"/>
      <c r="V544" s="1545"/>
      <c r="W544" s="903">
        <v>231.946</v>
      </c>
      <c r="X544" s="764"/>
      <c r="Y544" s="829">
        <v>539401.05200000003</v>
      </c>
      <c r="Z544" s="829">
        <v>3493559.1490000002</v>
      </c>
      <c r="AA544" s="829"/>
    </row>
    <row r="545" spans="1:27">
      <c r="A545" s="895"/>
      <c r="B545" s="880"/>
      <c r="C545" s="880"/>
      <c r="D545" s="901">
        <v>352.93</v>
      </c>
      <c r="E545" s="1545">
        <f>D545</f>
        <v>352.93</v>
      </c>
      <c r="F545" s="764"/>
      <c r="G545" s="880"/>
      <c r="H545" s="880"/>
      <c r="I545" s="892"/>
      <c r="J545" s="895"/>
      <c r="K545" s="880"/>
      <c r="L545" s="902"/>
      <c r="M545" s="895"/>
      <c r="N545" s="895"/>
      <c r="O545" s="895"/>
      <c r="P545" s="895"/>
      <c r="Q545" s="895"/>
      <c r="R545" s="895"/>
      <c r="S545" s="895"/>
      <c r="T545" s="895"/>
      <c r="U545" s="903">
        <v>352.93</v>
      </c>
      <c r="V545" s="1545">
        <f>U545</f>
        <v>352.93</v>
      </c>
      <c r="W545" s="903"/>
      <c r="X545" s="764"/>
      <c r="Y545" s="880"/>
      <c r="Z545" s="880"/>
      <c r="AA545" s="881" t="s">
        <v>2587</v>
      </c>
    </row>
    <row r="546" spans="1:27">
      <c r="A546" s="918">
        <f>A544+1</f>
        <v>271</v>
      </c>
      <c r="B546" s="826" t="s">
        <v>2563</v>
      </c>
      <c r="C546" s="826" t="s">
        <v>1988</v>
      </c>
      <c r="D546" s="829"/>
      <c r="E546" s="1545"/>
      <c r="F546" s="764" t="s">
        <v>2564</v>
      </c>
      <c r="G546" s="829">
        <v>539507.80500000005</v>
      </c>
      <c r="H546" s="829">
        <v>3493222.7510000002</v>
      </c>
      <c r="I546" s="892"/>
      <c r="J546" s="918">
        <f>J544+1</f>
        <v>271</v>
      </c>
      <c r="K546" s="826" t="s">
        <v>2563</v>
      </c>
      <c r="L546" s="902" t="s">
        <v>1988</v>
      </c>
      <c r="M546" s="895"/>
      <c r="N546" s="895"/>
      <c r="O546" s="895"/>
      <c r="P546" s="895"/>
      <c r="Q546" s="895"/>
      <c r="R546" s="895"/>
      <c r="S546" s="895"/>
      <c r="T546" s="895"/>
      <c r="U546" s="834"/>
      <c r="V546" s="1545"/>
      <c r="W546" s="903">
        <v>232.34399999999999</v>
      </c>
      <c r="X546" s="764" t="s">
        <v>2564</v>
      </c>
      <c r="Y546" s="829">
        <v>539507.80500000005</v>
      </c>
      <c r="Z546" s="829">
        <v>3493222.7510000002</v>
      </c>
      <c r="AA546" s="830"/>
    </row>
    <row r="547" spans="1:27">
      <c r="A547" s="895"/>
      <c r="B547" s="880"/>
      <c r="C547" s="880"/>
      <c r="D547" s="880">
        <v>232.30099999999999</v>
      </c>
      <c r="E547" s="1545">
        <f>D547</f>
        <v>232.30099999999999</v>
      </c>
      <c r="F547" s="764"/>
      <c r="G547" s="880"/>
      <c r="H547" s="880"/>
      <c r="I547" s="892"/>
      <c r="J547" s="895"/>
      <c r="K547" s="880"/>
      <c r="L547" s="902"/>
      <c r="M547" s="895"/>
      <c r="N547" s="895"/>
      <c r="O547" s="895"/>
      <c r="P547" s="895"/>
      <c r="Q547" s="895"/>
      <c r="R547" s="895"/>
      <c r="S547" s="895"/>
      <c r="T547" s="895"/>
      <c r="U547" s="903">
        <v>232.30099999999999</v>
      </c>
      <c r="V547" s="1545">
        <f>U547</f>
        <v>232.30099999999999</v>
      </c>
      <c r="W547" s="903"/>
      <c r="X547" s="764"/>
      <c r="Y547" s="880"/>
      <c r="Z547" s="880"/>
      <c r="AA547" s="881" t="s">
        <v>2588</v>
      </c>
    </row>
    <row r="548" spans="1:27">
      <c r="A548" s="918">
        <f>A546+1</f>
        <v>272</v>
      </c>
      <c r="B548" s="826" t="s">
        <v>2565</v>
      </c>
      <c r="C548" s="826" t="s">
        <v>1988</v>
      </c>
      <c r="D548" s="829"/>
      <c r="E548" s="1545"/>
      <c r="F548" s="764" t="s">
        <v>2566</v>
      </c>
      <c r="G548" s="830">
        <v>539379.397</v>
      </c>
      <c r="H548" s="830">
        <v>3493029.1660000002</v>
      </c>
      <c r="I548" s="892"/>
      <c r="J548" s="918">
        <f>J546+1</f>
        <v>272</v>
      </c>
      <c r="K548" s="826" t="s">
        <v>2565</v>
      </c>
      <c r="L548" s="902" t="s">
        <v>1988</v>
      </c>
      <c r="M548" s="895"/>
      <c r="N548" s="895"/>
      <c r="O548" s="895"/>
      <c r="P548" s="895"/>
      <c r="Q548" s="895"/>
      <c r="R548" s="895"/>
      <c r="S548" s="895"/>
      <c r="T548" s="895"/>
      <c r="U548" s="834"/>
      <c r="V548" s="1545"/>
      <c r="W548" s="903">
        <v>232.15799999999999</v>
      </c>
      <c r="X548" s="764" t="s">
        <v>2566</v>
      </c>
      <c r="Y548" s="830">
        <v>539379.397</v>
      </c>
      <c r="Z548" s="830">
        <v>3493029.1660000002</v>
      </c>
      <c r="AA548" s="830"/>
    </row>
    <row r="549" spans="1:27">
      <c r="A549" s="895"/>
      <c r="B549" s="880"/>
      <c r="C549" s="880"/>
      <c r="D549" s="880">
        <v>474.983</v>
      </c>
      <c r="E549" s="1545">
        <f>D549</f>
        <v>474.983</v>
      </c>
      <c r="F549" s="764"/>
      <c r="G549" s="880"/>
      <c r="H549" s="880"/>
      <c r="I549" s="892"/>
      <c r="J549" s="895"/>
      <c r="K549" s="880"/>
      <c r="L549" s="902"/>
      <c r="M549" s="895"/>
      <c r="N549" s="895"/>
      <c r="O549" s="895"/>
      <c r="P549" s="895"/>
      <c r="Q549" s="895"/>
      <c r="R549" s="895"/>
      <c r="S549" s="895"/>
      <c r="T549" s="895"/>
      <c r="U549" s="903">
        <v>474.983</v>
      </c>
      <c r="V549" s="1545">
        <f>U549</f>
        <v>474.983</v>
      </c>
      <c r="W549" s="903"/>
      <c r="X549" s="764"/>
      <c r="Y549" s="880"/>
      <c r="Z549" s="880"/>
      <c r="AA549" s="881" t="s">
        <v>2589</v>
      </c>
    </row>
    <row r="550" spans="1:27">
      <c r="A550" s="918">
        <f>A548+1</f>
        <v>273</v>
      </c>
      <c r="B550" s="55" t="s">
        <v>2567</v>
      </c>
      <c r="C550" s="55" t="s">
        <v>1277</v>
      </c>
      <c r="D550" s="832"/>
      <c r="E550" s="1545"/>
      <c r="F550" s="822" t="s">
        <v>2568</v>
      </c>
      <c r="G550" s="829">
        <v>539289.54</v>
      </c>
      <c r="H550" s="829">
        <v>3492562.76</v>
      </c>
      <c r="I550" s="892"/>
      <c r="J550" s="918">
        <f>J548+1</f>
        <v>273</v>
      </c>
      <c r="K550" s="55" t="s">
        <v>2567</v>
      </c>
      <c r="L550" s="902" t="s">
        <v>1277</v>
      </c>
      <c r="M550" s="895"/>
      <c r="N550" s="895"/>
      <c r="O550" s="895"/>
      <c r="P550" s="895"/>
      <c r="Q550" s="895"/>
      <c r="R550" s="895"/>
      <c r="S550" s="895"/>
      <c r="T550" s="895"/>
      <c r="U550" s="834"/>
      <c r="V550" s="1545"/>
      <c r="W550" s="903">
        <v>232.18700000000001</v>
      </c>
      <c r="X550" s="822" t="s">
        <v>2568</v>
      </c>
      <c r="Y550" s="829">
        <v>539289.54</v>
      </c>
      <c r="Z550" s="829">
        <v>3492562.76</v>
      </c>
      <c r="AA550" s="829"/>
    </row>
    <row r="551" spans="1:27">
      <c r="A551" s="895"/>
      <c r="B551" s="880"/>
      <c r="C551" s="880"/>
      <c r="D551" s="901">
        <v>322.58800000000002</v>
      </c>
      <c r="E551" s="1545">
        <f>D551+D553+D555</f>
        <v>938.20699999999999</v>
      </c>
      <c r="F551" s="822"/>
      <c r="G551" s="880"/>
      <c r="H551" s="880"/>
      <c r="I551" s="892"/>
      <c r="J551" s="895"/>
      <c r="K551" s="880"/>
      <c r="L551" s="902"/>
      <c r="M551" s="895"/>
      <c r="N551" s="895"/>
      <c r="O551" s="895"/>
      <c r="P551" s="895"/>
      <c r="Q551" s="895"/>
      <c r="R551" s="895"/>
      <c r="S551" s="895"/>
      <c r="T551" s="895"/>
      <c r="U551" s="903">
        <v>322.58800000000002</v>
      </c>
      <c r="V551" s="1545">
        <f>U551+U553+U555</f>
        <v>938.20699999999999</v>
      </c>
      <c r="W551" s="903"/>
      <c r="X551" s="822"/>
      <c r="Y551" s="880"/>
      <c r="Z551" s="880"/>
      <c r="AA551" s="881" t="s">
        <v>2590</v>
      </c>
    </row>
    <row r="552" spans="1:27">
      <c r="A552" s="918">
        <f>A550+1</f>
        <v>274</v>
      </c>
      <c r="B552" s="826" t="s">
        <v>2569</v>
      </c>
      <c r="C552" s="826" t="s">
        <v>76</v>
      </c>
      <c r="D552" s="830"/>
      <c r="E552" s="1545"/>
      <c r="F552" s="822"/>
      <c r="G552" s="829">
        <v>539364.16200000001</v>
      </c>
      <c r="H552" s="829">
        <v>3492248.9219999998</v>
      </c>
      <c r="I552" s="892"/>
      <c r="J552" s="918">
        <f>J550+1</f>
        <v>274</v>
      </c>
      <c r="K552" s="826" t="s">
        <v>2569</v>
      </c>
      <c r="L552" s="902" t="s">
        <v>76</v>
      </c>
      <c r="M552" s="895"/>
      <c r="N552" s="895"/>
      <c r="O552" s="895"/>
      <c r="P552" s="895"/>
      <c r="Q552" s="895"/>
      <c r="R552" s="895"/>
      <c r="S552" s="895"/>
      <c r="T552" s="895"/>
      <c r="U552" s="833"/>
      <c r="V552" s="1545"/>
      <c r="W552" s="903">
        <v>231.72900000000001</v>
      </c>
      <c r="X552" s="822"/>
      <c r="Y552" s="829">
        <v>539364.16200000001</v>
      </c>
      <c r="Z552" s="829">
        <v>3492248.9219999998</v>
      </c>
      <c r="AA552" s="829"/>
    </row>
    <row r="553" spans="1:27">
      <c r="A553" s="895"/>
      <c r="B553" s="880"/>
      <c r="C553" s="880"/>
      <c r="D553" s="880">
        <v>317.88400000000001</v>
      </c>
      <c r="E553" s="1545"/>
      <c r="F553" s="822"/>
      <c r="G553" s="880"/>
      <c r="H553" s="880"/>
      <c r="I553" s="892"/>
      <c r="J553" s="895"/>
      <c r="K553" s="880"/>
      <c r="L553" s="902"/>
      <c r="M553" s="895"/>
      <c r="N553" s="895"/>
      <c r="O553" s="895"/>
      <c r="P553" s="895"/>
      <c r="Q553" s="895"/>
      <c r="R553" s="895"/>
      <c r="S553" s="895"/>
      <c r="T553" s="895"/>
      <c r="U553" s="903">
        <v>317.88400000000001</v>
      </c>
      <c r="V553" s="1545"/>
      <c r="W553" s="903"/>
      <c r="X553" s="822"/>
      <c r="Y553" s="880"/>
      <c r="Z553" s="880"/>
      <c r="AA553" s="881"/>
    </row>
    <row r="554" spans="1:27">
      <c r="A554" s="918">
        <f>A552+1</f>
        <v>275</v>
      </c>
      <c r="B554" s="55" t="s">
        <v>2570</v>
      </c>
      <c r="C554" s="55" t="s">
        <v>76</v>
      </c>
      <c r="D554" s="829"/>
      <c r="E554" s="1545"/>
      <c r="F554" s="822"/>
      <c r="G554" s="829">
        <v>539437.69700000004</v>
      </c>
      <c r="H554" s="829">
        <v>3491939.66</v>
      </c>
      <c r="I554" s="892"/>
      <c r="J554" s="918">
        <f>J552+1</f>
        <v>275</v>
      </c>
      <c r="K554" s="55" t="s">
        <v>2570</v>
      </c>
      <c r="L554" s="902" t="s">
        <v>76</v>
      </c>
      <c r="M554" s="895"/>
      <c r="N554" s="895"/>
      <c r="O554" s="895"/>
      <c r="P554" s="895"/>
      <c r="Q554" s="895"/>
      <c r="R554" s="895"/>
      <c r="S554" s="895"/>
      <c r="T554" s="895"/>
      <c r="U554" s="834"/>
      <c r="V554" s="1545"/>
      <c r="W554" s="903">
        <v>232.06700000000001</v>
      </c>
      <c r="X554" s="822"/>
      <c r="Y554" s="829">
        <v>539437.69700000004</v>
      </c>
      <c r="Z554" s="829">
        <v>3491939.66</v>
      </c>
      <c r="AA554" s="829"/>
    </row>
    <row r="555" spans="1:27">
      <c r="A555" s="895"/>
      <c r="B555" s="880"/>
      <c r="C555" s="880"/>
      <c r="D555" s="880">
        <v>297.73500000000001</v>
      </c>
      <c r="E555" s="1545"/>
      <c r="F555" s="915"/>
      <c r="G555" s="880"/>
      <c r="H555" s="880"/>
      <c r="I555" s="892"/>
      <c r="J555" s="895"/>
      <c r="K555" s="880"/>
      <c r="L555" s="902"/>
      <c r="M555" s="895"/>
      <c r="N555" s="895"/>
      <c r="O555" s="895"/>
      <c r="P555" s="895"/>
      <c r="Q555" s="895"/>
      <c r="R555" s="895"/>
      <c r="S555" s="895"/>
      <c r="T555" s="895"/>
      <c r="U555" s="903">
        <v>297.73500000000001</v>
      </c>
      <c r="V555" s="1545"/>
      <c r="W555" s="903"/>
      <c r="X555" s="915"/>
      <c r="Y555" s="880"/>
      <c r="Z555" s="880"/>
      <c r="AA555" s="881"/>
    </row>
    <row r="556" spans="1:27">
      <c r="A556" s="918">
        <f>A554+1</f>
        <v>276</v>
      </c>
      <c r="B556" s="826" t="s">
        <v>2571</v>
      </c>
      <c r="C556" s="826" t="s">
        <v>1277</v>
      </c>
      <c r="D556" s="830"/>
      <c r="E556" s="1545"/>
      <c r="F556" s="764" t="s">
        <v>2572</v>
      </c>
      <c r="G556" s="830">
        <v>539506.56999999995</v>
      </c>
      <c r="H556" s="830">
        <v>3491650</v>
      </c>
      <c r="I556" s="892"/>
      <c r="J556" s="918">
        <f>J554+1</f>
        <v>276</v>
      </c>
      <c r="K556" s="826" t="s">
        <v>2571</v>
      </c>
      <c r="L556" s="902" t="s">
        <v>1277</v>
      </c>
      <c r="M556" s="895"/>
      <c r="N556" s="895"/>
      <c r="O556" s="895"/>
      <c r="P556" s="895"/>
      <c r="Q556" s="895"/>
      <c r="R556" s="895"/>
      <c r="S556" s="895"/>
      <c r="T556" s="895"/>
      <c r="U556" s="833"/>
      <c r="V556" s="1545"/>
      <c r="W556" s="903">
        <v>231.965</v>
      </c>
      <c r="X556" s="764" t="s">
        <v>2572</v>
      </c>
      <c r="Y556" s="830">
        <v>539506.56999999995</v>
      </c>
      <c r="Z556" s="830">
        <v>3491650</v>
      </c>
      <c r="AA556" s="830"/>
    </row>
    <row r="557" spans="1:27">
      <c r="A557" s="895"/>
      <c r="B557" s="880"/>
      <c r="C557" s="880"/>
      <c r="D557" s="880">
        <v>357.24900000000002</v>
      </c>
      <c r="E557" s="1546">
        <f>D557+D559+D561</f>
        <v>1117.048</v>
      </c>
      <c r="F557" s="915"/>
      <c r="G557" s="880"/>
      <c r="H557" s="880"/>
      <c r="I557" s="892"/>
      <c r="J557" s="895"/>
      <c r="K557" s="880"/>
      <c r="L557" s="902"/>
      <c r="M557" s="895"/>
      <c r="N557" s="895"/>
      <c r="O557" s="895"/>
      <c r="P557" s="895"/>
      <c r="Q557" s="895"/>
      <c r="R557" s="895"/>
      <c r="S557" s="895"/>
      <c r="T557" s="895"/>
      <c r="U557" s="903">
        <v>357.24900000000002</v>
      </c>
      <c r="V557" s="1546">
        <f>U557+U559+U561</f>
        <v>1117.048</v>
      </c>
      <c r="W557" s="903"/>
      <c r="X557" s="915"/>
      <c r="Y557" s="880"/>
      <c r="Z557" s="880"/>
      <c r="AA557" s="881"/>
    </row>
    <row r="558" spans="1:27">
      <c r="A558" s="918">
        <f>A556+1</f>
        <v>277</v>
      </c>
      <c r="B558" s="55" t="s">
        <v>2573</v>
      </c>
      <c r="C558" s="55" t="s">
        <v>76</v>
      </c>
      <c r="D558" s="829"/>
      <c r="E558" s="1546"/>
      <c r="F558" s="822"/>
      <c r="G558" s="829">
        <v>539434.77899999998</v>
      </c>
      <c r="H558" s="829">
        <v>3491300.0389999999</v>
      </c>
      <c r="I558" s="892"/>
      <c r="J558" s="918">
        <f>J556+1</f>
        <v>277</v>
      </c>
      <c r="K558" s="55" t="s">
        <v>2573</v>
      </c>
      <c r="L558" s="902" t="s">
        <v>76</v>
      </c>
      <c r="M558" s="895"/>
      <c r="N558" s="895"/>
      <c r="O558" s="895"/>
      <c r="P558" s="895"/>
      <c r="Q558" s="895"/>
      <c r="R558" s="895"/>
      <c r="S558" s="895"/>
      <c r="T558" s="895"/>
      <c r="U558" s="834"/>
      <c r="V558" s="1546"/>
      <c r="W558" s="903">
        <v>231.64500000000001</v>
      </c>
      <c r="X558" s="822"/>
      <c r="Y558" s="829">
        <v>539434.77899999998</v>
      </c>
      <c r="Z558" s="829">
        <v>3491300.0389999999</v>
      </c>
      <c r="AA558" s="829"/>
    </row>
    <row r="559" spans="1:27">
      <c r="A559" s="895"/>
      <c r="B559" s="880"/>
      <c r="C559" s="880"/>
      <c r="D559" s="880">
        <v>353.03199999999998</v>
      </c>
      <c r="E559" s="1546"/>
      <c r="F559" s="915"/>
      <c r="G559" s="880"/>
      <c r="H559" s="880"/>
      <c r="I559" s="892"/>
      <c r="J559" s="895"/>
      <c r="K559" s="880"/>
      <c r="L559" s="902"/>
      <c r="M559" s="895"/>
      <c r="N559" s="895"/>
      <c r="O559" s="895"/>
      <c r="P559" s="895"/>
      <c r="Q559" s="895"/>
      <c r="R559" s="895"/>
      <c r="S559" s="895"/>
      <c r="T559" s="895"/>
      <c r="U559" s="903">
        <v>353.03199999999998</v>
      </c>
      <c r="V559" s="1546"/>
      <c r="W559" s="903"/>
      <c r="X559" s="915"/>
      <c r="Y559" s="880"/>
      <c r="Z559" s="880"/>
      <c r="AA559" s="881" t="s">
        <v>2591</v>
      </c>
    </row>
    <row r="560" spans="1:27">
      <c r="A560" s="918">
        <f>A558+1</f>
        <v>278</v>
      </c>
      <c r="B560" s="826" t="s">
        <v>2574</v>
      </c>
      <c r="C560" s="826" t="s">
        <v>62</v>
      </c>
      <c r="D560" s="829"/>
      <c r="E560" s="1546"/>
      <c r="F560" s="822"/>
      <c r="G560" s="829">
        <v>539363.83499999996</v>
      </c>
      <c r="H560" s="829">
        <v>3490954.2089999998</v>
      </c>
      <c r="I560" s="892"/>
      <c r="J560" s="918">
        <f>J558+1</f>
        <v>278</v>
      </c>
      <c r="K560" s="826" t="s">
        <v>2574</v>
      </c>
      <c r="L560" s="902" t="s">
        <v>62</v>
      </c>
      <c r="M560" s="895"/>
      <c r="N560" s="895"/>
      <c r="O560" s="895"/>
      <c r="P560" s="895"/>
      <c r="Q560" s="895"/>
      <c r="R560" s="895"/>
      <c r="S560" s="895"/>
      <c r="T560" s="895"/>
      <c r="U560" s="834"/>
      <c r="V560" s="1546"/>
      <c r="W560" s="903">
        <v>231.55600000000001</v>
      </c>
      <c r="X560" s="822"/>
      <c r="Y560" s="829">
        <v>539363.83499999996</v>
      </c>
      <c r="Z560" s="829">
        <v>3490954.2089999998</v>
      </c>
      <c r="AA560" s="829"/>
    </row>
    <row r="561" spans="1:27">
      <c r="A561" s="895"/>
      <c r="B561" s="880"/>
      <c r="C561" s="880"/>
      <c r="D561" s="880">
        <v>406.767</v>
      </c>
      <c r="E561" s="1546"/>
      <c r="F561" s="825"/>
      <c r="G561" s="880"/>
      <c r="H561" s="880"/>
      <c r="I561" s="892"/>
      <c r="J561" s="895"/>
      <c r="K561" s="880"/>
      <c r="L561" s="902"/>
      <c r="M561" s="895"/>
      <c r="N561" s="895"/>
      <c r="O561" s="895"/>
      <c r="P561" s="895"/>
      <c r="Q561" s="895"/>
      <c r="R561" s="895"/>
      <c r="S561" s="895"/>
      <c r="T561" s="895"/>
      <c r="U561" s="903">
        <v>406.767</v>
      </c>
      <c r="V561" s="1546"/>
      <c r="W561" s="903"/>
      <c r="X561" s="825"/>
      <c r="Y561" s="880"/>
      <c r="Z561" s="880"/>
      <c r="AA561" s="881" t="s">
        <v>2542</v>
      </c>
    </row>
    <row r="562" spans="1:27">
      <c r="A562" s="918">
        <f>A560+1</f>
        <v>279</v>
      </c>
      <c r="B562" s="826" t="s">
        <v>2575</v>
      </c>
      <c r="C562" s="826" t="s">
        <v>1319</v>
      </c>
      <c r="D562" s="829"/>
      <c r="E562" s="1546"/>
      <c r="F562" s="825" t="s">
        <v>2576</v>
      </c>
      <c r="G562" s="829">
        <v>539282.09199999995</v>
      </c>
      <c r="H562" s="829">
        <v>3490555.74</v>
      </c>
      <c r="I562" s="892"/>
      <c r="J562" s="918">
        <f>J560+1</f>
        <v>279</v>
      </c>
      <c r="K562" s="826" t="s">
        <v>2575</v>
      </c>
      <c r="L562" s="902" t="s">
        <v>1319</v>
      </c>
      <c r="M562" s="895"/>
      <c r="N562" s="895"/>
      <c r="O562" s="895"/>
      <c r="P562" s="895"/>
      <c r="Q562" s="895"/>
      <c r="R562" s="895"/>
      <c r="S562" s="895"/>
      <c r="T562" s="895"/>
      <c r="U562" s="834"/>
      <c r="V562" s="1546"/>
      <c r="W562" s="903">
        <v>231.49100000000001</v>
      </c>
      <c r="X562" s="825" t="s">
        <v>2592</v>
      </c>
      <c r="Y562" s="829">
        <v>539282.09199999995</v>
      </c>
      <c r="Z562" s="829">
        <v>3490555.74</v>
      </c>
      <c r="AA562" s="830"/>
    </row>
    <row r="563" spans="1:27">
      <c r="A563" s="895"/>
      <c r="B563" s="880"/>
      <c r="C563" s="880"/>
      <c r="D563" s="880">
        <v>392.39400000000001</v>
      </c>
      <c r="E563" s="1546">
        <f>D563+D565+D567+D569+D571</f>
        <v>1861.6020000000001</v>
      </c>
      <c r="F563" s="825"/>
      <c r="G563" s="880"/>
      <c r="H563" s="880"/>
      <c r="I563" s="892"/>
      <c r="J563" s="895"/>
      <c r="K563" s="880"/>
      <c r="L563" s="902"/>
      <c r="M563" s="895"/>
      <c r="N563" s="895"/>
      <c r="O563" s="895"/>
      <c r="P563" s="895"/>
      <c r="Q563" s="895"/>
      <c r="R563" s="895"/>
      <c r="S563" s="895"/>
      <c r="T563" s="895"/>
      <c r="U563" s="903">
        <v>392.39400000000001</v>
      </c>
      <c r="V563" s="1546">
        <f>U563+U565+U567+U569+U571</f>
        <v>1861.6020000000001</v>
      </c>
      <c r="W563" s="903"/>
      <c r="X563" s="825"/>
      <c r="Y563" s="880"/>
      <c r="Z563" s="880"/>
      <c r="AA563" s="881" t="s">
        <v>2593</v>
      </c>
    </row>
    <row r="564" spans="1:27">
      <c r="A564" s="918">
        <f>A562+1</f>
        <v>280</v>
      </c>
      <c r="B564" s="55" t="s">
        <v>2577</v>
      </c>
      <c r="C564" s="55" t="s">
        <v>62</v>
      </c>
      <c r="D564" s="829"/>
      <c r="E564" s="1546"/>
      <c r="F564" s="822"/>
      <c r="G564" s="829">
        <v>539466.61699999997</v>
      </c>
      <c r="H564" s="829">
        <v>3490209.44</v>
      </c>
      <c r="I564" s="892"/>
      <c r="J564" s="918">
        <f>J562+1</f>
        <v>280</v>
      </c>
      <c r="K564" s="55" t="s">
        <v>2577</v>
      </c>
      <c r="L564" s="902" t="s">
        <v>62</v>
      </c>
      <c r="M564" s="895"/>
      <c r="N564" s="895"/>
      <c r="O564" s="895"/>
      <c r="P564" s="895"/>
      <c r="Q564" s="895"/>
      <c r="R564" s="895"/>
      <c r="S564" s="895"/>
      <c r="T564" s="895"/>
      <c r="U564" s="834"/>
      <c r="V564" s="1546"/>
      <c r="W564" s="903">
        <v>231.32400000000001</v>
      </c>
      <c r="X564" s="822"/>
      <c r="Y564" s="829">
        <v>539466.61699999997</v>
      </c>
      <c r="Z564" s="829">
        <v>3490209.44</v>
      </c>
      <c r="AA564" s="829"/>
    </row>
    <row r="565" spans="1:27">
      <c r="A565" s="895"/>
      <c r="B565" s="880"/>
      <c r="C565" s="880"/>
      <c r="D565" s="880">
        <v>408.83499999999998</v>
      </c>
      <c r="E565" s="1546"/>
      <c r="F565" s="825"/>
      <c r="G565" s="880"/>
      <c r="H565" s="880"/>
      <c r="I565" s="892"/>
      <c r="J565" s="895"/>
      <c r="K565" s="880"/>
      <c r="L565" s="902"/>
      <c r="M565" s="895"/>
      <c r="N565" s="895"/>
      <c r="O565" s="895"/>
      <c r="P565" s="895"/>
      <c r="Q565" s="895"/>
      <c r="R565" s="895"/>
      <c r="S565" s="895"/>
      <c r="T565" s="895"/>
      <c r="U565" s="903">
        <v>408.83499999999998</v>
      </c>
      <c r="V565" s="1546"/>
      <c r="W565" s="903"/>
      <c r="X565" s="825"/>
      <c r="Y565" s="880"/>
      <c r="Z565" s="880"/>
      <c r="AA565" s="881" t="s">
        <v>2475</v>
      </c>
    </row>
    <row r="566" spans="1:27">
      <c r="A566" s="918">
        <f>A564+1</f>
        <v>281</v>
      </c>
      <c r="B566" s="826" t="s">
        <v>2578</v>
      </c>
      <c r="C566" s="826" t="s">
        <v>76</v>
      </c>
      <c r="D566" s="829"/>
      <c r="E566" s="1546"/>
      <c r="F566" s="822"/>
      <c r="G566" s="829">
        <v>538658.87399999995</v>
      </c>
      <c r="H566" s="829">
        <v>3489848.6310000001</v>
      </c>
      <c r="I566" s="892"/>
      <c r="J566" s="918">
        <f>J564+1</f>
        <v>281</v>
      </c>
      <c r="K566" s="826" t="s">
        <v>2578</v>
      </c>
      <c r="L566" s="902" t="s">
        <v>76</v>
      </c>
      <c r="M566" s="895"/>
      <c r="N566" s="895"/>
      <c r="O566" s="895"/>
      <c r="P566" s="895"/>
      <c r="Q566" s="895"/>
      <c r="R566" s="895"/>
      <c r="S566" s="895"/>
      <c r="T566" s="895"/>
      <c r="U566" s="834"/>
      <c r="V566" s="1546"/>
      <c r="W566" s="903">
        <v>230.851</v>
      </c>
      <c r="X566" s="822"/>
      <c r="Y566" s="829">
        <v>538658.87399999995</v>
      </c>
      <c r="Z566" s="829">
        <v>3489848.6310000001</v>
      </c>
      <c r="AA566" s="829"/>
    </row>
    <row r="567" spans="1:27">
      <c r="A567" s="895"/>
      <c r="B567" s="880"/>
      <c r="C567" s="880"/>
      <c r="D567" s="880">
        <v>343.09100000000001</v>
      </c>
      <c r="E567" s="1546"/>
      <c r="F567" s="825"/>
      <c r="G567" s="880"/>
      <c r="H567" s="880"/>
      <c r="I567" s="892"/>
      <c r="J567" s="895"/>
      <c r="K567" s="880"/>
      <c r="L567" s="902"/>
      <c r="M567" s="895"/>
      <c r="N567" s="895"/>
      <c r="O567" s="895"/>
      <c r="P567" s="895"/>
      <c r="Q567" s="895"/>
      <c r="R567" s="895"/>
      <c r="S567" s="895"/>
      <c r="T567" s="895"/>
      <c r="U567" s="903">
        <v>333.09100000000001</v>
      </c>
      <c r="V567" s="1546"/>
      <c r="W567" s="903"/>
      <c r="X567" s="825"/>
      <c r="Y567" s="880"/>
      <c r="Z567" s="880"/>
      <c r="AA567" s="828" t="s">
        <v>2594</v>
      </c>
    </row>
    <row r="568" spans="1:27" ht="29">
      <c r="A568" s="918">
        <f>A566+1</f>
        <v>282</v>
      </c>
      <c r="B568" s="826" t="s">
        <v>2579</v>
      </c>
      <c r="C568" s="826" t="s">
        <v>76</v>
      </c>
      <c r="D568" s="829"/>
      <c r="E568" s="1546"/>
      <c r="F568" s="825"/>
      <c r="G568" s="829">
        <v>539820.245</v>
      </c>
      <c r="H568" s="829">
        <v>3489545.8429999999</v>
      </c>
      <c r="I568" s="892"/>
      <c r="J568" s="918">
        <f>J566+1</f>
        <v>282</v>
      </c>
      <c r="K568" s="826" t="s">
        <v>2579</v>
      </c>
      <c r="L568" s="880" t="s">
        <v>76</v>
      </c>
      <c r="M568" s="895">
        <v>1</v>
      </c>
      <c r="N568" s="895">
        <v>1</v>
      </c>
      <c r="O568" s="895">
        <v>1</v>
      </c>
      <c r="P568" s="895">
        <v>1</v>
      </c>
      <c r="Q568" s="895"/>
      <c r="R568" s="895"/>
      <c r="S568" s="895"/>
      <c r="T568" s="895"/>
      <c r="U568" s="834"/>
      <c r="V568" s="1546"/>
      <c r="W568" s="903">
        <v>230.40700000000001</v>
      </c>
      <c r="X568" s="825"/>
      <c r="Y568" s="922">
        <v>539815.51199999999</v>
      </c>
      <c r="Z568" s="922">
        <v>3489554.6680000001</v>
      </c>
      <c r="AA568" s="839" t="s">
        <v>2595</v>
      </c>
    </row>
    <row r="569" spans="1:27">
      <c r="A569" s="895"/>
      <c r="B569" s="880"/>
      <c r="C569" s="880"/>
      <c r="D569" s="880">
        <v>333.68299999999999</v>
      </c>
      <c r="E569" s="1546"/>
      <c r="F569" s="825"/>
      <c r="G569" s="880"/>
      <c r="H569" s="880"/>
      <c r="I569" s="892"/>
      <c r="J569" s="895"/>
      <c r="K569" s="880"/>
      <c r="L569" s="902"/>
      <c r="M569" s="895"/>
      <c r="N569" s="895"/>
      <c r="O569" s="895"/>
      <c r="P569" s="895"/>
      <c r="Q569" s="895"/>
      <c r="R569" s="895"/>
      <c r="S569" s="895"/>
      <c r="T569" s="895"/>
      <c r="U569" s="903">
        <v>343.68299999999999</v>
      </c>
      <c r="V569" s="1546"/>
      <c r="W569" s="903"/>
      <c r="X569" s="825"/>
      <c r="Y569" s="880"/>
      <c r="Z569" s="880"/>
      <c r="AA569" s="828" t="s">
        <v>2596</v>
      </c>
    </row>
    <row r="570" spans="1:27">
      <c r="A570" s="918">
        <f>A568+1</f>
        <v>283</v>
      </c>
      <c r="B570" s="826" t="s">
        <v>2580</v>
      </c>
      <c r="C570" s="826" t="s">
        <v>76</v>
      </c>
      <c r="D570" s="829"/>
      <c r="E570" s="1546"/>
      <c r="F570" s="825"/>
      <c r="G570" s="829">
        <v>539977.13100000005</v>
      </c>
      <c r="H570" s="829">
        <v>3489251.3569999998</v>
      </c>
      <c r="I570" s="892"/>
      <c r="J570" s="918">
        <f>J568+1</f>
        <v>283</v>
      </c>
      <c r="K570" s="826" t="s">
        <v>2580</v>
      </c>
      <c r="L570" s="902" t="s">
        <v>76</v>
      </c>
      <c r="M570" s="895"/>
      <c r="N570" s="895"/>
      <c r="O570" s="895"/>
      <c r="P570" s="895"/>
      <c r="Q570" s="895"/>
      <c r="R570" s="895"/>
      <c r="S570" s="895"/>
      <c r="T570" s="895"/>
      <c r="U570" s="834"/>
      <c r="V570" s="1546"/>
      <c r="W570" s="903">
        <v>230.11500000000001</v>
      </c>
      <c r="X570" s="825"/>
      <c r="Y570" s="829">
        <v>539977.13100000005</v>
      </c>
      <c r="Z570" s="829">
        <v>3489251.3569999998</v>
      </c>
      <c r="AA570" s="828"/>
    </row>
    <row r="571" spans="1:27">
      <c r="A571" s="895"/>
      <c r="B571" s="880"/>
      <c r="C571" s="880"/>
      <c r="D571" s="880">
        <v>383.59899999999999</v>
      </c>
      <c r="E571" s="1546"/>
      <c r="F571" s="825"/>
      <c r="G571" s="880"/>
      <c r="H571" s="880"/>
      <c r="I571" s="892"/>
      <c r="J571" s="895"/>
      <c r="K571" s="880"/>
      <c r="L571" s="902"/>
      <c r="M571" s="895"/>
      <c r="N571" s="895"/>
      <c r="O571" s="895"/>
      <c r="P571" s="895"/>
      <c r="Q571" s="895"/>
      <c r="R571" s="895"/>
      <c r="S571" s="895"/>
      <c r="T571" s="895"/>
      <c r="U571" s="903">
        <v>383.59899999999999</v>
      </c>
      <c r="V571" s="1546"/>
      <c r="W571" s="903"/>
      <c r="X571" s="825"/>
      <c r="Y571" s="880"/>
      <c r="Z571" s="880"/>
      <c r="AA571" s="828"/>
    </row>
    <row r="572" spans="1:27">
      <c r="A572" s="918">
        <f>A570+1</f>
        <v>284</v>
      </c>
      <c r="B572" s="826" t="s">
        <v>2581</v>
      </c>
      <c r="C572" s="826" t="s">
        <v>1277</v>
      </c>
      <c r="D572" s="829"/>
      <c r="E572" s="1546"/>
      <c r="F572" s="822" t="s">
        <v>2582</v>
      </c>
      <c r="G572" s="829">
        <v>540157.52</v>
      </c>
      <c r="H572" s="829">
        <v>3488912.82</v>
      </c>
      <c r="I572" s="892"/>
      <c r="J572" s="918">
        <f>J570+1</f>
        <v>284</v>
      </c>
      <c r="K572" s="826" t="s">
        <v>2581</v>
      </c>
      <c r="L572" s="902" t="s">
        <v>1277</v>
      </c>
      <c r="M572" s="895"/>
      <c r="N572" s="895"/>
      <c r="O572" s="895"/>
      <c r="P572" s="895"/>
      <c r="Q572" s="895"/>
      <c r="R572" s="895"/>
      <c r="S572" s="895"/>
      <c r="T572" s="895"/>
      <c r="U572" s="829"/>
      <c r="V572" s="1546"/>
      <c r="W572" s="903">
        <v>230.15</v>
      </c>
      <c r="X572" s="822" t="s">
        <v>2582</v>
      </c>
      <c r="Y572" s="829">
        <v>540157.52</v>
      </c>
      <c r="Z572" s="829">
        <v>3488912.82</v>
      </c>
      <c r="AA572" s="828"/>
    </row>
    <row r="576" spans="1:27">
      <c r="Z576" s="889">
        <f>101-20</f>
        <v>81</v>
      </c>
    </row>
    <row r="577" spans="26:26">
      <c r="Z577" s="88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89" bestFit="1" customWidth="1"/>
    <col min="2" max="2" width="10.36328125" style="889" customWidth="1"/>
    <col min="3" max="3" width="9.26953125" style="890" customWidth="1"/>
    <col min="4" max="4" width="9.90625" style="890" customWidth="1"/>
    <col min="5" max="5" width="14.26953125" style="889" bestFit="1" customWidth="1"/>
    <col min="6" max="6" width="13.54296875" style="889" bestFit="1" customWidth="1"/>
    <col min="7" max="7" width="15" style="889" bestFit="1" customWidth="1"/>
    <col min="8" max="8" width="16.453125" style="889" bestFit="1" customWidth="1"/>
    <col min="9" max="9" width="1.1796875" style="889" customWidth="1"/>
    <col min="10" max="10" width="5.08984375" style="889" customWidth="1"/>
    <col min="11" max="11" width="9.26953125" style="889" customWidth="1"/>
    <col min="12" max="12" width="11" style="889" customWidth="1"/>
    <col min="13" max="13" width="4.81640625" style="889" customWidth="1"/>
    <col min="14" max="14" width="5.1796875" style="889" customWidth="1"/>
    <col min="15" max="15" width="4.81640625" style="889" customWidth="1"/>
    <col min="16" max="16" width="5.08984375" style="889" customWidth="1"/>
    <col min="17" max="17" width="4.6328125" style="889" customWidth="1"/>
    <col min="18" max="18" width="5.7265625" style="889" customWidth="1"/>
    <col min="19" max="19" width="4.7265625" style="889" customWidth="1"/>
    <col min="20" max="20" width="6.08984375" style="889" bestFit="1" customWidth="1"/>
    <col min="21" max="21" width="12.453125" style="889" bestFit="1" customWidth="1"/>
    <col min="22" max="22" width="14.1796875" style="889" bestFit="1" customWidth="1"/>
    <col min="23" max="23" width="12.6328125" style="889" bestFit="1" customWidth="1"/>
    <col min="24" max="24" width="16.1796875" style="889" bestFit="1" customWidth="1"/>
    <col min="25" max="25" width="14.90625" style="889" bestFit="1" customWidth="1"/>
    <col min="26" max="26" width="16.36328125" style="889" bestFit="1" customWidth="1"/>
    <col min="27" max="27" width="39.7265625" style="891" bestFit="1" customWidth="1"/>
    <col min="28" max="16384" width="8.7265625" style="889"/>
  </cols>
  <sheetData>
    <row r="1" spans="1:27">
      <c r="A1" s="781" t="s">
        <v>2630</v>
      </c>
    </row>
    <row r="2" spans="1:27">
      <c r="A2" s="781" t="s">
        <v>2384</v>
      </c>
    </row>
    <row r="3" spans="1:27" s="784" customFormat="1" ht="27.75" customHeight="1">
      <c r="A3" s="1557" t="s">
        <v>1916</v>
      </c>
      <c r="B3" s="1557"/>
      <c r="C3" s="1557"/>
      <c r="D3" s="1557"/>
      <c r="E3" s="1557"/>
      <c r="F3" s="1557"/>
      <c r="G3" s="1557"/>
      <c r="H3" s="1557"/>
      <c r="I3" s="892"/>
      <c r="J3" s="1557" t="s">
        <v>1917</v>
      </c>
      <c r="K3" s="1557"/>
      <c r="L3" s="1557"/>
      <c r="M3" s="1557"/>
      <c r="N3" s="1557"/>
      <c r="O3" s="1557"/>
      <c r="P3" s="1557"/>
      <c r="Q3" s="1557"/>
      <c r="R3" s="1557"/>
      <c r="S3" s="1557"/>
      <c r="T3" s="1557"/>
      <c r="U3" s="1557"/>
      <c r="V3" s="1557"/>
      <c r="W3" s="1557"/>
      <c r="X3" s="1557"/>
      <c r="Y3" s="1557"/>
      <c r="Z3" s="1557"/>
      <c r="AA3" s="1557"/>
    </row>
    <row r="4" spans="1:27" s="786" customFormat="1" ht="20" customHeight="1">
      <c r="A4" s="1555" t="s">
        <v>1918</v>
      </c>
      <c r="B4" s="1555" t="s">
        <v>1919</v>
      </c>
      <c r="C4" s="1555" t="s">
        <v>1920</v>
      </c>
      <c r="D4" s="1555" t="s">
        <v>1921</v>
      </c>
      <c r="E4" s="1555" t="s">
        <v>1922</v>
      </c>
      <c r="F4" s="1555" t="s">
        <v>1923</v>
      </c>
      <c r="G4" s="1555" t="s">
        <v>1924</v>
      </c>
      <c r="H4" s="1555"/>
      <c r="I4" s="892"/>
      <c r="J4" s="1555" t="s">
        <v>1918</v>
      </c>
      <c r="K4" s="1555" t="s">
        <v>1919</v>
      </c>
      <c r="L4" s="1555" t="s">
        <v>1920</v>
      </c>
      <c r="M4" s="1555" t="s">
        <v>1000</v>
      </c>
      <c r="N4" s="1555"/>
      <c r="O4" s="1555"/>
      <c r="P4" s="1555"/>
      <c r="Q4" s="1555" t="s">
        <v>1925</v>
      </c>
      <c r="R4" s="1555"/>
      <c r="S4" s="1555"/>
      <c r="T4" s="1555"/>
      <c r="U4" s="1556" t="s">
        <v>1921</v>
      </c>
      <c r="V4" s="1556" t="s">
        <v>1922</v>
      </c>
      <c r="W4" s="1558" t="s">
        <v>1926</v>
      </c>
      <c r="X4" s="1555" t="s">
        <v>1923</v>
      </c>
      <c r="Y4" s="1555" t="s">
        <v>1924</v>
      </c>
      <c r="Z4" s="1555"/>
      <c r="AA4" s="1555" t="s">
        <v>1927</v>
      </c>
    </row>
    <row r="5" spans="1:27" s="786" customFormat="1" ht="12" customHeight="1">
      <c r="A5" s="1555"/>
      <c r="B5" s="1555"/>
      <c r="C5" s="1555"/>
      <c r="D5" s="1555"/>
      <c r="E5" s="1555"/>
      <c r="F5" s="1555"/>
      <c r="G5" s="787" t="s">
        <v>1928</v>
      </c>
      <c r="H5" s="787" t="s">
        <v>1929</v>
      </c>
      <c r="I5" s="892"/>
      <c r="J5" s="1555"/>
      <c r="K5" s="1555"/>
      <c r="L5" s="1555"/>
      <c r="M5" s="785" t="s">
        <v>1930</v>
      </c>
      <c r="N5" s="785" t="s">
        <v>1931</v>
      </c>
      <c r="O5" s="785" t="s">
        <v>1932</v>
      </c>
      <c r="P5" s="785" t="s">
        <v>1933</v>
      </c>
      <c r="Q5" s="785" t="s">
        <v>1930</v>
      </c>
      <c r="R5" s="785" t="s">
        <v>1931</v>
      </c>
      <c r="S5" s="785" t="s">
        <v>1932</v>
      </c>
      <c r="T5" s="785" t="s">
        <v>1933</v>
      </c>
      <c r="U5" s="1556"/>
      <c r="V5" s="1556"/>
      <c r="W5" s="1558"/>
      <c r="X5" s="1555"/>
      <c r="Y5" s="787" t="s">
        <v>1928</v>
      </c>
      <c r="Z5" s="787" t="s">
        <v>1929</v>
      </c>
      <c r="AA5" s="1555"/>
    </row>
    <row r="6" spans="1:27" s="786" customFormat="1" ht="12" customHeight="1">
      <c r="A6" s="893">
        <v>1</v>
      </c>
      <c r="B6" s="55" t="s">
        <v>2790</v>
      </c>
      <c r="C6" s="55" t="s">
        <v>1953</v>
      </c>
      <c r="D6" s="55"/>
      <c r="E6" s="55">
        <v>0</v>
      </c>
      <c r="F6" s="55" t="s">
        <v>2791</v>
      </c>
      <c r="G6" s="55">
        <v>515334.46600000001</v>
      </c>
      <c r="H6" s="55">
        <v>3621567.1529999999</v>
      </c>
      <c r="I6" s="892"/>
      <c r="J6" s="893">
        <v>1</v>
      </c>
      <c r="K6" s="55" t="s">
        <v>2790</v>
      </c>
      <c r="L6" s="55" t="s">
        <v>1953</v>
      </c>
      <c r="M6" s="55">
        <v>0</v>
      </c>
      <c r="N6" s="55">
        <v>0</v>
      </c>
      <c r="O6" s="55">
        <v>0</v>
      </c>
      <c r="P6" s="55">
        <v>0</v>
      </c>
      <c r="Q6" s="55">
        <v>1</v>
      </c>
      <c r="R6" s="55">
        <v>0</v>
      </c>
      <c r="S6" s="55">
        <v>3</v>
      </c>
      <c r="T6" s="55">
        <v>3</v>
      </c>
      <c r="U6" s="55"/>
      <c r="V6" s="55">
        <v>0</v>
      </c>
      <c r="W6" s="55">
        <v>524.77</v>
      </c>
      <c r="X6" s="55" t="s">
        <v>2808</v>
      </c>
      <c r="Y6" s="55">
        <v>515334.47</v>
      </c>
      <c r="Z6" s="55">
        <v>3621567.15</v>
      </c>
      <c r="AA6" s="842"/>
    </row>
    <row r="7" spans="1:27" s="786" customFormat="1" ht="12" customHeight="1">
      <c r="A7" s="893"/>
      <c r="B7" s="55"/>
      <c r="C7" s="55"/>
      <c r="D7" s="55">
        <v>361.04399999999998</v>
      </c>
      <c r="E7" s="55"/>
      <c r="F7" s="55"/>
      <c r="G7" s="55"/>
      <c r="H7" s="55"/>
      <c r="I7" s="892"/>
      <c r="J7" s="893"/>
      <c r="K7" s="55"/>
      <c r="L7" s="55"/>
      <c r="M7" s="55"/>
      <c r="N7" s="55"/>
      <c r="O7" s="55"/>
      <c r="P7" s="55"/>
      <c r="Q7" s="55"/>
      <c r="R7" s="55"/>
      <c r="S7" s="55"/>
      <c r="T7" s="55"/>
      <c r="U7" s="55">
        <v>340.27699999999999</v>
      </c>
      <c r="V7" s="55"/>
      <c r="W7" s="55"/>
      <c r="X7" s="55"/>
      <c r="Y7" s="55"/>
      <c r="Z7" s="55"/>
      <c r="AA7" s="842"/>
    </row>
    <row r="8" spans="1:27" s="786" customFormat="1" ht="12" customHeight="1">
      <c r="A8" s="893">
        <v>2</v>
      </c>
      <c r="B8" s="55" t="s">
        <v>2792</v>
      </c>
      <c r="C8" s="55" t="s">
        <v>2212</v>
      </c>
      <c r="D8" s="55"/>
      <c r="E8" s="55">
        <f t="shared" ref="E8" si="0">E6+D7</f>
        <v>361.04399999999998</v>
      </c>
      <c r="F8" s="55" t="s">
        <v>2793</v>
      </c>
      <c r="G8" s="55">
        <v>515034.27100000001</v>
      </c>
      <c r="H8" s="55">
        <v>3621767.7420000001</v>
      </c>
      <c r="I8" s="892"/>
      <c r="J8" s="893">
        <v>2</v>
      </c>
      <c r="K8" s="55" t="s">
        <v>2792</v>
      </c>
      <c r="L8" s="55" t="s">
        <v>2212</v>
      </c>
      <c r="M8" s="55">
        <v>0</v>
      </c>
      <c r="N8" s="55">
        <v>0</v>
      </c>
      <c r="O8" s="55">
        <v>0</v>
      </c>
      <c r="P8" s="55">
        <v>0</v>
      </c>
      <c r="Q8" s="757">
        <v>0</v>
      </c>
      <c r="R8" s="757">
        <v>1</v>
      </c>
      <c r="S8" s="757">
        <v>0</v>
      </c>
      <c r="T8" s="757">
        <v>0</v>
      </c>
      <c r="U8" s="55"/>
      <c r="V8" s="758">
        <f t="shared" ref="V8" si="1">V6+U7</f>
        <v>340.27699999999999</v>
      </c>
      <c r="W8" s="55">
        <v>524.98199999999997</v>
      </c>
      <c r="X8" s="55" t="s">
        <v>2809</v>
      </c>
      <c r="Y8" s="55">
        <v>515048.27299999999</v>
      </c>
      <c r="Z8" s="55">
        <v>3621751.2140000002</v>
      </c>
      <c r="AA8" s="842" t="s">
        <v>2810</v>
      </c>
    </row>
    <row r="9" spans="1:27" s="786" customFormat="1" ht="12" customHeight="1">
      <c r="A9" s="893"/>
      <c r="B9" s="55"/>
      <c r="C9" s="55"/>
      <c r="D9" s="55">
        <v>374.11399999999998</v>
      </c>
      <c r="E9" s="55"/>
      <c r="F9" s="55"/>
      <c r="G9" s="55"/>
      <c r="H9" s="55"/>
      <c r="I9" s="892"/>
      <c r="J9" s="893"/>
      <c r="K9" s="55"/>
      <c r="L9" s="55"/>
      <c r="M9" s="55"/>
      <c r="N9" s="55"/>
      <c r="O9" s="55"/>
      <c r="P9" s="55"/>
      <c r="Q9" s="55"/>
      <c r="R9" s="55"/>
      <c r="S9" s="55"/>
      <c r="T9" s="55"/>
      <c r="U9" s="55">
        <v>392.25099999999998</v>
      </c>
      <c r="V9" s="55"/>
      <c r="W9" s="55"/>
      <c r="X9" s="55"/>
      <c r="Y9" s="55"/>
      <c r="Z9" s="55"/>
      <c r="AA9" s="842" t="s">
        <v>2811</v>
      </c>
    </row>
    <row r="10" spans="1:27" s="786" customFormat="1" ht="12" customHeight="1">
      <c r="A10" s="893">
        <v>3</v>
      </c>
      <c r="B10" s="55" t="s">
        <v>2794</v>
      </c>
      <c r="C10" s="55" t="s">
        <v>1995</v>
      </c>
      <c r="D10" s="55"/>
      <c r="E10" s="55">
        <f t="shared" ref="E10" si="2">E8+D9</f>
        <v>735.1579999999999</v>
      </c>
      <c r="F10" s="55" t="s">
        <v>2795</v>
      </c>
      <c r="G10" s="55">
        <v>514878.54399999999</v>
      </c>
      <c r="H10" s="55">
        <v>3622107.9040000001</v>
      </c>
      <c r="I10" s="892"/>
      <c r="J10" s="893">
        <v>3</v>
      </c>
      <c r="K10" s="55" t="s">
        <v>2794</v>
      </c>
      <c r="L10" s="55" t="s">
        <v>1995</v>
      </c>
      <c r="M10" s="55">
        <v>0</v>
      </c>
      <c r="N10" s="55">
        <v>-1.5</v>
      </c>
      <c r="O10" s="55">
        <v>0</v>
      </c>
      <c r="P10" s="55">
        <v>0</v>
      </c>
      <c r="Q10" s="757">
        <v>0</v>
      </c>
      <c r="R10" s="757">
        <v>0</v>
      </c>
      <c r="S10" s="757">
        <v>0</v>
      </c>
      <c r="T10" s="757">
        <v>1</v>
      </c>
      <c r="U10" s="55"/>
      <c r="V10" s="55">
        <f t="shared" ref="V10" si="3">V8+U9</f>
        <v>732.52800000000002</v>
      </c>
      <c r="W10" s="55">
        <v>532.68799999999999</v>
      </c>
      <c r="X10" s="55" t="s">
        <v>2812</v>
      </c>
      <c r="Y10" s="55">
        <v>514869.848</v>
      </c>
      <c r="Z10" s="55">
        <v>3622100.5350000001</v>
      </c>
      <c r="AA10" s="842"/>
    </row>
    <row r="11" spans="1:27" s="786" customFormat="1" ht="12" customHeight="1">
      <c r="A11" s="893"/>
      <c r="B11" s="55"/>
      <c r="C11" s="55"/>
      <c r="D11" s="55">
        <v>148.51</v>
      </c>
      <c r="E11" s="55"/>
      <c r="F11" s="55"/>
      <c r="G11" s="55"/>
      <c r="H11" s="55"/>
      <c r="I11" s="892"/>
      <c r="J11" s="893"/>
      <c r="K11" s="55"/>
      <c r="L11" s="55"/>
      <c r="M11" s="55"/>
      <c r="N11" s="55"/>
      <c r="O11" s="55"/>
      <c r="P11" s="55"/>
      <c r="Q11" s="55"/>
      <c r="R11" s="55"/>
      <c r="S11" s="55"/>
      <c r="T11" s="55"/>
      <c r="U11" s="55">
        <v>144.77000000000001</v>
      </c>
      <c r="V11" s="55"/>
      <c r="W11" s="55"/>
      <c r="X11" s="55"/>
      <c r="Y11" s="55"/>
      <c r="Z11" s="55"/>
      <c r="AA11" s="842"/>
    </row>
    <row r="12" spans="1:27" s="786" customFormat="1" ht="12" customHeight="1">
      <c r="A12" s="893">
        <v>4</v>
      </c>
      <c r="B12" s="55" t="s">
        <v>2796</v>
      </c>
      <c r="C12" s="55" t="s">
        <v>2197</v>
      </c>
      <c r="D12" s="55"/>
      <c r="E12" s="55">
        <f t="shared" ref="E12" si="4">E10+D11</f>
        <v>883.66799999999989</v>
      </c>
      <c r="F12" s="55" t="s">
        <v>2797</v>
      </c>
      <c r="G12" s="55">
        <v>514747.98300000001</v>
      </c>
      <c r="H12" s="55">
        <v>3622178.679</v>
      </c>
      <c r="I12" s="892"/>
      <c r="J12" s="893">
        <v>4</v>
      </c>
      <c r="K12" s="55" t="s">
        <v>2796</v>
      </c>
      <c r="L12" s="55" t="s">
        <v>2197</v>
      </c>
      <c r="M12" s="55">
        <v>0</v>
      </c>
      <c r="N12" s="55">
        <v>0</v>
      </c>
      <c r="O12" s="55">
        <v>0</v>
      </c>
      <c r="P12" s="55">
        <v>0</v>
      </c>
      <c r="Q12" s="757">
        <v>0</v>
      </c>
      <c r="R12" s="757">
        <v>0</v>
      </c>
      <c r="S12" s="757">
        <v>0</v>
      </c>
      <c r="T12" s="757">
        <v>2</v>
      </c>
      <c r="U12" s="55"/>
      <c r="V12" s="55">
        <f t="shared" ref="V12" si="5">V10+U11</f>
        <v>877.298</v>
      </c>
      <c r="W12" s="55">
        <v>535.86</v>
      </c>
      <c r="X12" s="55" t="s">
        <v>2813</v>
      </c>
      <c r="Y12" s="55">
        <v>514747.98</v>
      </c>
      <c r="Z12" s="55">
        <v>3622178.68</v>
      </c>
      <c r="AA12" s="842"/>
    </row>
    <row r="13" spans="1:27" s="786" customFormat="1" ht="12" customHeight="1">
      <c r="A13" s="893"/>
      <c r="B13" s="55"/>
      <c r="C13" s="55"/>
      <c r="D13" s="55">
        <v>195.92599999999999</v>
      </c>
      <c r="E13" s="55"/>
      <c r="F13" s="55"/>
      <c r="G13" s="55"/>
      <c r="H13" s="55"/>
      <c r="I13" s="892"/>
      <c r="J13" s="893"/>
      <c r="K13" s="55"/>
      <c r="L13" s="55"/>
      <c r="M13" s="55"/>
      <c r="N13" s="55"/>
      <c r="O13" s="55"/>
      <c r="P13" s="55"/>
      <c r="Q13" s="55"/>
      <c r="R13" s="55"/>
      <c r="S13" s="55"/>
      <c r="T13" s="55"/>
      <c r="U13" s="55">
        <v>195.92599999999999</v>
      </c>
      <c r="V13" s="55"/>
      <c r="W13" s="55"/>
      <c r="X13" s="55"/>
      <c r="Y13" s="55"/>
      <c r="Z13" s="55"/>
      <c r="AA13" s="842" t="s">
        <v>2814</v>
      </c>
    </row>
    <row r="14" spans="1:27" s="786" customFormat="1" ht="12" customHeight="1">
      <c r="A14" s="893">
        <v>5</v>
      </c>
      <c r="B14" s="55" t="s">
        <v>2798</v>
      </c>
      <c r="C14" s="55" t="s">
        <v>2197</v>
      </c>
      <c r="D14" s="55"/>
      <c r="E14" s="55">
        <f t="shared" ref="E14" si="6">E12+D13</f>
        <v>1079.5939999999998</v>
      </c>
      <c r="F14" s="55" t="s">
        <v>2799</v>
      </c>
      <c r="G14" s="55">
        <v>514564.89199999999</v>
      </c>
      <c r="H14" s="55">
        <v>3622108.932</v>
      </c>
      <c r="I14" s="892"/>
      <c r="J14" s="893">
        <v>5</v>
      </c>
      <c r="K14" s="55" t="s">
        <v>2798</v>
      </c>
      <c r="L14" s="55" t="s">
        <v>2197</v>
      </c>
      <c r="M14" s="55">
        <v>0</v>
      </c>
      <c r="N14" s="55">
        <v>0</v>
      </c>
      <c r="O14" s="55">
        <v>0</v>
      </c>
      <c r="P14" s="55">
        <v>0</v>
      </c>
      <c r="Q14" s="757">
        <v>1</v>
      </c>
      <c r="R14" s="757">
        <v>3</v>
      </c>
      <c r="S14" s="757">
        <v>4</v>
      </c>
      <c r="T14" s="757">
        <v>4</v>
      </c>
      <c r="U14" s="55"/>
      <c r="V14" s="55">
        <f t="shared" ref="V14" si="7">V12+U13</f>
        <v>1073.2239999999999</v>
      </c>
      <c r="W14" s="55">
        <v>532.66</v>
      </c>
      <c r="X14" s="55" t="s">
        <v>2815</v>
      </c>
      <c r="Y14" s="55">
        <v>514564.89</v>
      </c>
      <c r="Z14" s="55">
        <v>3622108.93</v>
      </c>
      <c r="AA14" s="842"/>
    </row>
    <row r="15" spans="1:27" s="786" customFormat="1" ht="12" customHeight="1">
      <c r="A15" s="893"/>
      <c r="B15" s="55"/>
      <c r="C15" s="55"/>
      <c r="D15" s="55">
        <v>194.62700000000001</v>
      </c>
      <c r="E15" s="55"/>
      <c r="F15" s="55"/>
      <c r="G15" s="55"/>
      <c r="H15" s="55"/>
      <c r="I15" s="892"/>
      <c r="J15" s="893"/>
      <c r="K15" s="55"/>
      <c r="L15" s="55"/>
      <c r="M15" s="55"/>
      <c r="N15" s="55"/>
      <c r="O15" s="55"/>
      <c r="P15" s="55"/>
      <c r="Q15" s="55"/>
      <c r="R15" s="55"/>
      <c r="S15" s="55"/>
      <c r="T15" s="55"/>
      <c r="U15" s="55">
        <v>194.62299999999999</v>
      </c>
      <c r="V15" s="55"/>
      <c r="W15" s="55"/>
      <c r="X15" s="55"/>
      <c r="Y15" s="55"/>
      <c r="Z15" s="55"/>
      <c r="AA15" s="842" t="s">
        <v>2816</v>
      </c>
    </row>
    <row r="16" spans="1:27" s="786" customFormat="1" ht="12" customHeight="1">
      <c r="A16" s="893">
        <v>6</v>
      </c>
      <c r="B16" s="55" t="s">
        <v>2800</v>
      </c>
      <c r="C16" s="55" t="s">
        <v>1988</v>
      </c>
      <c r="D16" s="55"/>
      <c r="E16" s="55">
        <f t="shared" ref="E16" si="8">E14+D15</f>
        <v>1274.2209999999998</v>
      </c>
      <c r="F16" s="55" t="s">
        <v>2801</v>
      </c>
      <c r="G16" s="55">
        <v>514377.08899999998</v>
      </c>
      <c r="H16" s="55">
        <v>3622057.8459999999</v>
      </c>
      <c r="I16" s="892"/>
      <c r="J16" s="893">
        <v>6</v>
      </c>
      <c r="K16" s="55" t="s">
        <v>2800</v>
      </c>
      <c r="L16" s="55" t="s">
        <v>1988</v>
      </c>
      <c r="M16" s="55">
        <v>0</v>
      </c>
      <c r="N16" s="55">
        <v>0</v>
      </c>
      <c r="O16" s="55">
        <v>0</v>
      </c>
      <c r="P16" s="55">
        <v>0</v>
      </c>
      <c r="Q16" s="757">
        <v>0</v>
      </c>
      <c r="R16" s="757">
        <v>0</v>
      </c>
      <c r="S16" s="757">
        <v>3</v>
      </c>
      <c r="T16" s="757">
        <v>0</v>
      </c>
      <c r="U16" s="55"/>
      <c r="V16" s="55">
        <f t="shared" ref="V16" si="9">V14+U15</f>
        <v>1267.847</v>
      </c>
      <c r="W16" s="55">
        <v>522.13</v>
      </c>
      <c r="X16" s="55" t="s">
        <v>2817</v>
      </c>
      <c r="Y16" s="55">
        <v>514377.09</v>
      </c>
      <c r="Z16" s="55">
        <v>3622057.85</v>
      </c>
      <c r="AA16" s="842"/>
    </row>
    <row r="17" spans="1:27" s="786" customFormat="1" ht="12" customHeight="1">
      <c r="A17" s="893"/>
      <c r="B17" s="55"/>
      <c r="C17" s="55"/>
      <c r="D17" s="55">
        <v>123.47799999999999</v>
      </c>
      <c r="E17" s="55"/>
      <c r="F17" s="55"/>
      <c r="G17" s="55"/>
      <c r="H17" s="55"/>
      <c r="I17" s="892"/>
      <c r="J17" s="893"/>
      <c r="K17" s="55"/>
      <c r="L17" s="55"/>
      <c r="M17" s="55"/>
      <c r="N17" s="55"/>
      <c r="O17" s="55"/>
      <c r="P17" s="55"/>
      <c r="Q17" s="55"/>
      <c r="R17" s="55"/>
      <c r="S17" s="55"/>
      <c r="T17" s="55"/>
      <c r="U17" s="55">
        <v>123.47799999999999</v>
      </c>
      <c r="V17" s="55"/>
      <c r="W17" s="55"/>
      <c r="X17" s="55"/>
      <c r="Y17" s="55"/>
      <c r="Z17" s="55"/>
      <c r="AA17" s="842"/>
    </row>
    <row r="18" spans="1:27" s="786" customFormat="1" ht="12" customHeight="1">
      <c r="A18" s="893">
        <v>7</v>
      </c>
      <c r="B18" s="55" t="s">
        <v>2802</v>
      </c>
      <c r="C18" s="55" t="s">
        <v>1953</v>
      </c>
      <c r="D18" s="55"/>
      <c r="E18" s="55">
        <f t="shared" ref="E18" si="10">E16+D17</f>
        <v>1397.6989999999998</v>
      </c>
      <c r="F18" s="55" t="s">
        <v>2803</v>
      </c>
      <c r="G18" s="55">
        <v>514271.75900000002</v>
      </c>
      <c r="H18" s="55">
        <v>3622122.2850000001</v>
      </c>
      <c r="I18" s="892"/>
      <c r="J18" s="893">
        <v>7</v>
      </c>
      <c r="K18" s="55" t="s">
        <v>2802</v>
      </c>
      <c r="L18" s="55" t="s">
        <v>1953</v>
      </c>
      <c r="M18" s="55">
        <v>0</v>
      </c>
      <c r="N18" s="55">
        <v>0</v>
      </c>
      <c r="O18" s="55">
        <v>0</v>
      </c>
      <c r="P18" s="55">
        <v>0</v>
      </c>
      <c r="Q18" s="757">
        <v>3</v>
      </c>
      <c r="R18" s="757">
        <v>3</v>
      </c>
      <c r="S18" s="757">
        <v>3</v>
      </c>
      <c r="T18" s="757">
        <v>3</v>
      </c>
      <c r="U18" s="55"/>
      <c r="V18" s="758">
        <f t="shared" ref="V18" si="11">V16+U17</f>
        <v>1391.325</v>
      </c>
      <c r="W18" s="55">
        <v>525.46</v>
      </c>
      <c r="X18" s="55" t="s">
        <v>2803</v>
      </c>
      <c r="Y18" s="55">
        <v>514271.76</v>
      </c>
      <c r="Z18" s="55">
        <v>3622122.29</v>
      </c>
      <c r="AA18" s="842" t="s">
        <v>2818</v>
      </c>
    </row>
    <row r="19" spans="1:27" s="786" customFormat="1" ht="12" customHeight="1">
      <c r="A19" s="893"/>
      <c r="B19" s="55"/>
      <c r="C19" s="55"/>
      <c r="D19" s="55">
        <v>358.13799999999998</v>
      </c>
      <c r="E19" s="55"/>
      <c r="F19" s="55"/>
      <c r="G19" s="55"/>
      <c r="H19" s="55"/>
      <c r="I19" s="892"/>
      <c r="J19" s="893"/>
      <c r="K19" s="55"/>
      <c r="L19" s="55"/>
      <c r="M19" s="55"/>
      <c r="N19" s="55"/>
      <c r="O19" s="55"/>
      <c r="P19" s="55"/>
      <c r="Q19" s="55"/>
      <c r="R19" s="55"/>
      <c r="S19" s="55"/>
      <c r="T19" s="55"/>
      <c r="U19" s="55">
        <v>358.13400000000001</v>
      </c>
      <c r="V19" s="55"/>
      <c r="W19" s="55"/>
      <c r="X19" s="55"/>
      <c r="Y19" s="55"/>
      <c r="Z19" s="55"/>
      <c r="AA19" s="842"/>
    </row>
    <row r="20" spans="1:27" s="786" customFormat="1" ht="12" customHeight="1">
      <c r="A20" s="893">
        <v>8</v>
      </c>
      <c r="B20" s="55" t="s">
        <v>2804</v>
      </c>
      <c r="C20" s="55" t="s">
        <v>1277</v>
      </c>
      <c r="D20" s="55"/>
      <c r="E20" s="55">
        <f t="shared" ref="E20" si="12">E18+D19</f>
        <v>1755.8369999999998</v>
      </c>
      <c r="F20" s="55" t="s">
        <v>2805</v>
      </c>
      <c r="G20" s="55">
        <v>514083.57699999999</v>
      </c>
      <c r="H20" s="55">
        <v>3622426.9989999998</v>
      </c>
      <c r="I20" s="892"/>
      <c r="J20" s="893">
        <v>8</v>
      </c>
      <c r="K20" s="55" t="s">
        <v>2804</v>
      </c>
      <c r="L20" s="55" t="s">
        <v>1277</v>
      </c>
      <c r="M20" s="55">
        <v>0</v>
      </c>
      <c r="N20" s="55">
        <v>-1.5</v>
      </c>
      <c r="O20" s="55">
        <v>0</v>
      </c>
      <c r="P20" s="55">
        <v>1</v>
      </c>
      <c r="Q20" s="757">
        <v>0</v>
      </c>
      <c r="R20" s="757">
        <v>0</v>
      </c>
      <c r="S20" s="757">
        <v>0</v>
      </c>
      <c r="T20" s="757">
        <v>0</v>
      </c>
      <c r="U20" s="55"/>
      <c r="V20" s="55">
        <f t="shared" ref="V20" si="13">V18+U19</f>
        <v>1749.4590000000001</v>
      </c>
      <c r="W20" s="55">
        <v>513.5</v>
      </c>
      <c r="X20" s="55" t="s">
        <v>2819</v>
      </c>
      <c r="Y20" s="55">
        <v>514083.58</v>
      </c>
      <c r="Z20" s="55">
        <v>3622427</v>
      </c>
      <c r="AA20" s="842"/>
    </row>
    <row r="21" spans="1:27" s="786" customFormat="1" ht="12" customHeight="1">
      <c r="A21" s="893"/>
      <c r="B21" s="55"/>
      <c r="C21" s="55"/>
      <c r="D21" s="55">
        <v>195.995</v>
      </c>
      <c r="E21" s="55"/>
      <c r="F21" s="55"/>
      <c r="G21" s="55"/>
      <c r="H21" s="55"/>
      <c r="I21" s="892"/>
      <c r="J21" s="893"/>
      <c r="K21" s="55"/>
      <c r="L21" s="55"/>
      <c r="M21" s="55"/>
      <c r="N21" s="55"/>
      <c r="O21" s="55"/>
      <c r="P21" s="55"/>
      <c r="Q21" s="55"/>
      <c r="R21" s="55"/>
      <c r="S21" s="55"/>
      <c r="T21" s="55"/>
      <c r="U21" s="55">
        <v>195.99</v>
      </c>
      <c r="V21" s="55"/>
      <c r="W21" s="55"/>
      <c r="X21" s="55"/>
      <c r="Y21" s="55"/>
      <c r="Z21" s="55"/>
      <c r="AA21" s="842" t="s">
        <v>2820</v>
      </c>
    </row>
    <row r="22" spans="1:27" s="786" customFormat="1" ht="12" customHeight="1">
      <c r="A22" s="893">
        <v>9</v>
      </c>
      <c r="B22" s="55" t="s">
        <v>2806</v>
      </c>
      <c r="C22" s="55" t="s">
        <v>1319</v>
      </c>
      <c r="D22" s="55"/>
      <c r="E22" s="55">
        <f t="shared" ref="E22" si="14">E20+D21</f>
        <v>1951.8319999999999</v>
      </c>
      <c r="F22" s="55" t="s">
        <v>2807</v>
      </c>
      <c r="G22" s="55">
        <v>514039.03</v>
      </c>
      <c r="H22" s="55">
        <v>3622617.8640000001</v>
      </c>
      <c r="I22" s="892"/>
      <c r="J22" s="893">
        <v>9</v>
      </c>
      <c r="K22" s="55" t="s">
        <v>2806</v>
      </c>
      <c r="L22" s="55" t="s">
        <v>1319</v>
      </c>
      <c r="M22" s="55">
        <v>0</v>
      </c>
      <c r="N22" s="55">
        <v>0</v>
      </c>
      <c r="O22" s="55">
        <v>1.5</v>
      </c>
      <c r="P22" s="55">
        <v>0</v>
      </c>
      <c r="Q22" s="757">
        <v>0</v>
      </c>
      <c r="R22" s="757">
        <v>0</v>
      </c>
      <c r="S22" s="757">
        <v>0</v>
      </c>
      <c r="T22" s="757">
        <v>0</v>
      </c>
      <c r="U22" s="55"/>
      <c r="V22" s="55">
        <f t="shared" ref="V22" si="15">V20+U21</f>
        <v>1945.4490000000001</v>
      </c>
      <c r="W22" s="55">
        <v>519.04999999999995</v>
      </c>
      <c r="X22" s="55"/>
      <c r="Y22" s="55">
        <v>514039.03</v>
      </c>
      <c r="Z22" s="55">
        <v>3622617.86</v>
      </c>
      <c r="AA22" s="842"/>
    </row>
    <row r="23" spans="1:27" s="786" customFormat="1" ht="12" customHeight="1">
      <c r="A23" s="893"/>
      <c r="B23" s="785"/>
      <c r="C23" s="785"/>
      <c r="D23" s="785"/>
      <c r="E23" s="785"/>
      <c r="F23" s="785"/>
      <c r="G23" s="787"/>
      <c r="H23" s="787"/>
      <c r="I23" s="892"/>
      <c r="J23" s="893"/>
      <c r="K23" s="785"/>
      <c r="L23" s="785"/>
      <c r="M23" s="757"/>
      <c r="N23" s="757"/>
      <c r="O23" s="757"/>
      <c r="P23" s="757"/>
      <c r="Q23" s="757"/>
      <c r="R23" s="757"/>
      <c r="S23" s="757"/>
      <c r="T23" s="757"/>
      <c r="U23" s="757">
        <v>402.93799999999999</v>
      </c>
      <c r="V23" s="757"/>
      <c r="W23" s="757"/>
      <c r="X23" s="757"/>
      <c r="Y23" s="757"/>
      <c r="Z23" s="757"/>
      <c r="AA23" s="817" t="s">
        <v>2787</v>
      </c>
    </row>
    <row r="24" spans="1:27" s="786" customFormat="1" ht="12" customHeight="1">
      <c r="A24" s="893"/>
      <c r="B24" s="785"/>
      <c r="C24" s="785"/>
      <c r="D24" s="785"/>
      <c r="E24" s="785"/>
      <c r="F24" s="785"/>
      <c r="G24" s="787"/>
      <c r="H24" s="787"/>
      <c r="I24" s="892"/>
      <c r="J24" s="893"/>
      <c r="K24" s="785"/>
      <c r="L24" s="785"/>
      <c r="M24" s="785"/>
      <c r="N24" s="785"/>
      <c r="O24" s="785"/>
      <c r="P24" s="785"/>
      <c r="Q24" s="785"/>
      <c r="R24" s="785"/>
      <c r="S24" s="785"/>
      <c r="T24" s="785"/>
      <c r="U24" s="873"/>
      <c r="V24" s="873"/>
      <c r="W24" s="874"/>
      <c r="X24" s="785"/>
      <c r="Y24" s="787"/>
      <c r="Z24" s="787"/>
      <c r="AA24" s="887"/>
    </row>
    <row r="25" spans="1:27" s="786" customFormat="1" ht="12" customHeight="1">
      <c r="A25" s="893">
        <f>A22+1</f>
        <v>10</v>
      </c>
      <c r="B25" s="55" t="s">
        <v>2631</v>
      </c>
      <c r="C25" s="55" t="s">
        <v>1319</v>
      </c>
      <c r="D25" s="55"/>
      <c r="E25" s="55">
        <v>0</v>
      </c>
      <c r="F25" s="55" t="s">
        <v>2632</v>
      </c>
      <c r="G25" s="55">
        <v>511950.66600000003</v>
      </c>
      <c r="H25" s="55">
        <v>3623917.5189999999</v>
      </c>
      <c r="I25" s="892"/>
      <c r="J25" s="893">
        <f>J22+1</f>
        <v>10</v>
      </c>
      <c r="K25" s="55" t="s">
        <v>2631</v>
      </c>
      <c r="L25" s="55" t="s">
        <v>1319</v>
      </c>
      <c r="M25" s="55">
        <v>0</v>
      </c>
      <c r="N25" s="55">
        <v>-1.5</v>
      </c>
      <c r="O25" s="55">
        <v>0</v>
      </c>
      <c r="P25" s="55">
        <v>1.5</v>
      </c>
      <c r="Q25" s="757">
        <v>0</v>
      </c>
      <c r="R25" s="757">
        <v>0</v>
      </c>
      <c r="S25" s="757">
        <v>0</v>
      </c>
      <c r="T25" s="757">
        <v>0</v>
      </c>
      <c r="U25" s="55"/>
      <c r="V25" s="758">
        <v>0</v>
      </c>
      <c r="W25" s="55">
        <v>483.84800000000001</v>
      </c>
      <c r="X25" s="55" t="s">
        <v>2660</v>
      </c>
      <c r="Y25" s="55">
        <v>511953.99</v>
      </c>
      <c r="Z25" s="55">
        <v>3623920.0150000001</v>
      </c>
      <c r="AA25" s="842"/>
    </row>
    <row r="26" spans="1:27" s="786" customFormat="1" ht="12" customHeight="1">
      <c r="A26" s="820"/>
      <c r="B26" s="55"/>
      <c r="C26" s="55"/>
      <c r="D26" s="55">
        <v>216.941</v>
      </c>
      <c r="E26" s="55"/>
      <c r="F26" s="55"/>
      <c r="G26" s="55"/>
      <c r="H26" s="55"/>
      <c r="I26" s="892"/>
      <c r="J26" s="820"/>
      <c r="K26" s="55"/>
      <c r="L26" s="55"/>
      <c r="M26" s="55"/>
      <c r="N26" s="55"/>
      <c r="O26" s="55"/>
      <c r="P26" s="55"/>
      <c r="Q26" s="55"/>
      <c r="R26" s="55"/>
      <c r="S26" s="55"/>
      <c r="T26" s="55"/>
      <c r="U26" s="55">
        <v>215.857</v>
      </c>
      <c r="V26" s="55"/>
      <c r="W26" s="55"/>
      <c r="X26" s="55"/>
      <c r="Y26" s="55"/>
      <c r="Z26" s="55"/>
      <c r="AA26" s="842" t="s">
        <v>2661</v>
      </c>
    </row>
    <row r="27" spans="1:27" s="786" customFormat="1" ht="12" customHeight="1">
      <c r="A27" s="888">
        <f>A25+1</f>
        <v>11</v>
      </c>
      <c r="B27" s="55" t="s">
        <v>2633</v>
      </c>
      <c r="C27" s="55" t="s">
        <v>1277</v>
      </c>
      <c r="D27" s="55"/>
      <c r="E27" s="55">
        <f>E25+D26</f>
        <v>216.941</v>
      </c>
      <c r="F27" s="55" t="s">
        <v>2634</v>
      </c>
      <c r="G27" s="55">
        <v>511872.02100000001</v>
      </c>
      <c r="H27" s="55">
        <v>3624119.7030000002</v>
      </c>
      <c r="I27" s="892"/>
      <c r="J27" s="888">
        <f>J25+1</f>
        <v>11</v>
      </c>
      <c r="K27" s="55" t="s">
        <v>2633</v>
      </c>
      <c r="L27" s="55" t="s">
        <v>2662</v>
      </c>
      <c r="M27" s="55">
        <v>0</v>
      </c>
      <c r="N27" s="55">
        <v>0</v>
      </c>
      <c r="O27" s="55">
        <v>0</v>
      </c>
      <c r="P27" s="55">
        <v>3</v>
      </c>
      <c r="Q27" s="757">
        <v>0</v>
      </c>
      <c r="R27" s="757">
        <v>0</v>
      </c>
      <c r="S27" s="757">
        <v>1</v>
      </c>
      <c r="T27" s="757">
        <v>0</v>
      </c>
      <c r="U27" s="55"/>
      <c r="V27" s="55">
        <f>V25+U26</f>
        <v>215.857</v>
      </c>
      <c r="W27" s="55">
        <v>480.27699999999999</v>
      </c>
      <c r="X27" s="55" t="s">
        <v>2663</v>
      </c>
      <c r="Y27" s="55">
        <v>511872.02100000001</v>
      </c>
      <c r="Z27" s="55">
        <v>3624119.7030000002</v>
      </c>
      <c r="AA27" s="842"/>
    </row>
    <row r="28" spans="1:27" s="786" customFormat="1" ht="12" customHeight="1">
      <c r="A28" s="820"/>
      <c r="B28" s="55"/>
      <c r="C28" s="55"/>
      <c r="D28" s="55">
        <v>166.00899999999999</v>
      </c>
      <c r="E28" s="55"/>
      <c r="F28" s="55"/>
      <c r="G28" s="55"/>
      <c r="H28" s="55"/>
      <c r="I28" s="892"/>
      <c r="J28" s="820"/>
      <c r="K28" s="55"/>
      <c r="L28" s="55"/>
      <c r="M28" s="55"/>
      <c r="N28" s="55"/>
      <c r="O28" s="55"/>
      <c r="P28" s="55"/>
      <c r="Q28" s="55"/>
      <c r="R28" s="55"/>
      <c r="S28" s="55"/>
      <c r="T28" s="55"/>
      <c r="U28" s="55">
        <v>166.00899999999999</v>
      </c>
      <c r="V28" s="55"/>
      <c r="W28" s="55"/>
      <c r="X28" s="55"/>
      <c r="Y28" s="55"/>
      <c r="Z28" s="55"/>
      <c r="AA28" s="842" t="s">
        <v>2122</v>
      </c>
    </row>
    <row r="29" spans="1:27" s="786" customFormat="1" ht="12" customHeight="1">
      <c r="A29" s="888">
        <f>A27+1</f>
        <v>12</v>
      </c>
      <c r="B29" s="55" t="s">
        <v>2635</v>
      </c>
      <c r="C29" s="55" t="s">
        <v>1277</v>
      </c>
      <c r="D29" s="55"/>
      <c r="E29" s="55">
        <f>E27+D28</f>
        <v>382.95</v>
      </c>
      <c r="F29" s="55" t="s">
        <v>2636</v>
      </c>
      <c r="G29" s="55">
        <v>511877.62</v>
      </c>
      <c r="H29" s="55">
        <v>3624285.6179999998</v>
      </c>
      <c r="I29" s="892"/>
      <c r="J29" s="888">
        <f>J27+1</f>
        <v>12</v>
      </c>
      <c r="K29" s="55" t="s">
        <v>2635</v>
      </c>
      <c r="L29" s="55" t="s">
        <v>2662</v>
      </c>
      <c r="M29" s="55">
        <v>0</v>
      </c>
      <c r="N29" s="55">
        <v>0</v>
      </c>
      <c r="O29" s="55">
        <v>0</v>
      </c>
      <c r="P29" s="55">
        <v>0</v>
      </c>
      <c r="Q29" s="757">
        <v>0</v>
      </c>
      <c r="R29" s="757">
        <v>0</v>
      </c>
      <c r="S29" s="757">
        <v>0</v>
      </c>
      <c r="T29" s="757">
        <v>0</v>
      </c>
      <c r="U29" s="55"/>
      <c r="V29" s="55">
        <f>V27+U28</f>
        <v>381.86599999999999</v>
      </c>
      <c r="W29" s="55">
        <v>485.36700000000002</v>
      </c>
      <c r="X29" s="55" t="s">
        <v>2664</v>
      </c>
      <c r="Y29" s="55">
        <v>511877.62</v>
      </c>
      <c r="Z29" s="55">
        <v>3624285.6179999998</v>
      </c>
      <c r="AA29" s="842" t="s">
        <v>2665</v>
      </c>
    </row>
    <row r="30" spans="1:27" s="786" customFormat="1" ht="12" customHeight="1">
      <c r="A30" s="820"/>
      <c r="B30" s="55"/>
      <c r="C30" s="55"/>
      <c r="D30" s="55">
        <v>242.696</v>
      </c>
      <c r="E30" s="55"/>
      <c r="F30" s="55"/>
      <c r="G30" s="55"/>
      <c r="H30" s="55"/>
      <c r="I30" s="892"/>
      <c r="J30" s="820"/>
      <c r="K30" s="55"/>
      <c r="L30" s="55"/>
      <c r="M30" s="55"/>
      <c r="N30" s="55"/>
      <c r="O30" s="55"/>
      <c r="P30" s="55"/>
      <c r="Q30" s="55"/>
      <c r="R30" s="55"/>
      <c r="S30" s="55"/>
      <c r="T30" s="55"/>
      <c r="U30" s="55">
        <v>242.696</v>
      </c>
      <c r="V30" s="55"/>
      <c r="W30" s="55"/>
      <c r="X30" s="55"/>
      <c r="Y30" s="55"/>
      <c r="Z30" s="55"/>
      <c r="AA30" s="842" t="s">
        <v>2666</v>
      </c>
    </row>
    <row r="31" spans="1:27" s="786" customFormat="1" ht="12" customHeight="1">
      <c r="A31" s="888">
        <f>A29+1</f>
        <v>13</v>
      </c>
      <c r="B31" s="55" t="s">
        <v>2637</v>
      </c>
      <c r="C31" s="55" t="s">
        <v>2212</v>
      </c>
      <c r="D31" s="55"/>
      <c r="E31" s="55">
        <f t="shared" ref="E31" si="16">E29+D30</f>
        <v>625.64599999999996</v>
      </c>
      <c r="F31" s="55" t="s">
        <v>2638</v>
      </c>
      <c r="G31" s="55">
        <v>511782.16899999999</v>
      </c>
      <c r="H31" s="55">
        <v>3624508.7560000001</v>
      </c>
      <c r="I31" s="892"/>
      <c r="J31" s="888">
        <f>J29+1</f>
        <v>13</v>
      </c>
      <c r="K31" s="55" t="s">
        <v>2637</v>
      </c>
      <c r="L31" s="55" t="s">
        <v>2212</v>
      </c>
      <c r="M31" s="55">
        <v>0</v>
      </c>
      <c r="N31" s="55">
        <v>0</v>
      </c>
      <c r="O31" s="55">
        <v>0</v>
      </c>
      <c r="P31" s="55">
        <v>0</v>
      </c>
      <c r="Q31" s="757">
        <v>2</v>
      </c>
      <c r="R31" s="757">
        <v>2</v>
      </c>
      <c r="S31" s="757">
        <v>3</v>
      </c>
      <c r="T31" s="757">
        <v>2</v>
      </c>
      <c r="U31" s="55"/>
      <c r="V31" s="55">
        <f t="shared" ref="V31" si="17">V29+U30</f>
        <v>624.56200000000001</v>
      </c>
      <c r="W31" s="55">
        <v>486.733</v>
      </c>
      <c r="X31" s="55" t="s">
        <v>2667</v>
      </c>
      <c r="Y31" s="55">
        <v>511782.16899999999</v>
      </c>
      <c r="Z31" s="55">
        <v>3624508.7560000001</v>
      </c>
      <c r="AA31" s="842"/>
    </row>
    <row r="32" spans="1:27" s="786" customFormat="1" ht="12" customHeight="1">
      <c r="A32" s="820"/>
      <c r="B32" s="55"/>
      <c r="C32" s="55"/>
      <c r="D32" s="55">
        <v>202.99199999999999</v>
      </c>
      <c r="E32" s="55"/>
      <c r="F32" s="55"/>
      <c r="G32" s="55"/>
      <c r="H32" s="55"/>
      <c r="I32" s="892"/>
      <c r="J32" s="820"/>
      <c r="K32" s="55"/>
      <c r="L32" s="55"/>
      <c r="M32" s="55"/>
      <c r="N32" s="55"/>
      <c r="O32" s="55"/>
      <c r="P32" s="55"/>
      <c r="Q32" s="55"/>
      <c r="R32" s="55"/>
      <c r="S32" s="55"/>
      <c r="T32" s="55"/>
      <c r="U32" s="55">
        <v>202.99199999999999</v>
      </c>
      <c r="V32" s="55"/>
      <c r="W32" s="55"/>
      <c r="X32" s="55"/>
      <c r="Y32" s="55"/>
      <c r="Z32" s="55"/>
      <c r="AA32" s="842" t="s">
        <v>2668</v>
      </c>
    </row>
    <row r="33" spans="1:27" s="786" customFormat="1" ht="12" customHeight="1">
      <c r="A33" s="888">
        <f>A31+1</f>
        <v>14</v>
      </c>
      <c r="B33" s="55" t="s">
        <v>2639</v>
      </c>
      <c r="C33" s="55" t="s">
        <v>2197</v>
      </c>
      <c r="D33" s="55"/>
      <c r="E33" s="55">
        <f t="shared" ref="E33" si="18">E31+D32</f>
        <v>828.63799999999992</v>
      </c>
      <c r="F33" s="55" t="s">
        <v>2640</v>
      </c>
      <c r="G33" s="55">
        <v>511589.85700000002</v>
      </c>
      <c r="H33" s="55">
        <v>3624573.7319999998</v>
      </c>
      <c r="I33" s="892"/>
      <c r="J33" s="888">
        <f>J31+1</f>
        <v>14</v>
      </c>
      <c r="K33" s="55" t="s">
        <v>2639</v>
      </c>
      <c r="L33" s="55" t="s">
        <v>2197</v>
      </c>
      <c r="M33" s="55">
        <v>0</v>
      </c>
      <c r="N33" s="55">
        <v>0</v>
      </c>
      <c r="O33" s="55">
        <v>0</v>
      </c>
      <c r="P33" s="55">
        <v>0</v>
      </c>
      <c r="Q33" s="757">
        <v>0</v>
      </c>
      <c r="R33" s="757">
        <v>0</v>
      </c>
      <c r="S33" s="757">
        <v>0</v>
      </c>
      <c r="T33" s="757">
        <v>0</v>
      </c>
      <c r="U33" s="55"/>
      <c r="V33" s="758">
        <f t="shared" ref="V33" si="19">V31+U32</f>
        <v>827.55399999999997</v>
      </c>
      <c r="W33" s="55">
        <v>468.88200000000001</v>
      </c>
      <c r="X33" s="55" t="s">
        <v>2640</v>
      </c>
      <c r="Y33" s="55">
        <v>511589.85700000002</v>
      </c>
      <c r="Z33" s="55">
        <v>3624573.7319999998</v>
      </c>
      <c r="AA33" s="842" t="s">
        <v>2665</v>
      </c>
    </row>
    <row r="34" spans="1:27" s="786" customFormat="1" ht="12" customHeight="1">
      <c r="A34" s="820"/>
      <c r="B34" s="55"/>
      <c r="C34" s="55"/>
      <c r="D34" s="55">
        <v>155.69900000000001</v>
      </c>
      <c r="E34" s="55"/>
      <c r="F34" s="55"/>
      <c r="G34" s="55"/>
      <c r="H34" s="55"/>
      <c r="I34" s="892"/>
      <c r="J34" s="820"/>
      <c r="K34" s="55"/>
      <c r="L34" s="55"/>
      <c r="M34" s="55"/>
      <c r="N34" s="55"/>
      <c r="O34" s="55"/>
      <c r="P34" s="55"/>
      <c r="Q34" s="55"/>
      <c r="R34" s="55"/>
      <c r="S34" s="55"/>
      <c r="T34" s="55"/>
      <c r="U34" s="55">
        <v>155.69900000000001</v>
      </c>
      <c r="V34" s="55"/>
      <c r="W34" s="55"/>
      <c r="X34" s="55"/>
      <c r="Y34" s="55"/>
      <c r="Z34" s="55"/>
      <c r="AA34" s="842"/>
    </row>
    <row r="35" spans="1:27" s="786" customFormat="1" ht="12" customHeight="1">
      <c r="A35" s="888">
        <f>A33+1</f>
        <v>15</v>
      </c>
      <c r="B35" s="55" t="s">
        <v>2641</v>
      </c>
      <c r="C35" s="55" t="s">
        <v>2212</v>
      </c>
      <c r="D35" s="55"/>
      <c r="E35" s="55">
        <f t="shared" ref="E35" si="20">E33+D34</f>
        <v>984.33699999999999</v>
      </c>
      <c r="F35" s="55" t="s">
        <v>2642</v>
      </c>
      <c r="G35" s="55">
        <v>511554.995</v>
      </c>
      <c r="H35" s="55">
        <v>3624725.4780000001</v>
      </c>
      <c r="I35" s="892"/>
      <c r="J35" s="888">
        <f>J33+1</f>
        <v>15</v>
      </c>
      <c r="K35" s="55" t="s">
        <v>2641</v>
      </c>
      <c r="L35" s="55" t="s">
        <v>2212</v>
      </c>
      <c r="M35" s="55">
        <v>0</v>
      </c>
      <c r="N35" s="55">
        <v>0</v>
      </c>
      <c r="O35" s="55">
        <v>0</v>
      </c>
      <c r="P35" s="55">
        <v>0</v>
      </c>
      <c r="Q35" s="757">
        <v>0</v>
      </c>
      <c r="R35" s="757">
        <v>0</v>
      </c>
      <c r="S35" s="757">
        <v>0</v>
      </c>
      <c r="T35" s="757">
        <v>0</v>
      </c>
      <c r="U35" s="55"/>
      <c r="V35" s="55">
        <f t="shared" ref="V35" si="21">V33+U34</f>
        <v>983.25299999999993</v>
      </c>
      <c r="W35" s="55">
        <v>468.11599999999999</v>
      </c>
      <c r="X35" s="55" t="s">
        <v>2642</v>
      </c>
      <c r="Y35" s="55">
        <v>511554.995</v>
      </c>
      <c r="Z35" s="55">
        <v>3624725.4780000001</v>
      </c>
      <c r="AA35" s="842"/>
    </row>
    <row r="36" spans="1:27" s="786" customFormat="1" ht="12" customHeight="1">
      <c r="A36" s="820"/>
      <c r="B36" s="55"/>
      <c r="C36" s="55"/>
      <c r="D36" s="55">
        <v>491.50299999999999</v>
      </c>
      <c r="E36" s="55"/>
      <c r="F36" s="55"/>
      <c r="G36" s="55"/>
      <c r="H36" s="55"/>
      <c r="I36" s="892"/>
      <c r="J36" s="820"/>
      <c r="K36" s="55"/>
      <c r="L36" s="55"/>
      <c r="M36" s="55"/>
      <c r="N36" s="55"/>
      <c r="O36" s="55"/>
      <c r="P36" s="55"/>
      <c r="Q36" s="55"/>
      <c r="R36" s="55"/>
      <c r="S36" s="55"/>
      <c r="T36" s="55"/>
      <c r="U36" s="55">
        <v>491.50299999999999</v>
      </c>
      <c r="V36" s="55"/>
      <c r="W36" s="55"/>
      <c r="X36" s="55"/>
      <c r="Y36" s="55"/>
      <c r="Z36" s="55"/>
      <c r="AA36" s="842" t="s">
        <v>2666</v>
      </c>
    </row>
    <row r="37" spans="1:27" s="786" customFormat="1" ht="12" customHeight="1">
      <c r="A37" s="888">
        <f>A35+1</f>
        <v>16</v>
      </c>
      <c r="B37" s="55" t="s">
        <v>2643</v>
      </c>
      <c r="C37" s="55" t="s">
        <v>2212</v>
      </c>
      <c r="D37" s="55"/>
      <c r="E37" s="55">
        <f t="shared" ref="E37" si="22">E35+D36</f>
        <v>1475.84</v>
      </c>
      <c r="F37" s="55" t="s">
        <v>2644</v>
      </c>
      <c r="G37" s="55">
        <v>511816.34100000001</v>
      </c>
      <c r="H37" s="55">
        <v>3625141.7390000001</v>
      </c>
      <c r="I37" s="892"/>
      <c r="J37" s="888">
        <f>J35+1</f>
        <v>16</v>
      </c>
      <c r="K37" s="55" t="s">
        <v>2643</v>
      </c>
      <c r="L37" s="55" t="s">
        <v>2212</v>
      </c>
      <c r="M37" s="55">
        <v>0</v>
      </c>
      <c r="N37" s="55">
        <v>0</v>
      </c>
      <c r="O37" s="55">
        <v>0</v>
      </c>
      <c r="P37" s="55">
        <v>0</v>
      </c>
      <c r="Q37" s="757">
        <v>0</v>
      </c>
      <c r="R37" s="757">
        <v>0</v>
      </c>
      <c r="S37" s="757">
        <v>0</v>
      </c>
      <c r="T37" s="757">
        <v>0</v>
      </c>
      <c r="U37" s="55"/>
      <c r="V37" s="55">
        <f t="shared" ref="V37" si="23">V35+U36</f>
        <v>1474.7559999999999</v>
      </c>
      <c r="W37" s="55">
        <v>482.05200000000002</v>
      </c>
      <c r="X37" s="55" t="s">
        <v>2644</v>
      </c>
      <c r="Y37" s="55">
        <v>511816.34100000001</v>
      </c>
      <c r="Z37" s="55">
        <v>3625141.7390000001</v>
      </c>
      <c r="AA37" s="842" t="s">
        <v>2665</v>
      </c>
    </row>
    <row r="38" spans="1:27" s="786" customFormat="1" ht="12" customHeight="1">
      <c r="A38" s="820"/>
      <c r="B38" s="55"/>
      <c r="C38" s="55"/>
      <c r="D38" s="55">
        <v>136.501</v>
      </c>
      <c r="E38" s="55"/>
      <c r="F38" s="55"/>
      <c r="G38" s="55"/>
      <c r="H38" s="55"/>
      <c r="I38" s="892"/>
      <c r="J38" s="820"/>
      <c r="K38" s="55"/>
      <c r="L38" s="55"/>
      <c r="M38" s="55"/>
      <c r="N38" s="55"/>
      <c r="O38" s="55"/>
      <c r="P38" s="55"/>
      <c r="Q38" s="55"/>
      <c r="R38" s="55"/>
      <c r="S38" s="55"/>
      <c r="T38" s="55"/>
      <c r="U38" s="55">
        <v>136.501</v>
      </c>
      <c r="V38" s="55"/>
      <c r="W38" s="55"/>
      <c r="X38" s="55"/>
      <c r="Y38" s="55"/>
      <c r="Z38" s="55"/>
      <c r="AA38" s="842"/>
    </row>
    <row r="39" spans="1:27" s="786" customFormat="1" ht="12" customHeight="1">
      <c r="A39" s="888">
        <f>A37+1</f>
        <v>17</v>
      </c>
      <c r="B39" s="55" t="s">
        <v>2645</v>
      </c>
      <c r="C39" s="55" t="s">
        <v>1319</v>
      </c>
      <c r="D39" s="55"/>
      <c r="E39" s="55">
        <f t="shared" ref="E39" si="24">E37+D38</f>
        <v>1612.3409999999999</v>
      </c>
      <c r="F39" s="55" t="s">
        <v>2646</v>
      </c>
      <c r="G39" s="55">
        <v>511810.36900000001</v>
      </c>
      <c r="H39" s="55">
        <v>3625278.1090000002</v>
      </c>
      <c r="I39" s="892"/>
      <c r="J39" s="888">
        <f>J37+1</f>
        <v>17</v>
      </c>
      <c r="K39" s="55" t="s">
        <v>2645</v>
      </c>
      <c r="L39" s="55" t="s">
        <v>1319</v>
      </c>
      <c r="M39" s="55">
        <v>0</v>
      </c>
      <c r="N39" s="55">
        <v>0</v>
      </c>
      <c r="O39" s="55">
        <v>0</v>
      </c>
      <c r="P39" s="55">
        <v>0</v>
      </c>
      <c r="Q39" s="757">
        <v>0</v>
      </c>
      <c r="R39" s="757">
        <v>1</v>
      </c>
      <c r="S39" s="757">
        <v>0</v>
      </c>
      <c r="T39" s="757">
        <v>0</v>
      </c>
      <c r="U39" s="55"/>
      <c r="V39" s="55">
        <f t="shared" ref="V39" si="25">V37+U38</f>
        <v>1611.2569999999998</v>
      </c>
      <c r="W39" s="55">
        <v>479.21300000000002</v>
      </c>
      <c r="X39" s="55" t="s">
        <v>2646</v>
      </c>
      <c r="Y39" s="55">
        <v>511810.36900000001</v>
      </c>
      <c r="Z39" s="55">
        <v>3625278.1090000002</v>
      </c>
      <c r="AA39" s="842"/>
    </row>
    <row r="40" spans="1:27" s="786" customFormat="1" ht="12" customHeight="1">
      <c r="A40" s="820"/>
      <c r="B40" s="55"/>
      <c r="C40" s="55"/>
      <c r="D40" s="55">
        <v>122.19499999999999</v>
      </c>
      <c r="E40" s="55"/>
      <c r="F40" s="55"/>
      <c r="G40" s="55"/>
      <c r="H40" s="55"/>
      <c r="I40" s="892"/>
      <c r="J40" s="820"/>
      <c r="K40" s="55"/>
      <c r="L40" s="55"/>
      <c r="M40" s="55"/>
      <c r="N40" s="55"/>
      <c r="O40" s="55"/>
      <c r="P40" s="55"/>
      <c r="Q40" s="55"/>
      <c r="R40" s="55"/>
      <c r="S40" s="55"/>
      <c r="T40" s="55"/>
      <c r="U40" s="55">
        <v>122.19499999999999</v>
      </c>
      <c r="V40" s="55"/>
      <c r="W40" s="55"/>
      <c r="X40" s="55"/>
      <c r="Y40" s="55"/>
      <c r="Z40" s="55"/>
      <c r="AA40" s="842" t="s">
        <v>2116</v>
      </c>
    </row>
    <row r="41" spans="1:27" s="786" customFormat="1" ht="12" customHeight="1">
      <c r="A41" s="888">
        <f>A39+1</f>
        <v>18</v>
      </c>
      <c r="B41" s="55" t="s">
        <v>2647</v>
      </c>
      <c r="C41" s="55" t="s">
        <v>1935</v>
      </c>
      <c r="D41" s="55"/>
      <c r="E41" s="55">
        <f t="shared" ref="E41" si="26">E39+D40</f>
        <v>1734.5359999999998</v>
      </c>
      <c r="F41" s="55" t="s">
        <v>2648</v>
      </c>
      <c r="G41" s="55">
        <v>511713.53499999997</v>
      </c>
      <c r="H41" s="55">
        <v>3625352.639</v>
      </c>
      <c r="I41" s="892"/>
      <c r="J41" s="888">
        <f>J39+1</f>
        <v>18</v>
      </c>
      <c r="K41" s="55" t="s">
        <v>2647</v>
      </c>
      <c r="L41" s="55" t="s">
        <v>1935</v>
      </c>
      <c r="M41" s="55">
        <v>0</v>
      </c>
      <c r="N41" s="55">
        <v>0</v>
      </c>
      <c r="O41" s="55">
        <v>0</v>
      </c>
      <c r="P41" s="55">
        <v>0</v>
      </c>
      <c r="Q41" s="757">
        <v>1</v>
      </c>
      <c r="R41" s="757">
        <v>0</v>
      </c>
      <c r="S41" s="757">
        <v>0</v>
      </c>
      <c r="T41" s="757">
        <v>1</v>
      </c>
      <c r="U41" s="55"/>
      <c r="V41" s="55">
        <f t="shared" ref="V41" si="27">V39+U40</f>
        <v>1733.4519999999998</v>
      </c>
      <c r="W41" s="55">
        <v>476.5</v>
      </c>
      <c r="X41" s="55" t="s">
        <v>2648</v>
      </c>
      <c r="Y41" s="55">
        <v>511713.53499999997</v>
      </c>
      <c r="Z41" s="55">
        <v>3625352.639</v>
      </c>
      <c r="AA41" s="842"/>
    </row>
    <row r="42" spans="1:27" s="786" customFormat="1" ht="12" customHeight="1">
      <c r="A42" s="820"/>
      <c r="B42" s="55"/>
      <c r="C42" s="55"/>
      <c r="D42" s="55">
        <v>185.672</v>
      </c>
      <c r="E42" s="55"/>
      <c r="F42" s="55"/>
      <c r="G42" s="55"/>
      <c r="H42" s="55"/>
      <c r="I42" s="892"/>
      <c r="J42" s="820"/>
      <c r="K42" s="55"/>
      <c r="L42" s="55"/>
      <c r="M42" s="55"/>
      <c r="N42" s="55"/>
      <c r="O42" s="55"/>
      <c r="P42" s="55"/>
      <c r="Q42" s="55"/>
      <c r="R42" s="55"/>
      <c r="S42" s="55"/>
      <c r="T42" s="55"/>
      <c r="U42" s="55">
        <v>185.672</v>
      </c>
      <c r="V42" s="55"/>
      <c r="W42" s="55"/>
      <c r="X42" s="55"/>
      <c r="Y42" s="55"/>
      <c r="Z42" s="55"/>
      <c r="AA42" s="842" t="s">
        <v>2669</v>
      </c>
    </row>
    <row r="43" spans="1:27" s="786" customFormat="1" ht="12" customHeight="1">
      <c r="A43" s="888">
        <f>A41+1</f>
        <v>19</v>
      </c>
      <c r="B43" s="55" t="s">
        <v>2649</v>
      </c>
      <c r="C43" s="55" t="s">
        <v>2212</v>
      </c>
      <c r="D43" s="55"/>
      <c r="E43" s="55">
        <f t="shared" ref="E43" si="28">E41+D42</f>
        <v>1920.2079999999999</v>
      </c>
      <c r="F43" s="55" t="s">
        <v>2650</v>
      </c>
      <c r="G43" s="55">
        <v>511664.337</v>
      </c>
      <c r="H43" s="55">
        <v>3625531.6740000001</v>
      </c>
      <c r="I43" s="892"/>
      <c r="J43" s="888">
        <f>J41+1</f>
        <v>19</v>
      </c>
      <c r="K43" s="55" t="s">
        <v>2649</v>
      </c>
      <c r="L43" s="55" t="s">
        <v>2212</v>
      </c>
      <c r="M43" s="55">
        <v>0</v>
      </c>
      <c r="N43" s="55">
        <v>0</v>
      </c>
      <c r="O43" s="55">
        <v>0</v>
      </c>
      <c r="P43" s="55">
        <v>0</v>
      </c>
      <c r="Q43" s="757">
        <v>0</v>
      </c>
      <c r="R43" s="757">
        <v>0</v>
      </c>
      <c r="S43" s="757">
        <v>0</v>
      </c>
      <c r="T43" s="757">
        <v>0</v>
      </c>
      <c r="U43" s="55"/>
      <c r="V43" s="758">
        <f t="shared" ref="V43" si="29">V41+U42</f>
        <v>1919.1239999999998</v>
      </c>
      <c r="W43" s="55">
        <v>475.57499999999999</v>
      </c>
      <c r="X43" s="55" t="s">
        <v>2650</v>
      </c>
      <c r="Y43" s="55">
        <v>511664.337</v>
      </c>
      <c r="Z43" s="55">
        <v>3625531.6740000001</v>
      </c>
      <c r="AA43" s="842" t="s">
        <v>2665</v>
      </c>
    </row>
    <row r="44" spans="1:27" s="786" customFormat="1" ht="12" customHeight="1">
      <c r="A44" s="820"/>
      <c r="B44" s="55"/>
      <c r="C44" s="55"/>
      <c r="D44" s="55">
        <v>303.56200000000001</v>
      </c>
      <c r="E44" s="55"/>
      <c r="F44" s="55"/>
      <c r="G44" s="55"/>
      <c r="H44" s="55"/>
      <c r="I44" s="892"/>
      <c r="J44" s="820"/>
      <c r="K44" s="55"/>
      <c r="L44" s="55"/>
      <c r="M44" s="55"/>
      <c r="N44" s="55"/>
      <c r="O44" s="55"/>
      <c r="P44" s="55"/>
      <c r="Q44" s="55"/>
      <c r="R44" s="55"/>
      <c r="S44" s="55"/>
      <c r="T44" s="55"/>
      <c r="U44" s="55">
        <v>303.56200000000001</v>
      </c>
      <c r="V44" s="55"/>
      <c r="W44" s="55"/>
      <c r="X44" s="55"/>
      <c r="Y44" s="55"/>
      <c r="Z44" s="55"/>
      <c r="AA44" s="842"/>
    </row>
    <row r="45" spans="1:27" s="786" customFormat="1" ht="12" customHeight="1">
      <c r="A45" s="888">
        <f>A43+1</f>
        <v>20</v>
      </c>
      <c r="B45" s="55" t="s">
        <v>2651</v>
      </c>
      <c r="C45" s="55" t="s">
        <v>1319</v>
      </c>
      <c r="D45" s="55"/>
      <c r="E45" s="55">
        <f t="shared" ref="E45" si="30">E43+D44</f>
        <v>2223.77</v>
      </c>
      <c r="F45" s="55" t="s">
        <v>2652</v>
      </c>
      <c r="G45" s="55">
        <v>511469.58500000002</v>
      </c>
      <c r="H45" s="55">
        <v>3625764.5290000001</v>
      </c>
      <c r="I45" s="892"/>
      <c r="J45" s="888">
        <f>J43+1</f>
        <v>20</v>
      </c>
      <c r="K45" s="55" t="s">
        <v>2651</v>
      </c>
      <c r="L45" s="55" t="s">
        <v>1319</v>
      </c>
      <c r="M45" s="55">
        <v>0</v>
      </c>
      <c r="N45" s="55">
        <v>0</v>
      </c>
      <c r="O45" s="55">
        <v>0</v>
      </c>
      <c r="P45" s="55">
        <v>0</v>
      </c>
      <c r="Q45" s="757">
        <v>0</v>
      </c>
      <c r="R45" s="757">
        <v>0</v>
      </c>
      <c r="S45" s="757">
        <v>1</v>
      </c>
      <c r="T45" s="757">
        <v>0</v>
      </c>
      <c r="U45" s="55"/>
      <c r="V45" s="55">
        <f t="shared" ref="V45" si="31">V43+U44</f>
        <v>2222.6859999999997</v>
      </c>
      <c r="W45" s="55">
        <v>475.00700000000001</v>
      </c>
      <c r="X45" s="55" t="s">
        <v>2652</v>
      </c>
      <c r="Y45" s="55">
        <v>511469.58500000002</v>
      </c>
      <c r="Z45" s="55">
        <v>3625764.5290000001</v>
      </c>
      <c r="AA45" s="842"/>
    </row>
    <row r="46" spans="1:27" s="786" customFormat="1" ht="12" customHeight="1">
      <c r="A46" s="820"/>
      <c r="B46" s="55"/>
      <c r="C46" s="55"/>
      <c r="D46" s="55">
        <v>287.71600000000001</v>
      </c>
      <c r="E46" s="55"/>
      <c r="F46" s="55"/>
      <c r="G46" s="55"/>
      <c r="H46" s="55"/>
      <c r="I46" s="892"/>
      <c r="J46" s="820"/>
      <c r="K46" s="55"/>
      <c r="L46" s="55"/>
      <c r="M46" s="55"/>
      <c r="N46" s="55"/>
      <c r="O46" s="55"/>
      <c r="P46" s="55"/>
      <c r="Q46" s="55"/>
      <c r="R46" s="55"/>
      <c r="S46" s="55"/>
      <c r="T46" s="55"/>
      <c r="U46" s="55">
        <v>287.71600000000001</v>
      </c>
      <c r="V46" s="55"/>
      <c r="W46" s="55"/>
      <c r="X46" s="55"/>
      <c r="Y46" s="55"/>
      <c r="Z46" s="55"/>
      <c r="AA46" s="842" t="s">
        <v>2165</v>
      </c>
    </row>
    <row r="47" spans="1:27" s="786" customFormat="1" ht="12" customHeight="1">
      <c r="A47" s="888">
        <f>A45+1</f>
        <v>21</v>
      </c>
      <c r="B47" s="55" t="s">
        <v>2653</v>
      </c>
      <c r="C47" s="55" t="s">
        <v>1269</v>
      </c>
      <c r="D47" s="55"/>
      <c r="E47" s="55">
        <f t="shared" ref="E47" si="32">E45+D46</f>
        <v>2511.4859999999999</v>
      </c>
      <c r="F47" s="55" t="s">
        <v>2654</v>
      </c>
      <c r="G47" s="55">
        <v>511546.81400000001</v>
      </c>
      <c r="H47" s="55">
        <v>3626041.6860000002</v>
      </c>
      <c r="I47" s="892"/>
      <c r="J47" s="888">
        <f>J45+1</f>
        <v>21</v>
      </c>
      <c r="K47" s="55" t="s">
        <v>2653</v>
      </c>
      <c r="L47" s="55" t="s">
        <v>1269</v>
      </c>
      <c r="M47" s="55">
        <v>0</v>
      </c>
      <c r="N47" s="55">
        <v>0</v>
      </c>
      <c r="O47" s="55">
        <v>0</v>
      </c>
      <c r="P47" s="55">
        <v>0</v>
      </c>
      <c r="Q47" s="757">
        <v>0</v>
      </c>
      <c r="R47" s="757">
        <v>0</v>
      </c>
      <c r="S47" s="757">
        <v>0</v>
      </c>
      <c r="T47" s="757">
        <v>0</v>
      </c>
      <c r="U47" s="55"/>
      <c r="V47" s="55">
        <f t="shared" ref="V47" si="33">V45+U46</f>
        <v>2510.4019999999996</v>
      </c>
      <c r="W47" s="55">
        <v>469.17500000000001</v>
      </c>
      <c r="X47" s="55" t="s">
        <v>2654</v>
      </c>
      <c r="Y47" s="55">
        <v>511546.81400000001</v>
      </c>
      <c r="Z47" s="55">
        <v>3626041.6860000002</v>
      </c>
      <c r="AA47" s="842" t="s">
        <v>2665</v>
      </c>
    </row>
    <row r="48" spans="1:27" s="786" customFormat="1" ht="12" customHeight="1">
      <c r="A48" s="820"/>
      <c r="B48" s="55"/>
      <c r="C48" s="55"/>
      <c r="D48" s="55">
        <v>425.99099999999999</v>
      </c>
      <c r="E48" s="55"/>
      <c r="F48" s="55"/>
      <c r="G48" s="55"/>
      <c r="H48" s="55"/>
      <c r="I48" s="892"/>
      <c r="J48" s="820"/>
      <c r="K48" s="55"/>
      <c r="L48" s="55"/>
      <c r="M48" s="55"/>
      <c r="N48" s="55"/>
      <c r="O48" s="55"/>
      <c r="P48" s="55"/>
      <c r="Q48" s="55"/>
      <c r="R48" s="55"/>
      <c r="S48" s="55"/>
      <c r="T48" s="55"/>
      <c r="U48" s="55">
        <v>425.99099999999999</v>
      </c>
      <c r="V48" s="55"/>
      <c r="W48" s="55"/>
      <c r="X48" s="55"/>
      <c r="Y48" s="55"/>
      <c r="Z48" s="55"/>
      <c r="AA48" s="842"/>
    </row>
    <row r="49" spans="1:27">
      <c r="A49" s="888">
        <f>A47+1</f>
        <v>22</v>
      </c>
      <c r="B49" s="55" t="s">
        <v>2655</v>
      </c>
      <c r="C49" s="55" t="s">
        <v>1277</v>
      </c>
      <c r="D49" s="55"/>
      <c r="E49" s="55">
        <f t="shared" ref="E49" si="34">E47+D48</f>
        <v>2937.4769999999999</v>
      </c>
      <c r="F49" s="55" t="s">
        <v>2656</v>
      </c>
      <c r="G49" s="55">
        <v>511754.875</v>
      </c>
      <c r="H49" s="55">
        <v>3626413.41</v>
      </c>
      <c r="I49" s="892"/>
      <c r="J49" s="888">
        <f>J47+1</f>
        <v>22</v>
      </c>
      <c r="K49" s="55" t="s">
        <v>2655</v>
      </c>
      <c r="L49" s="55" t="s">
        <v>1277</v>
      </c>
      <c r="M49" s="55">
        <v>-1.5</v>
      </c>
      <c r="N49" s="55">
        <v>-1.5</v>
      </c>
      <c r="O49" s="55">
        <v>0</v>
      </c>
      <c r="P49" s="55">
        <v>0</v>
      </c>
      <c r="Q49" s="757">
        <v>0</v>
      </c>
      <c r="R49" s="757">
        <v>0</v>
      </c>
      <c r="S49" s="757">
        <v>0</v>
      </c>
      <c r="T49" s="757">
        <v>0</v>
      </c>
      <c r="U49" s="55"/>
      <c r="V49" s="55">
        <f t="shared" ref="V49" si="35">V47+U48</f>
        <v>2936.3929999999996</v>
      </c>
      <c r="W49" s="55">
        <v>457.97699999999998</v>
      </c>
      <c r="X49" s="55" t="s">
        <v>2656</v>
      </c>
      <c r="Y49" s="55">
        <v>511754.875</v>
      </c>
      <c r="Z49" s="55">
        <v>3626413.41</v>
      </c>
      <c r="AA49" s="842" t="s">
        <v>2670</v>
      </c>
    </row>
    <row r="50" spans="1:27">
      <c r="A50" s="893"/>
      <c r="B50" s="55"/>
      <c r="C50" s="55"/>
      <c r="D50" s="55">
        <v>141.744</v>
      </c>
      <c r="E50" s="55"/>
      <c r="F50" s="55"/>
      <c r="G50" s="55"/>
      <c r="H50" s="55" t="s">
        <v>2848</v>
      </c>
      <c r="I50" s="892"/>
      <c r="J50" s="894"/>
      <c r="K50" s="55"/>
      <c r="L50" s="55"/>
      <c r="M50" s="55"/>
      <c r="N50" s="55"/>
      <c r="O50" s="55"/>
      <c r="P50" s="55"/>
      <c r="Q50" s="55"/>
      <c r="R50" s="55"/>
      <c r="S50" s="55"/>
      <c r="T50" s="55"/>
      <c r="U50" s="55">
        <v>141.744</v>
      </c>
      <c r="V50" s="55"/>
      <c r="W50" s="55"/>
      <c r="X50" s="55"/>
      <c r="Y50" s="55"/>
      <c r="Z50" s="55"/>
      <c r="AA50" s="842"/>
    </row>
    <row r="51" spans="1:27">
      <c r="A51" s="893">
        <f>A49+1</f>
        <v>23</v>
      </c>
      <c r="B51" s="55" t="s">
        <v>2657</v>
      </c>
      <c r="C51" s="55" t="s">
        <v>1277</v>
      </c>
      <c r="D51" s="55"/>
      <c r="E51" s="55">
        <f t="shared" ref="E51" si="36">E49+D50</f>
        <v>3079.221</v>
      </c>
      <c r="F51" s="55" t="s">
        <v>2658</v>
      </c>
      <c r="G51" s="55">
        <v>511873.60200000001</v>
      </c>
      <c r="H51" s="55">
        <v>3626490.8390000002</v>
      </c>
      <c r="I51" s="892"/>
      <c r="J51" s="893">
        <f>J49+1</f>
        <v>23</v>
      </c>
      <c r="K51" s="55" t="s">
        <v>2657</v>
      </c>
      <c r="L51" s="55" t="s">
        <v>1277</v>
      </c>
      <c r="M51" s="55">
        <v>0</v>
      </c>
      <c r="N51" s="55">
        <v>0</v>
      </c>
      <c r="O51" s="55">
        <v>0</v>
      </c>
      <c r="P51" s="55">
        <v>0</v>
      </c>
      <c r="Q51" s="757">
        <v>0</v>
      </c>
      <c r="R51" s="757">
        <v>0</v>
      </c>
      <c r="S51" s="757">
        <v>0</v>
      </c>
      <c r="T51" s="757">
        <v>0</v>
      </c>
      <c r="U51" s="55"/>
      <c r="V51" s="758">
        <f t="shared" ref="V51" si="37">V49+U50</f>
        <v>3078.1369999999997</v>
      </c>
      <c r="W51" s="55">
        <v>458.78399999999999</v>
      </c>
      <c r="X51" s="55" t="s">
        <v>2658</v>
      </c>
      <c r="Y51" s="55">
        <v>511873.60200000001</v>
      </c>
      <c r="Z51" s="55">
        <v>3626490.8390000002</v>
      </c>
      <c r="AA51" s="842" t="s">
        <v>2665</v>
      </c>
    </row>
    <row r="52" spans="1:27">
      <c r="A52" s="893"/>
      <c r="B52" s="55"/>
      <c r="C52" s="55"/>
      <c r="D52" s="55">
        <v>52.345999999999997</v>
      </c>
      <c r="E52" s="55"/>
      <c r="F52" s="55"/>
      <c r="G52" s="55"/>
      <c r="H52" s="55"/>
      <c r="I52" s="892"/>
      <c r="J52" s="895"/>
      <c r="K52" s="55"/>
      <c r="L52" s="55"/>
      <c r="M52" s="55"/>
      <c r="N52" s="55"/>
      <c r="O52" s="55"/>
      <c r="P52" s="55"/>
      <c r="Q52" s="55"/>
      <c r="R52" s="55"/>
      <c r="S52" s="55"/>
      <c r="T52" s="55"/>
      <c r="U52" s="55">
        <v>52.345999999999997</v>
      </c>
      <c r="V52" s="55"/>
      <c r="W52" s="55"/>
      <c r="X52" s="55"/>
      <c r="Y52" s="55"/>
      <c r="Z52" s="55"/>
      <c r="AA52" s="842"/>
    </row>
    <row r="53" spans="1:27">
      <c r="A53" s="893">
        <f>A51+1</f>
        <v>24</v>
      </c>
      <c r="B53" s="55" t="s">
        <v>2659</v>
      </c>
      <c r="C53" s="55" t="s">
        <v>1319</v>
      </c>
      <c r="D53" s="55"/>
      <c r="E53" s="55">
        <f t="shared" ref="E53" si="38">E51+D52</f>
        <v>3131.567</v>
      </c>
      <c r="F53" s="55"/>
      <c r="G53" s="55">
        <v>511907.19400000002</v>
      </c>
      <c r="H53" s="55">
        <v>3626530.9840000002</v>
      </c>
      <c r="I53" s="892"/>
      <c r="J53" s="893">
        <f>J51+1</f>
        <v>24</v>
      </c>
      <c r="K53" s="55" t="s">
        <v>2659</v>
      </c>
      <c r="L53" s="55" t="s">
        <v>1319</v>
      </c>
      <c r="M53" s="55">
        <v>0</v>
      </c>
      <c r="N53" s="55">
        <v>0</v>
      </c>
      <c r="O53" s="55">
        <v>0</v>
      </c>
      <c r="P53" s="55">
        <v>0</v>
      </c>
      <c r="Q53" s="757">
        <v>0</v>
      </c>
      <c r="R53" s="757">
        <v>0</v>
      </c>
      <c r="S53" s="757">
        <v>0</v>
      </c>
      <c r="T53" s="757">
        <v>0</v>
      </c>
      <c r="U53" s="758"/>
      <c r="V53" s="55">
        <f t="shared" ref="V53" si="39">V51+U52</f>
        <v>3130.4829999999997</v>
      </c>
      <c r="W53" s="55">
        <v>458.57799999999997</v>
      </c>
      <c r="X53" s="55"/>
      <c r="Y53" s="55">
        <v>511907.19400000002</v>
      </c>
      <c r="Z53" s="55">
        <v>3626530.9840000002</v>
      </c>
      <c r="AA53" s="842" t="s">
        <v>2665</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Q125"/>
  <sheetViews>
    <sheetView zoomScale="90" zoomScaleNormal="90" workbookViewId="0">
      <pane ySplit="6" topLeftCell="A119" activePane="bottomLeft" state="frozen"/>
      <selection activeCell="I102" sqref="I102"/>
      <selection pane="bottomLeft" activeCell="D125" sqref="D12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9.453125" style="648" bestFit="1" customWidth="1"/>
    <col min="10" max="10" width="12.6328125" style="648" bestFit="1" customWidth="1"/>
    <col min="11" max="11" width="9.453125" style="648" bestFit="1"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8" t="s">
        <v>38</v>
      </c>
      <c r="P1" s="699">
        <f>'TB-605'!E1</f>
        <v>46219</v>
      </c>
    </row>
    <row r="2" spans="1:17" ht="12.5">
      <c r="A2" s="651" t="s">
        <v>2739</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368" t="s">
        <v>1782</v>
      </c>
      <c r="B5" s="1368" t="s">
        <v>998</v>
      </c>
      <c r="C5" s="1368" t="s">
        <v>44</v>
      </c>
      <c r="D5" s="1368" t="s">
        <v>45</v>
      </c>
      <c r="E5" s="1368" t="s">
        <v>1761</v>
      </c>
      <c r="F5" s="1368" t="s">
        <v>1441</v>
      </c>
      <c r="G5" s="1370" t="s">
        <v>28</v>
      </c>
      <c r="H5" s="1371"/>
      <c r="I5" s="1371"/>
      <c r="J5" s="1371"/>
      <c r="K5" s="1371"/>
      <c r="L5" s="1372"/>
      <c r="M5" s="1368" t="s">
        <v>609</v>
      </c>
      <c r="N5" s="659" t="s">
        <v>3237</v>
      </c>
      <c r="O5" s="659" t="s">
        <v>1762</v>
      </c>
      <c r="P5" s="660" t="s">
        <v>1763</v>
      </c>
      <c r="Q5" s="660" t="s">
        <v>1764</v>
      </c>
    </row>
    <row r="6" spans="1:17" s="661" customFormat="1" ht="17.5" customHeight="1">
      <c r="A6" s="1369"/>
      <c r="B6" s="1369"/>
      <c r="C6" s="1369"/>
      <c r="D6" s="1369"/>
      <c r="E6" s="1369"/>
      <c r="F6" s="1369"/>
      <c r="G6" s="659" t="s">
        <v>1416</v>
      </c>
      <c r="H6" s="659" t="s">
        <v>2394</v>
      </c>
      <c r="I6" s="659" t="s">
        <v>2368</v>
      </c>
      <c r="J6" s="659" t="s">
        <v>2395</v>
      </c>
      <c r="K6" s="659" t="s">
        <v>2386</v>
      </c>
      <c r="L6" s="945" t="s">
        <v>2396</v>
      </c>
      <c r="M6" s="1369"/>
      <c r="N6" s="659"/>
      <c r="O6" s="659"/>
      <c r="P6" s="660"/>
      <c r="Q6" s="660"/>
    </row>
    <row r="7" spans="1:17" s="658" customFormat="1" ht="31" customHeight="1">
      <c r="A7" s="750">
        <v>1</v>
      </c>
      <c r="B7" s="751" t="s">
        <v>1656</v>
      </c>
      <c r="C7" s="750" t="s">
        <v>76</v>
      </c>
      <c r="D7" s="750" t="s">
        <v>1765</v>
      </c>
      <c r="E7" s="782">
        <v>34.389000000000003</v>
      </c>
      <c r="F7" s="752">
        <v>45866</v>
      </c>
      <c r="G7" s="752">
        <v>45876</v>
      </c>
      <c r="H7" s="752">
        <v>45879</v>
      </c>
      <c r="I7" s="752">
        <v>45879</v>
      </c>
      <c r="J7" s="752">
        <v>45879</v>
      </c>
      <c r="K7" s="752">
        <v>45880</v>
      </c>
      <c r="L7" s="752">
        <v>45880</v>
      </c>
      <c r="M7" s="752">
        <v>45994</v>
      </c>
      <c r="N7" s="750" t="s">
        <v>631</v>
      </c>
      <c r="O7" s="750" t="s">
        <v>1783</v>
      </c>
      <c r="P7" s="750">
        <v>8</v>
      </c>
      <c r="Q7" s="753"/>
    </row>
    <row r="8" spans="1:17" s="658" customFormat="1" ht="31" customHeight="1">
      <c r="A8" s="750">
        <f t="shared" ref="A8:A16" si="0">A7+1</f>
        <v>2</v>
      </c>
      <c r="B8" s="751" t="s">
        <v>1655</v>
      </c>
      <c r="C8" s="750" t="s">
        <v>76</v>
      </c>
      <c r="D8" s="750" t="s">
        <v>54</v>
      </c>
      <c r="E8" s="782">
        <v>21.318000000000001</v>
      </c>
      <c r="F8" s="752">
        <v>45880</v>
      </c>
      <c r="G8" s="752">
        <v>45890</v>
      </c>
      <c r="H8" s="752">
        <v>45890</v>
      </c>
      <c r="I8" s="752">
        <v>45891</v>
      </c>
      <c r="J8" s="752">
        <v>45891</v>
      </c>
      <c r="K8" s="752">
        <v>45906</v>
      </c>
      <c r="L8" s="752">
        <v>45906</v>
      </c>
      <c r="M8" s="752">
        <v>45994</v>
      </c>
      <c r="N8" s="750" t="s">
        <v>631</v>
      </c>
      <c r="O8" s="750" t="s">
        <v>1783</v>
      </c>
      <c r="P8" s="750">
        <v>5</v>
      </c>
      <c r="Q8" s="753"/>
    </row>
    <row r="9" spans="1:17" s="658" customFormat="1" ht="31" customHeight="1">
      <c r="A9" s="750">
        <f t="shared" si="0"/>
        <v>3</v>
      </c>
      <c r="B9" s="751" t="s">
        <v>1654</v>
      </c>
      <c r="C9" s="750" t="s">
        <v>76</v>
      </c>
      <c r="D9" s="750" t="s">
        <v>54</v>
      </c>
      <c r="E9" s="782">
        <v>21.318000000000001</v>
      </c>
      <c r="F9" s="752">
        <v>45900</v>
      </c>
      <c r="G9" s="752">
        <v>45921</v>
      </c>
      <c r="H9" s="752">
        <v>45921</v>
      </c>
      <c r="I9" s="752">
        <v>45922</v>
      </c>
      <c r="J9" s="752">
        <v>45922</v>
      </c>
      <c r="K9" s="752">
        <v>45924</v>
      </c>
      <c r="L9" s="752">
        <v>45924</v>
      </c>
      <c r="M9" s="752"/>
      <c r="N9" s="750" t="s">
        <v>631</v>
      </c>
      <c r="O9" s="750" t="s">
        <v>2186</v>
      </c>
      <c r="P9" s="750">
        <v>12</v>
      </c>
      <c r="Q9" s="860" t="s">
        <v>2723</v>
      </c>
    </row>
    <row r="10" spans="1:17" s="658" customFormat="1" ht="27.5" customHeight="1">
      <c r="A10" s="750">
        <f t="shared" si="0"/>
        <v>4</v>
      </c>
      <c r="B10" s="751" t="s">
        <v>1138</v>
      </c>
      <c r="C10" s="750" t="s">
        <v>1269</v>
      </c>
      <c r="D10" s="750" t="s">
        <v>1765</v>
      </c>
      <c r="E10" s="782">
        <f>65.112+6.59</f>
        <v>71.701999999999998</v>
      </c>
      <c r="F10" s="752">
        <v>45907</v>
      </c>
      <c r="G10" s="752">
        <v>45916</v>
      </c>
      <c r="H10" s="752">
        <v>45918</v>
      </c>
      <c r="I10" s="752">
        <v>45918</v>
      </c>
      <c r="J10" s="752">
        <v>45919</v>
      </c>
      <c r="K10" s="752">
        <v>45920</v>
      </c>
      <c r="L10" s="752">
        <v>45920</v>
      </c>
      <c r="M10" s="752">
        <v>46032</v>
      </c>
      <c r="N10" s="750" t="s">
        <v>631</v>
      </c>
      <c r="O10" s="750" t="s">
        <v>2186</v>
      </c>
      <c r="P10" s="750">
        <v>12</v>
      </c>
      <c r="Q10" s="858"/>
    </row>
    <row r="11" spans="1:17" s="658" customFormat="1" ht="62.5">
      <c r="A11" s="750">
        <f t="shared" si="0"/>
        <v>5</v>
      </c>
      <c r="B11" s="751" t="s">
        <v>1633</v>
      </c>
      <c r="C11" s="750" t="s">
        <v>1361</v>
      </c>
      <c r="D11" s="750" t="s">
        <v>897</v>
      </c>
      <c r="E11" s="782">
        <v>142.44999999999999</v>
      </c>
      <c r="F11" s="752">
        <v>45910</v>
      </c>
      <c r="G11" s="752">
        <v>45982</v>
      </c>
      <c r="H11" s="752">
        <v>45983</v>
      </c>
      <c r="I11" s="752">
        <v>45983</v>
      </c>
      <c r="J11" s="752">
        <v>45983</v>
      </c>
      <c r="K11" s="752">
        <v>45984</v>
      </c>
      <c r="L11" s="752">
        <v>45984</v>
      </c>
      <c r="M11" s="752">
        <v>45998</v>
      </c>
      <c r="N11" s="750" t="s">
        <v>631</v>
      </c>
      <c r="O11" s="750" t="s">
        <v>3074</v>
      </c>
      <c r="P11" s="750">
        <v>12</v>
      </c>
      <c r="Q11" s="858" t="s">
        <v>3111</v>
      </c>
    </row>
    <row r="12" spans="1:17" s="658" customFormat="1" ht="30.5" customHeight="1">
      <c r="A12" s="750">
        <f t="shared" si="0"/>
        <v>6</v>
      </c>
      <c r="B12" s="751" t="s">
        <v>1634</v>
      </c>
      <c r="C12" s="750" t="s">
        <v>1277</v>
      </c>
      <c r="D12" s="750" t="s">
        <v>897</v>
      </c>
      <c r="E12" s="782">
        <f>122.268+12.044</f>
        <v>134.31200000000001</v>
      </c>
      <c r="F12" s="752">
        <v>45911</v>
      </c>
      <c r="G12" s="752">
        <v>45944</v>
      </c>
      <c r="H12" s="752">
        <v>45944</v>
      </c>
      <c r="I12" s="752">
        <v>45944</v>
      </c>
      <c r="J12" s="752">
        <v>45944</v>
      </c>
      <c r="K12" s="752">
        <v>45946</v>
      </c>
      <c r="L12" s="752">
        <v>45946</v>
      </c>
      <c r="M12" s="752">
        <v>45948</v>
      </c>
      <c r="N12" s="941" t="s">
        <v>631</v>
      </c>
      <c r="O12" s="750" t="s">
        <v>2427</v>
      </c>
      <c r="P12" s="750">
        <v>20</v>
      </c>
      <c r="Q12" s="858"/>
    </row>
    <row r="13" spans="1:17" s="658" customFormat="1" ht="75">
      <c r="A13" s="750">
        <f t="shared" si="0"/>
        <v>7</v>
      </c>
      <c r="B13" s="751" t="s">
        <v>1657</v>
      </c>
      <c r="C13" s="750" t="s">
        <v>62</v>
      </c>
      <c r="D13" s="750" t="s">
        <v>1765</v>
      </c>
      <c r="E13" s="782"/>
      <c r="F13" s="752">
        <v>45940</v>
      </c>
      <c r="G13" s="752">
        <v>45944</v>
      </c>
      <c r="H13" s="752">
        <v>45944</v>
      </c>
      <c r="I13" s="752">
        <v>45945</v>
      </c>
      <c r="J13" s="752">
        <v>45945</v>
      </c>
      <c r="K13" s="752">
        <v>45946</v>
      </c>
      <c r="L13" s="752">
        <v>45946</v>
      </c>
      <c r="M13" s="752">
        <v>45948</v>
      </c>
      <c r="N13" s="941" t="s">
        <v>631</v>
      </c>
      <c r="O13" s="750" t="s">
        <v>2186</v>
      </c>
      <c r="P13" s="750">
        <v>12</v>
      </c>
      <c r="Q13" s="858" t="s">
        <v>2841</v>
      </c>
    </row>
    <row r="14" spans="1:17" s="658" customFormat="1" ht="39.5" customHeight="1">
      <c r="A14" s="750">
        <f t="shared" si="0"/>
        <v>8</v>
      </c>
      <c r="B14" s="751" t="s">
        <v>1660</v>
      </c>
      <c r="C14" s="750" t="s">
        <v>53</v>
      </c>
      <c r="D14" s="750" t="s">
        <v>2736</v>
      </c>
      <c r="E14" s="782"/>
      <c r="F14" s="752">
        <v>45960</v>
      </c>
      <c r="G14" s="752">
        <v>45983</v>
      </c>
      <c r="H14" s="752">
        <v>45984</v>
      </c>
      <c r="I14" s="752">
        <v>45984</v>
      </c>
      <c r="J14" s="752">
        <v>45985</v>
      </c>
      <c r="K14" s="752">
        <v>45985</v>
      </c>
      <c r="L14" s="752">
        <v>45985</v>
      </c>
      <c r="M14" s="752">
        <v>45987</v>
      </c>
      <c r="N14" s="941" t="s">
        <v>631</v>
      </c>
      <c r="O14" s="750" t="s">
        <v>2862</v>
      </c>
      <c r="P14" s="750">
        <v>9</v>
      </c>
      <c r="Q14" s="858"/>
    </row>
    <row r="15" spans="1:17" s="658" customFormat="1" ht="39.5" customHeight="1">
      <c r="A15" s="750">
        <f t="shared" si="0"/>
        <v>9</v>
      </c>
      <c r="B15" s="751" t="s">
        <v>1116</v>
      </c>
      <c r="C15" s="750" t="s">
        <v>53</v>
      </c>
      <c r="D15" s="750" t="s">
        <v>1765</v>
      </c>
      <c r="E15" s="782"/>
      <c r="F15" s="752">
        <v>45925</v>
      </c>
      <c r="G15" s="752">
        <v>45965</v>
      </c>
      <c r="H15" s="752">
        <v>45968</v>
      </c>
      <c r="I15" s="752">
        <v>45968</v>
      </c>
      <c r="J15" s="752">
        <v>45969</v>
      </c>
      <c r="K15" s="752">
        <v>45971</v>
      </c>
      <c r="L15" s="752">
        <v>45971</v>
      </c>
      <c r="M15" s="752">
        <v>45997</v>
      </c>
      <c r="N15" s="941" t="s">
        <v>631</v>
      </c>
      <c r="O15" s="750" t="s">
        <v>2738</v>
      </c>
      <c r="P15" s="750">
        <v>8</v>
      </c>
      <c r="Q15" s="858"/>
    </row>
    <row r="16" spans="1:17" s="658" customFormat="1" ht="35.5" customHeight="1">
      <c r="A16" s="750">
        <f t="shared" si="0"/>
        <v>10</v>
      </c>
      <c r="B16" s="751" t="s">
        <v>1652</v>
      </c>
      <c r="C16" s="750" t="s">
        <v>76</v>
      </c>
      <c r="D16" s="750" t="s">
        <v>1765</v>
      </c>
      <c r="E16" s="782"/>
      <c r="F16" s="752">
        <v>45933</v>
      </c>
      <c r="G16" s="752">
        <v>45937</v>
      </c>
      <c r="H16" s="752">
        <v>45939</v>
      </c>
      <c r="I16" s="752">
        <v>45939</v>
      </c>
      <c r="J16" s="752">
        <v>45939</v>
      </c>
      <c r="K16" s="752">
        <v>45940</v>
      </c>
      <c r="L16" s="752">
        <v>45940</v>
      </c>
      <c r="M16" s="752">
        <v>45959</v>
      </c>
      <c r="N16" s="750" t="s">
        <v>631</v>
      </c>
      <c r="O16" s="750" t="s">
        <v>2186</v>
      </c>
      <c r="P16" s="750">
        <v>12</v>
      </c>
      <c r="Q16" s="858" t="s">
        <v>3294</v>
      </c>
    </row>
    <row r="17" spans="1:17" s="658" customFormat="1" ht="39.5" customHeight="1">
      <c r="A17" s="750">
        <v>11</v>
      </c>
      <c r="B17" s="751" t="s">
        <v>1643</v>
      </c>
      <c r="C17" s="750" t="s">
        <v>62</v>
      </c>
      <c r="D17" s="750" t="s">
        <v>1765</v>
      </c>
      <c r="E17" s="782"/>
      <c r="F17" s="752">
        <v>45940</v>
      </c>
      <c r="G17" s="752">
        <v>45957</v>
      </c>
      <c r="H17" s="752">
        <v>45957</v>
      </c>
      <c r="I17" s="752">
        <v>45957</v>
      </c>
      <c r="J17" s="752">
        <v>45957</v>
      </c>
      <c r="K17" s="752">
        <v>45958</v>
      </c>
      <c r="L17" s="752">
        <v>45958</v>
      </c>
      <c r="M17" s="752">
        <v>45981</v>
      </c>
      <c r="N17" s="750" t="s">
        <v>631</v>
      </c>
      <c r="O17" s="750" t="s">
        <v>3210</v>
      </c>
      <c r="P17" s="750">
        <v>5</v>
      </c>
      <c r="Q17" s="858"/>
    </row>
    <row r="18" spans="1:17" s="658" customFormat="1" ht="39.5" customHeight="1">
      <c r="A18" s="750">
        <v>12</v>
      </c>
      <c r="B18" s="751" t="s">
        <v>1631</v>
      </c>
      <c r="C18" s="750" t="s">
        <v>76</v>
      </c>
      <c r="D18" s="750" t="s">
        <v>897</v>
      </c>
      <c r="E18" s="782"/>
      <c r="F18" s="752">
        <v>45948</v>
      </c>
      <c r="G18" s="752">
        <v>45970</v>
      </c>
      <c r="H18" s="752">
        <v>45979</v>
      </c>
      <c r="I18" s="752">
        <v>45980</v>
      </c>
      <c r="J18" s="752">
        <v>45980</v>
      </c>
      <c r="K18" s="752">
        <v>45980</v>
      </c>
      <c r="L18" s="752">
        <v>45980</v>
      </c>
      <c r="M18" s="752">
        <v>45998</v>
      </c>
      <c r="N18" s="750" t="s">
        <v>631</v>
      </c>
      <c r="O18" s="750" t="s">
        <v>2838</v>
      </c>
      <c r="P18" s="750">
        <v>21</v>
      </c>
      <c r="Q18" s="858"/>
    </row>
    <row r="19" spans="1:17" s="658" customFormat="1" ht="38" customHeight="1">
      <c r="A19" s="750">
        <v>13</v>
      </c>
      <c r="B19" s="751" t="s">
        <v>1661</v>
      </c>
      <c r="C19" s="750" t="s">
        <v>62</v>
      </c>
      <c r="D19" s="750" t="s">
        <v>2736</v>
      </c>
      <c r="E19" s="782"/>
      <c r="F19" s="752">
        <v>45947</v>
      </c>
      <c r="G19" s="752">
        <v>45957</v>
      </c>
      <c r="H19" s="752">
        <v>45958</v>
      </c>
      <c r="I19" s="752">
        <v>45958</v>
      </c>
      <c r="J19" s="752">
        <v>45959</v>
      </c>
      <c r="K19" s="752">
        <v>45960</v>
      </c>
      <c r="L19" s="752">
        <v>45960</v>
      </c>
      <c r="M19" s="752">
        <v>45981</v>
      </c>
      <c r="N19" s="941" t="s">
        <v>631</v>
      </c>
      <c r="O19" s="750" t="s">
        <v>2427</v>
      </c>
      <c r="P19" s="750">
        <v>24</v>
      </c>
      <c r="Q19" s="858"/>
    </row>
    <row r="20" spans="1:17" s="658" customFormat="1" ht="57" customHeight="1">
      <c r="A20" s="750">
        <v>14</v>
      </c>
      <c r="B20" s="751" t="s">
        <v>1642</v>
      </c>
      <c r="C20" s="750" t="s">
        <v>1361</v>
      </c>
      <c r="D20" s="750" t="s">
        <v>1765</v>
      </c>
      <c r="E20" s="947"/>
      <c r="F20" s="752">
        <v>45948</v>
      </c>
      <c r="G20" s="752">
        <v>45960</v>
      </c>
      <c r="H20" s="752">
        <v>45961</v>
      </c>
      <c r="I20" s="752">
        <v>45961</v>
      </c>
      <c r="J20" s="752">
        <v>45961</v>
      </c>
      <c r="K20" s="752">
        <v>45961</v>
      </c>
      <c r="L20" s="752">
        <v>45961</v>
      </c>
      <c r="M20" s="752">
        <v>45980</v>
      </c>
      <c r="N20" s="941" t="s">
        <v>631</v>
      </c>
      <c r="O20" s="750" t="s">
        <v>3209</v>
      </c>
      <c r="P20" s="750">
        <v>10</v>
      </c>
      <c r="Q20" s="858"/>
    </row>
    <row r="21" spans="1:17" s="658" customFormat="1" ht="38" customHeight="1">
      <c r="A21" s="750">
        <v>15</v>
      </c>
      <c r="B21" s="751" t="s">
        <v>1641</v>
      </c>
      <c r="C21" s="750" t="s">
        <v>76</v>
      </c>
      <c r="D21" s="750" t="s">
        <v>1765</v>
      </c>
      <c r="E21" s="947"/>
      <c r="F21" s="752">
        <v>45958</v>
      </c>
      <c r="G21" s="752">
        <v>45960</v>
      </c>
      <c r="H21" s="752">
        <v>45961</v>
      </c>
      <c r="I21" s="752">
        <v>45961</v>
      </c>
      <c r="J21" s="752">
        <v>45961</v>
      </c>
      <c r="K21" s="752">
        <v>45961</v>
      </c>
      <c r="L21" s="752">
        <v>45961</v>
      </c>
      <c r="M21" s="752">
        <v>45970</v>
      </c>
      <c r="N21" s="941" t="s">
        <v>631</v>
      </c>
      <c r="O21" s="750" t="s">
        <v>3209</v>
      </c>
      <c r="P21" s="750">
        <v>19</v>
      </c>
      <c r="Q21" s="858"/>
    </row>
    <row r="22" spans="1:17" s="658" customFormat="1" ht="38" customHeight="1">
      <c r="A22" s="750">
        <f t="shared" ref="A22:A32" si="1">A21+1</f>
        <v>16</v>
      </c>
      <c r="B22" s="751" t="s">
        <v>668</v>
      </c>
      <c r="C22" s="750" t="s">
        <v>76</v>
      </c>
      <c r="D22" s="750" t="s">
        <v>2736</v>
      </c>
      <c r="E22" s="782"/>
      <c r="F22" s="752">
        <v>45960</v>
      </c>
      <c r="G22" s="752">
        <v>45968</v>
      </c>
      <c r="H22" s="752">
        <v>45970</v>
      </c>
      <c r="I22" s="752">
        <v>45970</v>
      </c>
      <c r="J22" s="752">
        <v>45971</v>
      </c>
      <c r="K22" s="752">
        <v>45972</v>
      </c>
      <c r="L22" s="752">
        <v>45972</v>
      </c>
      <c r="M22" s="752">
        <v>45972</v>
      </c>
      <c r="N22" s="941" t="s">
        <v>631</v>
      </c>
      <c r="O22" s="750" t="s">
        <v>2427</v>
      </c>
      <c r="P22" s="750">
        <v>12</v>
      </c>
      <c r="Q22" s="858"/>
    </row>
    <row r="23" spans="1:17" s="658" customFormat="1" ht="38" customHeight="1">
      <c r="A23" s="750">
        <f t="shared" si="1"/>
        <v>17</v>
      </c>
      <c r="B23" s="751" t="s">
        <v>1644</v>
      </c>
      <c r="C23" s="750" t="s">
        <v>62</v>
      </c>
      <c r="D23" s="750" t="s">
        <v>1765</v>
      </c>
      <c r="E23" s="782"/>
      <c r="F23" s="752">
        <v>45959</v>
      </c>
      <c r="G23" s="752">
        <v>45971</v>
      </c>
      <c r="H23" s="752">
        <v>45973</v>
      </c>
      <c r="I23" s="752">
        <v>45973</v>
      </c>
      <c r="J23" s="752">
        <v>45973</v>
      </c>
      <c r="K23" s="752">
        <v>45974</v>
      </c>
      <c r="L23" s="752">
        <v>45974</v>
      </c>
      <c r="M23" s="752">
        <v>45981</v>
      </c>
      <c r="N23" s="941" t="s">
        <v>631</v>
      </c>
      <c r="O23" s="750" t="s">
        <v>3210</v>
      </c>
      <c r="P23" s="750">
        <v>8</v>
      </c>
      <c r="Q23" s="858"/>
    </row>
    <row r="24" spans="1:17" s="658" customFormat="1" ht="38" customHeight="1">
      <c r="A24" s="750">
        <f t="shared" si="1"/>
        <v>18</v>
      </c>
      <c r="B24" s="751" t="s">
        <v>1630</v>
      </c>
      <c r="C24" s="750" t="s">
        <v>76</v>
      </c>
      <c r="D24" s="750" t="s">
        <v>2736</v>
      </c>
      <c r="E24" s="782"/>
      <c r="F24" s="752">
        <v>45967</v>
      </c>
      <c r="G24" s="752">
        <v>45974</v>
      </c>
      <c r="H24" s="752">
        <v>45978</v>
      </c>
      <c r="I24" s="752">
        <v>45978</v>
      </c>
      <c r="J24" s="752">
        <v>45978</v>
      </c>
      <c r="K24" s="752">
        <v>45978</v>
      </c>
      <c r="L24" s="752">
        <v>45978</v>
      </c>
      <c r="M24" s="752">
        <v>45993</v>
      </c>
      <c r="N24" s="941" t="s">
        <v>631</v>
      </c>
      <c r="O24" s="750" t="s">
        <v>2838</v>
      </c>
      <c r="P24" s="750">
        <v>21</v>
      </c>
      <c r="Q24" s="858"/>
    </row>
    <row r="25" spans="1:17" s="658" customFormat="1" ht="38" customHeight="1">
      <c r="A25" s="750">
        <f t="shared" si="1"/>
        <v>19</v>
      </c>
      <c r="B25" s="751" t="s">
        <v>963</v>
      </c>
      <c r="C25" s="750" t="s">
        <v>1361</v>
      </c>
      <c r="D25" s="750" t="s">
        <v>2736</v>
      </c>
      <c r="E25" s="782"/>
      <c r="F25" s="752">
        <v>45970</v>
      </c>
      <c r="G25" s="752">
        <v>45991</v>
      </c>
      <c r="H25" s="752">
        <v>45993</v>
      </c>
      <c r="I25" s="752">
        <v>45993</v>
      </c>
      <c r="J25" s="752">
        <v>45994</v>
      </c>
      <c r="K25" s="752">
        <v>45994</v>
      </c>
      <c r="L25" s="752">
        <v>45994</v>
      </c>
      <c r="M25" s="752">
        <v>46006</v>
      </c>
      <c r="N25" s="941" t="s">
        <v>631</v>
      </c>
      <c r="O25" s="750" t="s">
        <v>3095</v>
      </c>
      <c r="P25" s="750">
        <v>15</v>
      </c>
      <c r="Q25" s="858"/>
    </row>
    <row r="26" spans="1:17" s="658" customFormat="1" ht="38" customHeight="1">
      <c r="A26" s="750">
        <f t="shared" si="1"/>
        <v>20</v>
      </c>
      <c r="B26" s="751" t="s">
        <v>1639</v>
      </c>
      <c r="C26" s="750" t="s">
        <v>1934</v>
      </c>
      <c r="D26" s="750" t="s">
        <v>1765</v>
      </c>
      <c r="E26" s="782"/>
      <c r="F26" s="752">
        <v>45973</v>
      </c>
      <c r="G26" s="752">
        <v>45986</v>
      </c>
      <c r="H26" s="752">
        <v>45989</v>
      </c>
      <c r="I26" s="752">
        <v>45989</v>
      </c>
      <c r="J26" s="752">
        <v>45990</v>
      </c>
      <c r="K26" s="752">
        <v>45991</v>
      </c>
      <c r="L26" s="752">
        <v>45991</v>
      </c>
      <c r="M26" s="752">
        <v>45995</v>
      </c>
      <c r="N26" s="941" t="s">
        <v>631</v>
      </c>
      <c r="O26" s="750" t="s">
        <v>3209</v>
      </c>
      <c r="P26" s="750">
        <v>8</v>
      </c>
      <c r="Q26" s="858"/>
    </row>
    <row r="27" spans="1:17" s="658" customFormat="1" ht="38" customHeight="1">
      <c r="A27" s="750">
        <f t="shared" si="1"/>
        <v>21</v>
      </c>
      <c r="B27" s="751" t="s">
        <v>1140</v>
      </c>
      <c r="C27" s="750" t="s">
        <v>62</v>
      </c>
      <c r="D27" s="750" t="s">
        <v>1765</v>
      </c>
      <c r="E27" s="782"/>
      <c r="F27" s="752">
        <v>45975</v>
      </c>
      <c r="G27" s="752">
        <v>45978</v>
      </c>
      <c r="H27" s="752">
        <v>45983</v>
      </c>
      <c r="I27" s="752">
        <v>45983</v>
      </c>
      <c r="J27" s="752">
        <v>45984</v>
      </c>
      <c r="K27" s="752">
        <v>45984</v>
      </c>
      <c r="L27" s="752">
        <v>45984</v>
      </c>
      <c r="M27" s="752">
        <v>45998</v>
      </c>
      <c r="N27" s="941" t="s">
        <v>631</v>
      </c>
      <c r="O27" s="1045" t="s">
        <v>3096</v>
      </c>
      <c r="P27" s="1366">
        <v>40</v>
      </c>
      <c r="Q27" s="858" t="s">
        <v>3112</v>
      </c>
    </row>
    <row r="28" spans="1:17" s="658" customFormat="1" ht="38" customHeight="1">
      <c r="A28" s="750">
        <f t="shared" si="1"/>
        <v>22</v>
      </c>
      <c r="B28" s="751" t="s">
        <v>3052</v>
      </c>
      <c r="C28" s="750" t="s">
        <v>1269</v>
      </c>
      <c r="D28" s="750" t="s">
        <v>897</v>
      </c>
      <c r="E28" s="782"/>
      <c r="F28" s="752">
        <v>45973</v>
      </c>
      <c r="G28" s="752">
        <v>45982</v>
      </c>
      <c r="H28" s="752">
        <v>45983</v>
      </c>
      <c r="I28" s="752">
        <v>45984</v>
      </c>
      <c r="J28" s="752">
        <v>45984</v>
      </c>
      <c r="K28" s="752">
        <v>45987</v>
      </c>
      <c r="L28" s="752">
        <v>45987</v>
      </c>
      <c r="M28" s="752">
        <v>45993</v>
      </c>
      <c r="N28" s="941" t="s">
        <v>631</v>
      </c>
      <c r="O28" s="1045" t="s">
        <v>3096</v>
      </c>
      <c r="P28" s="1367"/>
      <c r="Q28" s="858"/>
    </row>
    <row r="29" spans="1:17" s="658" customFormat="1" ht="38" customHeight="1">
      <c r="A29" s="750">
        <f t="shared" si="1"/>
        <v>23</v>
      </c>
      <c r="B29" s="751" t="s">
        <v>1115</v>
      </c>
      <c r="C29" s="750" t="s">
        <v>1269</v>
      </c>
      <c r="D29" s="750" t="s">
        <v>897</v>
      </c>
      <c r="E29" s="782"/>
      <c r="F29" s="752">
        <v>45976</v>
      </c>
      <c r="G29" s="752">
        <v>45997</v>
      </c>
      <c r="H29" s="752">
        <v>45998</v>
      </c>
      <c r="I29" s="752">
        <v>45998</v>
      </c>
      <c r="J29" s="752">
        <v>45999</v>
      </c>
      <c r="K29" s="752">
        <v>111743</v>
      </c>
      <c r="L29" s="752">
        <v>46000</v>
      </c>
      <c r="M29" s="752">
        <v>46002</v>
      </c>
      <c r="N29" s="941" t="s">
        <v>631</v>
      </c>
      <c r="O29" s="750" t="s">
        <v>3210</v>
      </c>
      <c r="P29" s="1029">
        <v>9</v>
      </c>
      <c r="Q29" s="858"/>
    </row>
    <row r="30" spans="1:17" s="658" customFormat="1" ht="38" customHeight="1">
      <c r="A30" s="750">
        <f t="shared" si="1"/>
        <v>24</v>
      </c>
      <c r="B30" s="751" t="s">
        <v>1960</v>
      </c>
      <c r="C30" s="750" t="s">
        <v>249</v>
      </c>
      <c r="D30" s="750" t="s">
        <v>2736</v>
      </c>
      <c r="E30" s="782"/>
      <c r="F30" s="752">
        <v>45977</v>
      </c>
      <c r="G30" s="752">
        <v>45989</v>
      </c>
      <c r="H30" s="752">
        <v>45990</v>
      </c>
      <c r="I30" s="752">
        <v>45990</v>
      </c>
      <c r="J30" s="752">
        <v>45990</v>
      </c>
      <c r="K30" s="752">
        <v>45990</v>
      </c>
      <c r="L30" s="752">
        <v>45990</v>
      </c>
      <c r="M30" s="752">
        <v>45996</v>
      </c>
      <c r="N30" s="941" t="s">
        <v>631</v>
      </c>
      <c r="O30" s="1029" t="s">
        <v>3104</v>
      </c>
      <c r="P30" s="1029">
        <v>15</v>
      </c>
      <c r="Q30" s="858"/>
    </row>
    <row r="31" spans="1:17" s="658" customFormat="1" ht="38" customHeight="1">
      <c r="A31" s="750">
        <f t="shared" si="1"/>
        <v>25</v>
      </c>
      <c r="B31" s="751" t="s">
        <v>964</v>
      </c>
      <c r="C31" s="750" t="s">
        <v>62</v>
      </c>
      <c r="D31" s="750" t="s">
        <v>1765</v>
      </c>
      <c r="E31" s="782"/>
      <c r="F31" s="752">
        <v>45977</v>
      </c>
      <c r="G31" s="752">
        <v>45990</v>
      </c>
      <c r="H31" s="752">
        <v>45991</v>
      </c>
      <c r="I31" s="752">
        <v>45991</v>
      </c>
      <c r="J31" s="752">
        <v>45991</v>
      </c>
      <c r="K31" s="752">
        <v>45991</v>
      </c>
      <c r="L31" s="752">
        <v>45991</v>
      </c>
      <c r="M31" s="752">
        <v>45997</v>
      </c>
      <c r="N31" s="941" t="s">
        <v>631</v>
      </c>
      <c r="O31" s="1029" t="s">
        <v>3105</v>
      </c>
      <c r="P31" s="1029">
        <v>7</v>
      </c>
      <c r="Q31" s="858"/>
    </row>
    <row r="32" spans="1:17" s="658" customFormat="1" ht="38" customHeight="1">
      <c r="A32" s="750">
        <f t="shared" si="1"/>
        <v>26</v>
      </c>
      <c r="B32" s="751" t="s">
        <v>1638</v>
      </c>
      <c r="C32" s="750" t="s">
        <v>76</v>
      </c>
      <c r="D32" s="750" t="s">
        <v>897</v>
      </c>
      <c r="E32" s="782"/>
      <c r="F32" s="752">
        <v>45984</v>
      </c>
      <c r="G32" s="752">
        <v>46002</v>
      </c>
      <c r="H32" s="752">
        <v>46002</v>
      </c>
      <c r="I32" s="752">
        <v>46004</v>
      </c>
      <c r="J32" s="752">
        <v>46004</v>
      </c>
      <c r="K32" s="752">
        <v>46004</v>
      </c>
      <c r="L32" s="752">
        <v>46004</v>
      </c>
      <c r="M32" s="752">
        <v>46007</v>
      </c>
      <c r="N32" s="941" t="s">
        <v>631</v>
      </c>
      <c r="O32" s="1029" t="s">
        <v>2838</v>
      </c>
      <c r="P32" s="1029">
        <v>9</v>
      </c>
      <c r="Q32" s="858"/>
    </row>
    <row r="33" spans="1:17" s="658" customFormat="1" ht="38" customHeight="1">
      <c r="A33" s="750">
        <f t="shared" ref="A33:A53" si="2">A32+1</f>
        <v>27</v>
      </c>
      <c r="B33" s="751" t="s">
        <v>1635</v>
      </c>
      <c r="C33" s="750" t="s">
        <v>76</v>
      </c>
      <c r="D33" s="750" t="s">
        <v>2736</v>
      </c>
      <c r="E33" s="782"/>
      <c r="F33" s="752">
        <v>45986</v>
      </c>
      <c r="G33" s="752">
        <v>45996</v>
      </c>
      <c r="H33" s="752">
        <v>45997</v>
      </c>
      <c r="I33" s="752">
        <v>45997</v>
      </c>
      <c r="J33" s="752">
        <v>45997</v>
      </c>
      <c r="K33" s="752">
        <v>45997</v>
      </c>
      <c r="L33" s="752">
        <v>45997</v>
      </c>
      <c r="M33" s="752">
        <v>45998</v>
      </c>
      <c r="N33" s="941" t="s">
        <v>631</v>
      </c>
      <c r="O33" s="1029" t="s">
        <v>3074</v>
      </c>
      <c r="P33" s="1029">
        <v>12</v>
      </c>
      <c r="Q33" s="858"/>
    </row>
    <row r="34" spans="1:17" s="658" customFormat="1" ht="35.5" customHeight="1">
      <c r="A34" s="750">
        <f t="shared" si="2"/>
        <v>28</v>
      </c>
      <c r="B34" s="751" t="s">
        <v>3048</v>
      </c>
      <c r="C34" s="750" t="s">
        <v>1402</v>
      </c>
      <c r="D34" s="750" t="s">
        <v>1765</v>
      </c>
      <c r="E34" s="782"/>
      <c r="F34" s="752">
        <v>45988</v>
      </c>
      <c r="G34" s="752">
        <v>45989</v>
      </c>
      <c r="H34" s="752">
        <v>45992</v>
      </c>
      <c r="I34" s="752">
        <v>45992</v>
      </c>
      <c r="J34" s="752">
        <v>45992</v>
      </c>
      <c r="K34" s="752">
        <v>45995</v>
      </c>
      <c r="L34" s="752">
        <v>45995</v>
      </c>
      <c r="M34" s="752">
        <v>45994</v>
      </c>
      <c r="N34" s="941" t="s">
        <v>631</v>
      </c>
      <c r="O34" s="750" t="s">
        <v>2427</v>
      </c>
      <c r="P34" s="1029">
        <v>35</v>
      </c>
      <c r="Q34" s="858"/>
    </row>
    <row r="35" spans="1:17" s="658" customFormat="1" ht="38" customHeight="1">
      <c r="A35" s="750">
        <f t="shared" si="2"/>
        <v>29</v>
      </c>
      <c r="B35" s="751" t="s">
        <v>658</v>
      </c>
      <c r="C35" s="750" t="s">
        <v>76</v>
      </c>
      <c r="D35" s="750" t="s">
        <v>2736</v>
      </c>
      <c r="E35" s="782"/>
      <c r="F35" s="752">
        <v>45988</v>
      </c>
      <c r="G35" s="752">
        <v>46000</v>
      </c>
      <c r="H35" s="752">
        <v>46001</v>
      </c>
      <c r="I35" s="752">
        <v>46001</v>
      </c>
      <c r="J35" s="752">
        <v>46001</v>
      </c>
      <c r="K35" s="752">
        <v>46003</v>
      </c>
      <c r="L35" s="752">
        <v>46003</v>
      </c>
      <c r="M35" s="752">
        <v>46007</v>
      </c>
      <c r="N35" s="941" t="s">
        <v>631</v>
      </c>
      <c r="O35" s="1029" t="s">
        <v>2862</v>
      </c>
      <c r="P35" s="1029">
        <v>8</v>
      </c>
      <c r="Q35" s="858"/>
    </row>
    <row r="36" spans="1:17" s="658" customFormat="1" ht="38" customHeight="1">
      <c r="A36" s="750">
        <f t="shared" si="2"/>
        <v>30</v>
      </c>
      <c r="B36" s="751" t="s">
        <v>1646</v>
      </c>
      <c r="C36" s="750" t="s">
        <v>62</v>
      </c>
      <c r="D36" s="750" t="s">
        <v>897</v>
      </c>
      <c r="E36" s="782"/>
      <c r="F36" s="752">
        <v>45991</v>
      </c>
      <c r="G36" s="752">
        <v>46019</v>
      </c>
      <c r="H36" s="752">
        <v>46021</v>
      </c>
      <c r="I36" s="752">
        <v>46022</v>
      </c>
      <c r="J36" s="752">
        <v>46022</v>
      </c>
      <c r="K36" s="752">
        <v>46022</v>
      </c>
      <c r="L36" s="752">
        <v>46022</v>
      </c>
      <c r="M36" s="752">
        <v>46029</v>
      </c>
      <c r="N36" s="941" t="s">
        <v>631</v>
      </c>
      <c r="O36" s="1029" t="s">
        <v>3133</v>
      </c>
      <c r="P36" s="1029">
        <v>7</v>
      </c>
      <c r="Q36" s="858" t="s">
        <v>3242</v>
      </c>
    </row>
    <row r="37" spans="1:17" s="658" customFormat="1" ht="43" customHeight="1">
      <c r="A37" s="750">
        <f t="shared" si="2"/>
        <v>31</v>
      </c>
      <c r="B37" s="751" t="s">
        <v>1651</v>
      </c>
      <c r="C37" s="750" t="s">
        <v>1953</v>
      </c>
      <c r="D37" s="750" t="s">
        <v>1765</v>
      </c>
      <c r="E37" s="782"/>
      <c r="F37" s="752">
        <v>45994</v>
      </c>
      <c r="G37" s="752">
        <v>45997</v>
      </c>
      <c r="H37" s="752">
        <v>45998</v>
      </c>
      <c r="I37" s="752">
        <v>45999</v>
      </c>
      <c r="J37" s="752">
        <v>46000</v>
      </c>
      <c r="K37" s="752">
        <v>46001</v>
      </c>
      <c r="L37" s="752">
        <v>46001</v>
      </c>
      <c r="M37" s="752">
        <v>46003</v>
      </c>
      <c r="N37" s="941" t="s">
        <v>631</v>
      </c>
      <c r="O37" s="750" t="s">
        <v>2427</v>
      </c>
      <c r="P37" s="1029">
        <v>28</v>
      </c>
      <c r="Q37" s="858"/>
    </row>
    <row r="38" spans="1:17" s="658" customFormat="1" ht="38" customHeight="1">
      <c r="A38" s="750">
        <f t="shared" si="2"/>
        <v>32</v>
      </c>
      <c r="B38" s="751" t="s">
        <v>1647</v>
      </c>
      <c r="C38" s="750" t="s">
        <v>62</v>
      </c>
      <c r="D38" s="750" t="s">
        <v>897</v>
      </c>
      <c r="E38" s="783"/>
      <c r="F38" s="752">
        <v>45994</v>
      </c>
      <c r="G38" s="752">
        <v>46011</v>
      </c>
      <c r="H38" s="752">
        <v>46012</v>
      </c>
      <c r="I38" s="752">
        <v>46012</v>
      </c>
      <c r="J38" s="752">
        <v>46012</v>
      </c>
      <c r="K38" s="752">
        <v>46012</v>
      </c>
      <c r="L38" s="752">
        <v>46012</v>
      </c>
      <c r="M38" s="752">
        <v>46105</v>
      </c>
      <c r="N38" s="941" t="s">
        <v>631</v>
      </c>
      <c r="O38" s="1029" t="s">
        <v>2838</v>
      </c>
      <c r="P38" s="1029">
        <v>20</v>
      </c>
      <c r="Q38" s="858"/>
    </row>
    <row r="39" spans="1:17" s="658" customFormat="1" ht="38" customHeight="1">
      <c r="A39" s="750">
        <f t="shared" si="2"/>
        <v>33</v>
      </c>
      <c r="B39" s="751" t="s">
        <v>965</v>
      </c>
      <c r="C39" s="750" t="s">
        <v>76</v>
      </c>
      <c r="D39" s="750" t="s">
        <v>897</v>
      </c>
      <c r="E39" s="782"/>
      <c r="F39" s="752">
        <v>45996</v>
      </c>
      <c r="G39" s="752">
        <v>46003</v>
      </c>
      <c r="H39" s="752">
        <v>46003</v>
      </c>
      <c r="I39" s="752">
        <v>46004</v>
      </c>
      <c r="J39" s="752">
        <v>46004</v>
      </c>
      <c r="K39" s="752">
        <v>46004</v>
      </c>
      <c r="L39" s="752">
        <v>46004</v>
      </c>
      <c r="M39" s="752">
        <v>46006</v>
      </c>
      <c r="N39" s="941" t="s">
        <v>631</v>
      </c>
      <c r="O39" s="1029" t="s">
        <v>3095</v>
      </c>
      <c r="P39" s="1029">
        <v>17</v>
      </c>
      <c r="Q39" s="858"/>
    </row>
    <row r="40" spans="1:17" s="658" customFormat="1" ht="38" customHeight="1">
      <c r="A40" s="750">
        <f t="shared" si="2"/>
        <v>34</v>
      </c>
      <c r="B40" s="751" t="s">
        <v>1959</v>
      </c>
      <c r="C40" s="750" t="s">
        <v>76</v>
      </c>
      <c r="D40" s="750" t="s">
        <v>897</v>
      </c>
      <c r="E40" s="782"/>
      <c r="F40" s="752">
        <v>45996</v>
      </c>
      <c r="G40" s="752">
        <v>46009</v>
      </c>
      <c r="H40" s="752">
        <v>46010</v>
      </c>
      <c r="I40" s="752">
        <v>46010</v>
      </c>
      <c r="J40" s="752">
        <v>46010</v>
      </c>
      <c r="K40" s="752">
        <v>46010</v>
      </c>
      <c r="L40" s="752">
        <v>46010</v>
      </c>
      <c r="M40" s="752">
        <v>46014</v>
      </c>
      <c r="N40" s="941" t="s">
        <v>631</v>
      </c>
      <c r="O40" s="1029" t="s">
        <v>3104</v>
      </c>
      <c r="P40" s="1029">
        <v>15</v>
      </c>
      <c r="Q40" s="858"/>
    </row>
    <row r="41" spans="1:17" s="658" customFormat="1" ht="38" customHeight="1">
      <c r="A41" s="750">
        <f t="shared" si="2"/>
        <v>35</v>
      </c>
      <c r="B41" s="751" t="s">
        <v>3053</v>
      </c>
      <c r="C41" s="750" t="s">
        <v>1277</v>
      </c>
      <c r="D41" s="750" t="s">
        <v>897</v>
      </c>
      <c r="E41" s="782"/>
      <c r="F41" s="752">
        <v>46000</v>
      </c>
      <c r="G41" s="752">
        <v>46019</v>
      </c>
      <c r="H41" s="752">
        <v>46022</v>
      </c>
      <c r="I41" s="752">
        <v>46022</v>
      </c>
      <c r="J41" s="752">
        <v>46022</v>
      </c>
      <c r="K41" s="752">
        <v>46022</v>
      </c>
      <c r="L41" s="752">
        <v>46022</v>
      </c>
      <c r="M41" s="752">
        <v>46007</v>
      </c>
      <c r="N41" s="941" t="s">
        <v>631</v>
      </c>
      <c r="O41" s="1029" t="s">
        <v>2186</v>
      </c>
      <c r="P41" s="1029">
        <v>8</v>
      </c>
      <c r="Q41" s="858" t="s">
        <v>3240</v>
      </c>
    </row>
    <row r="42" spans="1:17" s="658" customFormat="1" ht="38" customHeight="1">
      <c r="A42" s="1047">
        <f t="shared" si="2"/>
        <v>36</v>
      </c>
      <c r="B42" s="1048" t="s">
        <v>3039</v>
      </c>
      <c r="C42" s="1047" t="s">
        <v>1277</v>
      </c>
      <c r="D42" s="1047" t="s">
        <v>897</v>
      </c>
      <c r="E42" s="947"/>
      <c r="F42" s="1049">
        <v>46001</v>
      </c>
      <c r="G42" s="1049">
        <v>46013</v>
      </c>
      <c r="H42" s="1049">
        <v>46014</v>
      </c>
      <c r="I42" s="1049">
        <v>46014</v>
      </c>
      <c r="J42" s="1049">
        <v>46014</v>
      </c>
      <c r="K42" s="1049">
        <v>46015</v>
      </c>
      <c r="L42" s="1049">
        <v>46015</v>
      </c>
      <c r="M42" s="1049">
        <v>46012</v>
      </c>
      <c r="N42" s="1050" t="s">
        <v>631</v>
      </c>
      <c r="O42" s="1060" t="s">
        <v>3074</v>
      </c>
      <c r="P42" s="1060">
        <v>12</v>
      </c>
      <c r="Q42" s="1051"/>
    </row>
    <row r="43" spans="1:17" s="658" customFormat="1" ht="38" customHeight="1">
      <c r="A43" s="1047">
        <f t="shared" si="2"/>
        <v>37</v>
      </c>
      <c r="B43" s="1048" t="s">
        <v>3063</v>
      </c>
      <c r="C43" s="1047" t="s">
        <v>1995</v>
      </c>
      <c r="D43" s="1047" t="s">
        <v>1765</v>
      </c>
      <c r="E43" s="947"/>
      <c r="F43" s="1049">
        <v>46002</v>
      </c>
      <c r="G43" s="1049">
        <v>46011</v>
      </c>
      <c r="H43" s="1049">
        <v>46012</v>
      </c>
      <c r="I43" s="1049">
        <v>46014</v>
      </c>
      <c r="J43" s="1049">
        <v>46014</v>
      </c>
      <c r="K43" s="1049">
        <v>46016</v>
      </c>
      <c r="L43" s="1049">
        <v>46016</v>
      </c>
      <c r="M43" s="1049">
        <v>46025</v>
      </c>
      <c r="N43" s="1050" t="s">
        <v>631</v>
      </c>
      <c r="O43" s="1060" t="s">
        <v>3105</v>
      </c>
      <c r="P43" s="1060">
        <v>16</v>
      </c>
      <c r="Q43" s="1051"/>
    </row>
    <row r="44" spans="1:17" s="658" customFormat="1" ht="38" customHeight="1">
      <c r="A44" s="1047">
        <f t="shared" si="2"/>
        <v>38</v>
      </c>
      <c r="B44" s="1048" t="s">
        <v>3065</v>
      </c>
      <c r="C44" s="1047" t="s">
        <v>1269</v>
      </c>
      <c r="D44" s="1047" t="s">
        <v>1765</v>
      </c>
      <c r="E44" s="947"/>
      <c r="F44" s="1049">
        <v>46003</v>
      </c>
      <c r="G44" s="1049">
        <v>46011</v>
      </c>
      <c r="H44" s="1049">
        <v>46013</v>
      </c>
      <c r="I44" s="1049">
        <v>46013</v>
      </c>
      <c r="J44" s="1049">
        <v>46014</v>
      </c>
      <c r="K44" s="1049">
        <v>46014</v>
      </c>
      <c r="L44" s="1049">
        <v>46014</v>
      </c>
      <c r="M44" s="1049">
        <v>46016</v>
      </c>
      <c r="N44" s="1050" t="s">
        <v>631</v>
      </c>
      <c r="O44" s="1060" t="s">
        <v>2427</v>
      </c>
      <c r="P44" s="1060">
        <v>28</v>
      </c>
      <c r="Q44" s="1051"/>
    </row>
    <row r="45" spans="1:17" s="658" customFormat="1" ht="38" customHeight="1">
      <c r="A45" s="750">
        <f t="shared" si="2"/>
        <v>39</v>
      </c>
      <c r="B45" s="751" t="s">
        <v>1662</v>
      </c>
      <c r="C45" s="750" t="s">
        <v>76</v>
      </c>
      <c r="D45" s="750" t="s">
        <v>897</v>
      </c>
      <c r="E45" s="782"/>
      <c r="F45" s="752">
        <v>46007</v>
      </c>
      <c r="G45" s="752">
        <v>46015</v>
      </c>
      <c r="H45" s="752">
        <v>46016</v>
      </c>
      <c r="I45" s="752">
        <v>46016</v>
      </c>
      <c r="J45" s="752">
        <v>46018</v>
      </c>
      <c r="K45" s="752">
        <v>46018</v>
      </c>
      <c r="L45" s="752">
        <v>46018</v>
      </c>
      <c r="M45" s="752">
        <v>46041</v>
      </c>
      <c r="N45" s="941" t="s">
        <v>631</v>
      </c>
      <c r="O45" s="1029" t="s">
        <v>3211</v>
      </c>
      <c r="P45" s="1029">
        <v>12</v>
      </c>
      <c r="Q45" s="858"/>
    </row>
    <row r="46" spans="1:17" s="658" customFormat="1" ht="38" customHeight="1">
      <c r="A46" s="1047">
        <f t="shared" si="2"/>
        <v>40</v>
      </c>
      <c r="B46" s="1048" t="s">
        <v>985</v>
      </c>
      <c r="C46" s="1047" t="s">
        <v>76</v>
      </c>
      <c r="D46" s="1047" t="s">
        <v>2736</v>
      </c>
      <c r="E46" s="947"/>
      <c r="F46" s="1049">
        <v>46008</v>
      </c>
      <c r="G46" s="1049">
        <v>46015</v>
      </c>
      <c r="H46" s="1049">
        <v>46015</v>
      </c>
      <c r="I46" s="1049">
        <v>46016</v>
      </c>
      <c r="J46" s="1049">
        <v>46016</v>
      </c>
      <c r="K46" s="1049">
        <v>46016</v>
      </c>
      <c r="L46" s="1049">
        <v>46016</v>
      </c>
      <c r="M46" s="1049">
        <v>46024</v>
      </c>
      <c r="N46" s="1050" t="s">
        <v>631</v>
      </c>
      <c r="O46" s="1060" t="s">
        <v>3095</v>
      </c>
      <c r="P46" s="1060">
        <v>17</v>
      </c>
      <c r="Q46" s="1051"/>
    </row>
    <row r="47" spans="1:17" s="658" customFormat="1" ht="38" customHeight="1">
      <c r="A47" s="750">
        <f t="shared" si="2"/>
        <v>41</v>
      </c>
      <c r="B47" s="751" t="s">
        <v>3051</v>
      </c>
      <c r="C47" s="750" t="s">
        <v>1269</v>
      </c>
      <c r="D47" s="750" t="s">
        <v>897</v>
      </c>
      <c r="E47" s="782"/>
      <c r="F47" s="752">
        <v>46010</v>
      </c>
      <c r="G47" s="752">
        <v>46033</v>
      </c>
      <c r="H47" s="752">
        <v>46038</v>
      </c>
      <c r="I47" s="752">
        <v>46038</v>
      </c>
      <c r="J47" s="752">
        <v>46038</v>
      </c>
      <c r="K47" s="752">
        <v>46040</v>
      </c>
      <c r="L47" s="752">
        <v>46040</v>
      </c>
      <c r="M47" s="752">
        <v>46024</v>
      </c>
      <c r="N47" s="941" t="s">
        <v>631</v>
      </c>
      <c r="O47" s="1029" t="s">
        <v>3104</v>
      </c>
      <c r="P47" s="1029">
        <v>15</v>
      </c>
      <c r="Q47" s="858"/>
    </row>
    <row r="48" spans="1:17" s="658" customFormat="1" ht="38" customHeight="1">
      <c r="A48" s="750">
        <f t="shared" si="2"/>
        <v>42</v>
      </c>
      <c r="B48" s="751" t="s">
        <v>3037</v>
      </c>
      <c r="C48" s="750" t="s">
        <v>1277</v>
      </c>
      <c r="D48" s="750" t="s">
        <v>897</v>
      </c>
      <c r="E48" s="782"/>
      <c r="F48" s="752">
        <v>46026</v>
      </c>
      <c r="G48" s="752">
        <v>46043</v>
      </c>
      <c r="H48" s="752">
        <v>46046</v>
      </c>
      <c r="I48" s="752">
        <v>46046</v>
      </c>
      <c r="J48" s="752">
        <v>46047</v>
      </c>
      <c r="K48" s="752">
        <v>46047</v>
      </c>
      <c r="L48" s="752">
        <v>46047</v>
      </c>
      <c r="M48" s="752"/>
      <c r="N48" s="941" t="s">
        <v>631</v>
      </c>
      <c r="O48" s="1029" t="s">
        <v>2838</v>
      </c>
      <c r="P48" s="1029">
        <v>20</v>
      </c>
      <c r="Q48" s="858" t="s">
        <v>3254</v>
      </c>
    </row>
    <row r="49" spans="1:17" s="658" customFormat="1" ht="38" customHeight="1">
      <c r="A49" s="750">
        <f t="shared" si="2"/>
        <v>43</v>
      </c>
      <c r="B49" s="751" t="s">
        <v>1636</v>
      </c>
      <c r="C49" s="750" t="s">
        <v>53</v>
      </c>
      <c r="D49" s="750" t="s">
        <v>897</v>
      </c>
      <c r="E49" s="783"/>
      <c r="F49" s="752">
        <v>46016</v>
      </c>
      <c r="G49" s="752">
        <v>46028</v>
      </c>
      <c r="H49" s="752">
        <v>46029</v>
      </c>
      <c r="I49" s="752">
        <v>46029</v>
      </c>
      <c r="J49" s="752">
        <v>46029</v>
      </c>
      <c r="K49" s="752">
        <v>46030</v>
      </c>
      <c r="L49" s="752">
        <v>46030</v>
      </c>
      <c r="M49" s="752">
        <v>46044</v>
      </c>
      <c r="N49" s="941" t="s">
        <v>631</v>
      </c>
      <c r="O49" s="1029" t="s">
        <v>3074</v>
      </c>
      <c r="P49" s="1029">
        <v>12</v>
      </c>
      <c r="Q49" s="858"/>
    </row>
    <row r="50" spans="1:17" s="658" customFormat="1" ht="38" customHeight="1">
      <c r="A50" s="750">
        <f t="shared" si="2"/>
        <v>44</v>
      </c>
      <c r="B50" s="751" t="s">
        <v>3047</v>
      </c>
      <c r="C50" s="750" t="s">
        <v>1319</v>
      </c>
      <c r="D50" s="750" t="s">
        <v>897</v>
      </c>
      <c r="E50" s="783"/>
      <c r="F50" s="752">
        <v>46015</v>
      </c>
      <c r="G50" s="752">
        <v>46026</v>
      </c>
      <c r="H50" s="752">
        <v>46027</v>
      </c>
      <c r="I50" s="752">
        <v>46029</v>
      </c>
      <c r="J50" s="752">
        <v>46029</v>
      </c>
      <c r="K50" s="752">
        <v>46030</v>
      </c>
      <c r="L50" s="752">
        <v>46030</v>
      </c>
      <c r="M50" s="752">
        <v>46099</v>
      </c>
      <c r="N50" s="941" t="s">
        <v>631</v>
      </c>
      <c r="O50" s="1029" t="s">
        <v>2838</v>
      </c>
      <c r="P50" s="1029">
        <v>20</v>
      </c>
      <c r="Q50" s="858"/>
    </row>
    <row r="51" spans="1:17" s="658" customFormat="1" ht="38" customHeight="1">
      <c r="A51" s="750">
        <f t="shared" si="2"/>
        <v>45</v>
      </c>
      <c r="B51" s="751" t="s">
        <v>765</v>
      </c>
      <c r="C51" s="750" t="s">
        <v>53</v>
      </c>
      <c r="D51" s="750" t="s">
        <v>897</v>
      </c>
      <c r="E51" s="782"/>
      <c r="F51" s="752">
        <v>46018</v>
      </c>
      <c r="G51" s="752">
        <v>46024</v>
      </c>
      <c r="H51" s="752">
        <v>46024</v>
      </c>
      <c r="I51" s="752">
        <v>46024</v>
      </c>
      <c r="J51" s="752">
        <v>46025</v>
      </c>
      <c r="K51" s="752">
        <v>46026</v>
      </c>
      <c r="L51" s="752">
        <v>46026</v>
      </c>
      <c r="M51" s="752">
        <v>46044</v>
      </c>
      <c r="N51" s="941" t="s">
        <v>631</v>
      </c>
      <c r="O51" s="1029" t="s">
        <v>3105</v>
      </c>
      <c r="P51" s="1029">
        <v>16</v>
      </c>
      <c r="Q51" s="858"/>
    </row>
    <row r="52" spans="1:17" s="658" customFormat="1" ht="38" customHeight="1">
      <c r="A52" s="750">
        <f t="shared" si="2"/>
        <v>46</v>
      </c>
      <c r="B52" s="751" t="s">
        <v>1663</v>
      </c>
      <c r="C52" s="750" t="s">
        <v>62</v>
      </c>
      <c r="D52" s="750" t="s">
        <v>897</v>
      </c>
      <c r="E52" s="782"/>
      <c r="F52" s="752">
        <v>46020</v>
      </c>
      <c r="G52" s="752">
        <v>46029</v>
      </c>
      <c r="H52" s="752">
        <v>46030</v>
      </c>
      <c r="I52" s="752">
        <v>46030</v>
      </c>
      <c r="J52" s="752">
        <v>46030</v>
      </c>
      <c r="K52" s="752">
        <v>46031</v>
      </c>
      <c r="L52" s="752">
        <v>46031</v>
      </c>
      <c r="M52" s="752">
        <v>46032</v>
      </c>
      <c r="N52" s="941" t="s">
        <v>631</v>
      </c>
      <c r="O52" s="1029" t="s">
        <v>3211</v>
      </c>
      <c r="P52" s="1029">
        <v>12</v>
      </c>
      <c r="Q52" s="858"/>
    </row>
    <row r="53" spans="1:17" s="658" customFormat="1" ht="38" customHeight="1">
      <c r="A53" s="750">
        <f t="shared" si="2"/>
        <v>47</v>
      </c>
      <c r="B53" s="751" t="s">
        <v>786</v>
      </c>
      <c r="C53" s="750" t="s">
        <v>76</v>
      </c>
      <c r="D53" s="750" t="s">
        <v>897</v>
      </c>
      <c r="E53" s="782"/>
      <c r="F53" s="752">
        <v>46020</v>
      </c>
      <c r="G53" s="752">
        <v>46029</v>
      </c>
      <c r="H53" s="752">
        <v>46031</v>
      </c>
      <c r="I53" s="752">
        <v>46031</v>
      </c>
      <c r="J53" s="752">
        <v>46031</v>
      </c>
      <c r="K53" s="752">
        <v>46031</v>
      </c>
      <c r="L53" s="752">
        <v>46031</v>
      </c>
      <c r="M53" s="752">
        <v>46032</v>
      </c>
      <c r="N53" s="941" t="s">
        <v>631</v>
      </c>
      <c r="O53" s="1029" t="s">
        <v>3095</v>
      </c>
      <c r="P53" s="1029">
        <v>17</v>
      </c>
      <c r="Q53" s="858"/>
    </row>
    <row r="54" spans="1:17" ht="36" customHeight="1">
      <c r="A54" s="750">
        <f t="shared" ref="A54:A63" si="3">A53+1</f>
        <v>48</v>
      </c>
      <c r="B54" s="751" t="s">
        <v>3050</v>
      </c>
      <c r="C54" s="750" t="s">
        <v>1269</v>
      </c>
      <c r="D54" s="750" t="s">
        <v>897</v>
      </c>
      <c r="E54" s="752"/>
      <c r="F54" s="752">
        <v>46026</v>
      </c>
      <c r="G54" s="752">
        <v>46043</v>
      </c>
      <c r="H54" s="752">
        <v>46051</v>
      </c>
      <c r="I54" s="752">
        <v>46051</v>
      </c>
      <c r="J54" s="752">
        <v>46051</v>
      </c>
      <c r="K54" s="752">
        <v>46053</v>
      </c>
      <c r="L54" s="752">
        <v>46053</v>
      </c>
      <c r="M54" s="752">
        <v>46111</v>
      </c>
      <c r="N54" s="941" t="s">
        <v>631</v>
      </c>
      <c r="O54" s="1029" t="s">
        <v>3104</v>
      </c>
      <c r="P54" s="941">
        <v>18</v>
      </c>
      <c r="Q54" s="1077"/>
    </row>
    <row r="55" spans="1:17" ht="36" customHeight="1">
      <c r="A55" s="750">
        <f t="shared" si="3"/>
        <v>49</v>
      </c>
      <c r="B55" s="751" t="s">
        <v>801</v>
      </c>
      <c r="C55" s="750" t="s">
        <v>76</v>
      </c>
      <c r="D55" s="750" t="s">
        <v>897</v>
      </c>
      <c r="E55" s="752"/>
      <c r="F55" s="752">
        <v>46029</v>
      </c>
      <c r="G55" s="752">
        <v>46033</v>
      </c>
      <c r="H55" s="752">
        <v>46034</v>
      </c>
      <c r="I55" s="752">
        <v>46034</v>
      </c>
      <c r="J55" s="752">
        <v>46034</v>
      </c>
      <c r="K55" s="752">
        <v>46034</v>
      </c>
      <c r="L55" s="752">
        <v>46034</v>
      </c>
      <c r="M55" s="1003">
        <v>46043</v>
      </c>
      <c r="N55" s="941" t="s">
        <v>631</v>
      </c>
      <c r="O55" s="1029" t="s">
        <v>3105</v>
      </c>
      <c r="P55" s="941">
        <v>16</v>
      </c>
      <c r="Q55" s="1077"/>
    </row>
    <row r="56" spans="1:17" ht="36" customHeight="1">
      <c r="A56" s="750">
        <f t="shared" si="3"/>
        <v>50</v>
      </c>
      <c r="B56" s="751" t="s">
        <v>654</v>
      </c>
      <c r="C56" s="750" t="s">
        <v>53</v>
      </c>
      <c r="D56" s="750" t="s">
        <v>897</v>
      </c>
      <c r="E56" s="752"/>
      <c r="F56" s="752">
        <v>46030</v>
      </c>
      <c r="G56" s="752">
        <v>46051</v>
      </c>
      <c r="H56" s="752">
        <v>46052</v>
      </c>
      <c r="I56" s="752">
        <v>46052</v>
      </c>
      <c r="J56" s="752">
        <v>46052</v>
      </c>
      <c r="K56" s="752">
        <v>46052</v>
      </c>
      <c r="L56" s="752">
        <v>46052</v>
      </c>
      <c r="M56" s="752">
        <v>46055</v>
      </c>
      <c r="N56" s="941" t="s">
        <v>631</v>
      </c>
      <c r="O56" s="1029" t="s">
        <v>3133</v>
      </c>
      <c r="P56" s="941">
        <v>7</v>
      </c>
      <c r="Q56" s="1077"/>
    </row>
    <row r="57" spans="1:17" ht="36" customHeight="1">
      <c r="A57" s="750">
        <f t="shared" si="3"/>
        <v>51</v>
      </c>
      <c r="B57" s="751" t="s">
        <v>770</v>
      </c>
      <c r="C57" s="750" t="s">
        <v>76</v>
      </c>
      <c r="D57" s="750" t="s">
        <v>3570</v>
      </c>
      <c r="E57" s="752"/>
      <c r="F57" s="752">
        <v>46031</v>
      </c>
      <c r="G57" s="752">
        <v>46148</v>
      </c>
      <c r="H57" s="752">
        <v>46149</v>
      </c>
      <c r="I57" s="752">
        <v>46149</v>
      </c>
      <c r="J57" s="752">
        <v>46149</v>
      </c>
      <c r="K57" s="752">
        <v>46149</v>
      </c>
      <c r="L57" s="752">
        <v>46149</v>
      </c>
      <c r="M57" s="941" t="s">
        <v>631</v>
      </c>
      <c r="N57" s="941" t="s">
        <v>631</v>
      </c>
      <c r="O57" s="1262" t="s">
        <v>3548</v>
      </c>
      <c r="P57" s="941">
        <v>10</v>
      </c>
      <c r="Q57" s="1077"/>
    </row>
    <row r="58" spans="1:17" ht="36" customHeight="1">
      <c r="A58" s="750">
        <f t="shared" si="3"/>
        <v>52</v>
      </c>
      <c r="B58" s="751" t="s">
        <v>1125</v>
      </c>
      <c r="C58" s="750" t="s">
        <v>76</v>
      </c>
      <c r="D58" s="750" t="s">
        <v>897</v>
      </c>
      <c r="E58" s="752"/>
      <c r="F58" s="752">
        <v>46033</v>
      </c>
      <c r="G58" s="752">
        <v>46042</v>
      </c>
      <c r="H58" s="752">
        <v>46043</v>
      </c>
      <c r="I58" s="752">
        <v>46043</v>
      </c>
      <c r="J58" s="752">
        <v>46043</v>
      </c>
      <c r="K58" s="752">
        <v>46043</v>
      </c>
      <c r="L58" s="752">
        <v>46043</v>
      </c>
      <c r="M58" s="1003">
        <v>46054</v>
      </c>
      <c r="N58" s="941" t="s">
        <v>631</v>
      </c>
      <c r="O58" s="1029" t="s">
        <v>2838</v>
      </c>
      <c r="P58" s="941">
        <v>20</v>
      </c>
      <c r="Q58" s="1077"/>
    </row>
    <row r="59" spans="1:17" ht="36" customHeight="1">
      <c r="A59" s="750">
        <f t="shared" si="3"/>
        <v>53</v>
      </c>
      <c r="B59" s="751" t="s">
        <v>2004</v>
      </c>
      <c r="C59" s="750" t="s">
        <v>76</v>
      </c>
      <c r="D59" s="750" t="s">
        <v>2736</v>
      </c>
      <c r="E59" s="752"/>
      <c r="F59" s="752">
        <v>46034</v>
      </c>
      <c r="G59" s="752">
        <v>46042</v>
      </c>
      <c r="H59" s="752">
        <v>46043</v>
      </c>
      <c r="I59" s="752">
        <v>46043</v>
      </c>
      <c r="J59" s="752">
        <v>46043</v>
      </c>
      <c r="K59" s="752">
        <v>46043</v>
      </c>
      <c r="L59" s="752">
        <v>46043</v>
      </c>
      <c r="M59" s="1003">
        <v>46061</v>
      </c>
      <c r="N59" s="941" t="s">
        <v>631</v>
      </c>
      <c r="O59" s="1029" t="s">
        <v>3095</v>
      </c>
      <c r="P59" s="941">
        <v>12</v>
      </c>
      <c r="Q59" s="1077"/>
    </row>
    <row r="60" spans="1:17" ht="36" customHeight="1">
      <c r="A60" s="750">
        <f t="shared" si="3"/>
        <v>54</v>
      </c>
      <c r="B60" s="751" t="s">
        <v>1637</v>
      </c>
      <c r="C60" s="750" t="s">
        <v>76</v>
      </c>
      <c r="D60" s="750" t="s">
        <v>897</v>
      </c>
      <c r="E60" s="752"/>
      <c r="F60" s="752">
        <v>46034</v>
      </c>
      <c r="G60" s="752">
        <v>46041</v>
      </c>
      <c r="H60" s="752">
        <v>46042</v>
      </c>
      <c r="I60" s="752">
        <v>46042</v>
      </c>
      <c r="J60" s="752">
        <v>46042</v>
      </c>
      <c r="K60" s="752">
        <v>46042</v>
      </c>
      <c r="L60" s="752">
        <v>46042</v>
      </c>
      <c r="M60" s="1003">
        <v>46044</v>
      </c>
      <c r="N60" s="941" t="s">
        <v>631</v>
      </c>
      <c r="O60" s="1029" t="s">
        <v>3074</v>
      </c>
      <c r="P60" s="941">
        <v>10</v>
      </c>
      <c r="Q60" s="1077"/>
    </row>
    <row r="61" spans="1:17" ht="36" customHeight="1">
      <c r="A61" s="750">
        <f t="shared" si="3"/>
        <v>55</v>
      </c>
      <c r="B61" s="751" t="s">
        <v>1963</v>
      </c>
      <c r="C61" s="750" t="s">
        <v>62</v>
      </c>
      <c r="D61" s="750" t="s">
        <v>897</v>
      </c>
      <c r="E61" s="752"/>
      <c r="F61" s="752">
        <v>46036</v>
      </c>
      <c r="G61" s="752">
        <v>46044</v>
      </c>
      <c r="H61" s="752">
        <v>46044</v>
      </c>
      <c r="I61" s="752">
        <v>46044</v>
      </c>
      <c r="J61" s="752">
        <v>46044</v>
      </c>
      <c r="K61" s="752">
        <v>46044</v>
      </c>
      <c r="L61" s="752">
        <v>46044</v>
      </c>
      <c r="M61" s="1003">
        <v>46044</v>
      </c>
      <c r="N61" s="941" t="s">
        <v>631</v>
      </c>
      <c r="O61" s="1029" t="s">
        <v>3211</v>
      </c>
      <c r="P61" s="941">
        <v>10</v>
      </c>
      <c r="Q61" s="860"/>
    </row>
    <row r="62" spans="1:17" ht="36" customHeight="1">
      <c r="A62" s="1047">
        <f t="shared" si="3"/>
        <v>56</v>
      </c>
      <c r="B62" s="1048" t="s">
        <v>2038</v>
      </c>
      <c r="C62" s="1047" t="s">
        <v>53</v>
      </c>
      <c r="D62" s="1047" t="s">
        <v>2736</v>
      </c>
      <c r="E62" s="1049"/>
      <c r="F62" s="1049">
        <v>46053</v>
      </c>
      <c r="G62" s="1049">
        <v>46066</v>
      </c>
      <c r="H62" s="1049">
        <v>46066</v>
      </c>
      <c r="I62" s="1049">
        <v>46066</v>
      </c>
      <c r="J62" s="1049">
        <v>46066</v>
      </c>
      <c r="K62" s="1049">
        <v>46067</v>
      </c>
      <c r="L62" s="1049">
        <v>46067</v>
      </c>
      <c r="M62" s="1063">
        <v>46076</v>
      </c>
      <c r="N62" s="1050"/>
      <c r="O62" s="1060" t="s">
        <v>3255</v>
      </c>
      <c r="P62" s="1050">
        <v>8</v>
      </c>
      <c r="Q62" s="1122"/>
    </row>
    <row r="63" spans="1:17" ht="36" customHeight="1">
      <c r="A63" s="750">
        <f t="shared" si="3"/>
        <v>57</v>
      </c>
      <c r="B63" s="751" t="s">
        <v>555</v>
      </c>
      <c r="C63" s="750" t="s">
        <v>76</v>
      </c>
      <c r="D63" s="750" t="s">
        <v>897</v>
      </c>
      <c r="E63" s="752"/>
      <c r="F63" s="752">
        <v>46038</v>
      </c>
      <c r="G63" s="752">
        <v>46042</v>
      </c>
      <c r="H63" s="752">
        <v>46043</v>
      </c>
      <c r="I63" s="752">
        <v>46043</v>
      </c>
      <c r="J63" s="752">
        <v>46043</v>
      </c>
      <c r="K63" s="752">
        <v>46043</v>
      </c>
      <c r="L63" s="752">
        <v>46043</v>
      </c>
      <c r="M63" s="1003">
        <v>46077</v>
      </c>
      <c r="N63" s="941" t="s">
        <v>631</v>
      </c>
      <c r="O63" s="1029" t="s">
        <v>3105</v>
      </c>
      <c r="P63" s="941">
        <v>16</v>
      </c>
      <c r="Q63" s="1077"/>
    </row>
    <row r="64" spans="1:17" ht="36" customHeight="1">
      <c r="A64" s="750">
        <f t="shared" ref="A64:A125" si="4">A63+1</f>
        <v>58</v>
      </c>
      <c r="B64" s="751" t="s">
        <v>503</v>
      </c>
      <c r="C64" s="750" t="s">
        <v>76</v>
      </c>
      <c r="D64" s="750" t="s">
        <v>897</v>
      </c>
      <c r="E64" s="752"/>
      <c r="F64" s="752">
        <v>46051</v>
      </c>
      <c r="G64" s="752">
        <v>46059</v>
      </c>
      <c r="H64" s="752">
        <v>46059</v>
      </c>
      <c r="I64" s="752">
        <v>46059</v>
      </c>
      <c r="J64" s="752">
        <v>46060</v>
      </c>
      <c r="K64" s="752">
        <v>46060</v>
      </c>
      <c r="L64" s="752">
        <v>46060</v>
      </c>
      <c r="M64" s="1003">
        <v>46078</v>
      </c>
      <c r="N64" s="941" t="s">
        <v>631</v>
      </c>
      <c r="O64" s="1029" t="s">
        <v>3105</v>
      </c>
      <c r="P64" s="941">
        <v>16</v>
      </c>
      <c r="Q64" s="1077"/>
    </row>
    <row r="65" spans="1:17" ht="36" customHeight="1">
      <c r="A65" s="750">
        <f t="shared" si="4"/>
        <v>59</v>
      </c>
      <c r="B65" s="751" t="s">
        <v>3042</v>
      </c>
      <c r="C65" s="750" t="s">
        <v>1935</v>
      </c>
      <c r="D65" s="750" t="s">
        <v>1765</v>
      </c>
      <c r="E65" s="752"/>
      <c r="F65" s="752">
        <v>46051</v>
      </c>
      <c r="G65" s="752">
        <v>46079</v>
      </c>
      <c r="H65" s="752">
        <v>46080</v>
      </c>
      <c r="I65" s="752">
        <v>46080</v>
      </c>
      <c r="J65" s="752">
        <v>46080</v>
      </c>
      <c r="K65" s="752">
        <v>46080</v>
      </c>
      <c r="L65" s="752">
        <v>46080</v>
      </c>
      <c r="M65" s="941"/>
      <c r="N65" s="941" t="s">
        <v>631</v>
      </c>
      <c r="O65" s="1029" t="s">
        <v>3104</v>
      </c>
      <c r="P65" s="941">
        <v>18</v>
      </c>
      <c r="Q65" s="1077"/>
    </row>
    <row r="66" spans="1:17" ht="36" customHeight="1">
      <c r="A66" s="750">
        <f t="shared" si="4"/>
        <v>60</v>
      </c>
      <c r="B66" s="751" t="s">
        <v>564</v>
      </c>
      <c r="C66" s="750" t="s">
        <v>62</v>
      </c>
      <c r="D66" s="750" t="s">
        <v>2736</v>
      </c>
      <c r="E66" s="752"/>
      <c r="F66" s="752">
        <v>46051</v>
      </c>
      <c r="G66" s="752">
        <v>46057</v>
      </c>
      <c r="H66" s="752">
        <v>46058</v>
      </c>
      <c r="I66" s="752">
        <v>46058</v>
      </c>
      <c r="J66" s="752">
        <v>46058</v>
      </c>
      <c r="K66" s="752">
        <v>46058</v>
      </c>
      <c r="L66" s="752">
        <v>46058</v>
      </c>
      <c r="M66" s="1003">
        <v>46078</v>
      </c>
      <c r="N66" s="941" t="s">
        <v>631</v>
      </c>
      <c r="O66" s="1029" t="s">
        <v>3095</v>
      </c>
      <c r="P66" s="941">
        <v>12</v>
      </c>
      <c r="Q66" s="1077"/>
    </row>
    <row r="67" spans="1:17" ht="36" customHeight="1">
      <c r="A67" s="750">
        <f t="shared" si="4"/>
        <v>61</v>
      </c>
      <c r="B67" s="751" t="s">
        <v>3036</v>
      </c>
      <c r="C67" s="750" t="s">
        <v>2197</v>
      </c>
      <c r="D67" s="750" t="s">
        <v>1765</v>
      </c>
      <c r="E67" s="752"/>
      <c r="F67" s="752">
        <v>46053</v>
      </c>
      <c r="G67" s="752">
        <v>46059</v>
      </c>
      <c r="H67" s="752">
        <v>46059</v>
      </c>
      <c r="I67" s="752">
        <v>46059</v>
      </c>
      <c r="J67" s="752">
        <v>46059</v>
      </c>
      <c r="K67" s="752">
        <v>46061</v>
      </c>
      <c r="L67" s="752">
        <v>46061</v>
      </c>
      <c r="M67" s="1003">
        <v>46106</v>
      </c>
      <c r="N67" s="941" t="s">
        <v>631</v>
      </c>
      <c r="O67" s="1029" t="s">
        <v>2838</v>
      </c>
      <c r="P67" s="941">
        <v>20</v>
      </c>
      <c r="Q67" s="1077"/>
    </row>
    <row r="68" spans="1:17" ht="36" customHeight="1">
      <c r="A68" s="750">
        <f t="shared" si="4"/>
        <v>62</v>
      </c>
      <c r="B68" s="751" t="s">
        <v>3031</v>
      </c>
      <c r="C68" s="750" t="s">
        <v>2023</v>
      </c>
      <c r="D68" s="750" t="s">
        <v>3301</v>
      </c>
      <c r="E68" s="752"/>
      <c r="F68" s="752">
        <v>46056</v>
      </c>
      <c r="G68" s="752">
        <v>46070</v>
      </c>
      <c r="H68" s="752">
        <v>46071</v>
      </c>
      <c r="I68" s="752">
        <v>46071</v>
      </c>
      <c r="J68" s="752">
        <v>46071</v>
      </c>
      <c r="K68" s="752">
        <v>46073</v>
      </c>
      <c r="L68" s="752">
        <v>46073</v>
      </c>
      <c r="M68" s="941"/>
      <c r="N68" s="941" t="s">
        <v>631</v>
      </c>
      <c r="O68" s="1029" t="s">
        <v>3211</v>
      </c>
      <c r="P68" s="941">
        <v>10</v>
      </c>
      <c r="Q68" s="1077"/>
    </row>
    <row r="69" spans="1:17" ht="36" customHeight="1">
      <c r="A69" s="750">
        <f t="shared" si="4"/>
        <v>63</v>
      </c>
      <c r="B69" s="751" t="s">
        <v>1648</v>
      </c>
      <c r="C69" s="750" t="s">
        <v>76</v>
      </c>
      <c r="D69" s="750" t="s">
        <v>897</v>
      </c>
      <c r="E69" s="752"/>
      <c r="F69" s="752">
        <v>46058</v>
      </c>
      <c r="G69" s="752">
        <v>46065</v>
      </c>
      <c r="H69" s="752">
        <v>46065</v>
      </c>
      <c r="I69" s="752">
        <v>46065</v>
      </c>
      <c r="J69" s="752">
        <v>46065</v>
      </c>
      <c r="K69" s="752">
        <v>46066</v>
      </c>
      <c r="L69" s="752">
        <v>46066</v>
      </c>
      <c r="M69" s="1003">
        <v>46079</v>
      </c>
      <c r="N69" s="941" t="s">
        <v>631</v>
      </c>
      <c r="O69" s="1029" t="s">
        <v>2838</v>
      </c>
      <c r="P69" s="941">
        <v>20</v>
      </c>
      <c r="Q69" s="1077"/>
    </row>
    <row r="70" spans="1:17" ht="36" customHeight="1">
      <c r="A70" s="750">
        <f t="shared" si="4"/>
        <v>64</v>
      </c>
      <c r="B70" s="751" t="s">
        <v>3055</v>
      </c>
      <c r="C70" s="750" t="s">
        <v>1319</v>
      </c>
      <c r="D70" s="750" t="s">
        <v>897</v>
      </c>
      <c r="E70" s="752"/>
      <c r="F70" s="752">
        <v>46058</v>
      </c>
      <c r="G70" s="752">
        <v>46153</v>
      </c>
      <c r="H70" s="752">
        <v>46163</v>
      </c>
      <c r="I70" s="752">
        <v>46163</v>
      </c>
      <c r="J70" s="752">
        <v>46174</v>
      </c>
      <c r="K70" s="752">
        <v>46176</v>
      </c>
      <c r="L70" s="752">
        <v>46176</v>
      </c>
      <c r="M70" s="941" t="s">
        <v>631</v>
      </c>
      <c r="N70" s="941" t="s">
        <v>631</v>
      </c>
      <c r="O70" s="1029" t="s">
        <v>2186</v>
      </c>
      <c r="P70" s="941">
        <v>5</v>
      </c>
      <c r="Q70" s="1077"/>
    </row>
    <row r="71" spans="1:17" ht="36" customHeight="1">
      <c r="A71" s="750">
        <f t="shared" si="4"/>
        <v>65</v>
      </c>
      <c r="B71" s="751" t="s">
        <v>3066</v>
      </c>
      <c r="C71" s="750" t="s">
        <v>1269</v>
      </c>
      <c r="D71" s="750" t="s">
        <v>897</v>
      </c>
      <c r="E71" s="752"/>
      <c r="F71" s="752">
        <v>46063</v>
      </c>
      <c r="G71" s="752">
        <v>46073</v>
      </c>
      <c r="H71" s="752">
        <v>46073</v>
      </c>
      <c r="I71" s="752">
        <v>46073</v>
      </c>
      <c r="J71" s="752">
        <v>46073</v>
      </c>
      <c r="K71" s="752">
        <v>46073</v>
      </c>
      <c r="L71" s="752">
        <v>46073</v>
      </c>
      <c r="M71" s="1003">
        <v>46147</v>
      </c>
      <c r="N71" s="941" t="s">
        <v>631</v>
      </c>
      <c r="O71" s="1029" t="s">
        <v>3095</v>
      </c>
      <c r="P71" s="941">
        <v>12</v>
      </c>
      <c r="Q71" s="1077"/>
    </row>
    <row r="72" spans="1:17" ht="36" customHeight="1">
      <c r="A72" s="750">
        <f t="shared" si="4"/>
        <v>66</v>
      </c>
      <c r="B72" s="751" t="s">
        <v>3064</v>
      </c>
      <c r="C72" s="750" t="s">
        <v>1269</v>
      </c>
      <c r="D72" s="750" t="s">
        <v>2736</v>
      </c>
      <c r="E72" s="752"/>
      <c r="F72" s="752">
        <v>46064</v>
      </c>
      <c r="G72" s="752">
        <v>46073</v>
      </c>
      <c r="H72" s="752">
        <v>46073</v>
      </c>
      <c r="I72" s="752">
        <v>46073</v>
      </c>
      <c r="J72" s="752">
        <v>46073</v>
      </c>
      <c r="K72" s="752">
        <v>46073</v>
      </c>
      <c r="L72" s="752">
        <v>46073</v>
      </c>
      <c r="M72" s="1003">
        <v>46098</v>
      </c>
      <c r="N72" s="941" t="s">
        <v>631</v>
      </c>
      <c r="O72" s="1029" t="s">
        <v>3105</v>
      </c>
      <c r="P72" s="941">
        <v>16</v>
      </c>
      <c r="Q72" s="1077"/>
    </row>
    <row r="73" spans="1:17" ht="36" customHeight="1">
      <c r="A73" s="750">
        <f t="shared" si="4"/>
        <v>67</v>
      </c>
      <c r="B73" s="751" t="s">
        <v>3046</v>
      </c>
      <c r="C73" s="750" t="s">
        <v>1319</v>
      </c>
      <c r="D73" s="750" t="s">
        <v>897</v>
      </c>
      <c r="E73" s="752"/>
      <c r="F73" s="752">
        <v>46068</v>
      </c>
      <c r="G73" s="752">
        <v>46078</v>
      </c>
      <c r="H73" s="752">
        <v>46078</v>
      </c>
      <c r="I73" s="752">
        <v>46078</v>
      </c>
      <c r="J73" s="752">
        <v>46078</v>
      </c>
      <c r="K73" s="752">
        <v>46078</v>
      </c>
      <c r="L73" s="752">
        <v>46078</v>
      </c>
      <c r="M73" s="752">
        <v>46099</v>
      </c>
      <c r="N73" s="941" t="s">
        <v>631</v>
      </c>
      <c r="O73" s="1029" t="s">
        <v>2838</v>
      </c>
      <c r="P73" s="941">
        <v>20</v>
      </c>
      <c r="Q73" s="1077"/>
    </row>
    <row r="74" spans="1:17" ht="36" customHeight="1">
      <c r="A74" s="1047">
        <f t="shared" si="4"/>
        <v>68</v>
      </c>
      <c r="B74" s="1048" t="s">
        <v>1653</v>
      </c>
      <c r="C74" s="1047" t="s">
        <v>62</v>
      </c>
      <c r="D74" s="1047" t="s">
        <v>3286</v>
      </c>
      <c r="E74" s="1049"/>
      <c r="F74" s="1049">
        <v>46066</v>
      </c>
      <c r="G74" s="1049">
        <v>46086</v>
      </c>
      <c r="H74" s="1049">
        <v>46088</v>
      </c>
      <c r="I74" s="1049">
        <v>46088</v>
      </c>
      <c r="J74" s="1049">
        <v>46088</v>
      </c>
      <c r="K74" s="1049">
        <v>46088</v>
      </c>
      <c r="L74" s="1049">
        <v>46088</v>
      </c>
      <c r="M74" s="1063">
        <v>46094</v>
      </c>
      <c r="N74" s="1050" t="s">
        <v>631</v>
      </c>
      <c r="O74" s="1060" t="s">
        <v>3133</v>
      </c>
      <c r="P74" s="1050">
        <v>8</v>
      </c>
      <c r="Q74" s="1122"/>
    </row>
    <row r="75" spans="1:17" ht="36" customHeight="1">
      <c r="A75" s="750">
        <f t="shared" si="4"/>
        <v>69</v>
      </c>
      <c r="B75" s="751" t="s">
        <v>2040</v>
      </c>
      <c r="C75" s="750" t="s">
        <v>76</v>
      </c>
      <c r="D75" s="750" t="s">
        <v>2736</v>
      </c>
      <c r="E75" s="752"/>
      <c r="F75" s="752">
        <v>46070</v>
      </c>
      <c r="G75" s="752">
        <v>46078</v>
      </c>
      <c r="H75" s="752">
        <v>46078</v>
      </c>
      <c r="I75" s="752">
        <v>46078</v>
      </c>
      <c r="J75" s="752">
        <v>46078</v>
      </c>
      <c r="K75" s="752">
        <v>46078</v>
      </c>
      <c r="L75" s="752">
        <v>46078</v>
      </c>
      <c r="M75" s="1003">
        <v>46094</v>
      </c>
      <c r="N75" s="941" t="s">
        <v>631</v>
      </c>
      <c r="O75" s="1029" t="s">
        <v>3255</v>
      </c>
      <c r="P75" s="941">
        <v>8</v>
      </c>
      <c r="Q75" s="860"/>
    </row>
    <row r="76" spans="1:17" ht="36" customHeight="1">
      <c r="A76" s="750">
        <f t="shared" si="4"/>
        <v>70</v>
      </c>
      <c r="B76" s="751" t="s">
        <v>502</v>
      </c>
      <c r="C76" s="750" t="s">
        <v>76</v>
      </c>
      <c r="D76" s="750" t="s">
        <v>2736</v>
      </c>
      <c r="E76" s="752"/>
      <c r="F76" s="752">
        <v>46076</v>
      </c>
      <c r="G76" s="752">
        <v>46079</v>
      </c>
      <c r="H76" s="752">
        <v>46080</v>
      </c>
      <c r="I76" s="752">
        <v>46080</v>
      </c>
      <c r="J76" s="752">
        <v>46080</v>
      </c>
      <c r="K76" s="752">
        <v>46080</v>
      </c>
      <c r="L76" s="752">
        <v>46080</v>
      </c>
      <c r="M76" s="1003">
        <v>46082</v>
      </c>
      <c r="N76" s="941" t="s">
        <v>631</v>
      </c>
      <c r="O76" s="1029" t="s">
        <v>3105</v>
      </c>
      <c r="P76" s="941">
        <v>16</v>
      </c>
      <c r="Q76" s="860"/>
    </row>
    <row r="77" spans="1:17" ht="36" customHeight="1">
      <c r="A77" s="1047">
        <f t="shared" si="4"/>
        <v>71</v>
      </c>
      <c r="B77" s="1048" t="s">
        <v>984</v>
      </c>
      <c r="C77" s="1047" t="s">
        <v>76</v>
      </c>
      <c r="D77" s="1047" t="s">
        <v>2736</v>
      </c>
      <c r="E77" s="1049"/>
      <c r="F77" s="1049">
        <v>46076</v>
      </c>
      <c r="G77" s="1049">
        <v>46089</v>
      </c>
      <c r="H77" s="1049">
        <v>46090</v>
      </c>
      <c r="I77" s="1049">
        <v>46090</v>
      </c>
      <c r="J77" s="1049">
        <v>46090</v>
      </c>
      <c r="K77" s="1049">
        <v>46090</v>
      </c>
      <c r="L77" s="1049">
        <v>46090</v>
      </c>
      <c r="M77" s="1050"/>
      <c r="N77" s="1050" t="s">
        <v>631</v>
      </c>
      <c r="O77" s="1060" t="s">
        <v>3211</v>
      </c>
      <c r="P77" s="1050">
        <v>10</v>
      </c>
      <c r="Q77" s="1122"/>
    </row>
    <row r="78" spans="1:17" ht="36" customHeight="1">
      <c r="A78" s="1047">
        <f t="shared" si="4"/>
        <v>72</v>
      </c>
      <c r="B78" s="1048" t="s">
        <v>2009</v>
      </c>
      <c r="C78" s="1047" t="s">
        <v>53</v>
      </c>
      <c r="D78" s="1047" t="s">
        <v>897</v>
      </c>
      <c r="E78" s="1049"/>
      <c r="F78" s="1049">
        <v>46076</v>
      </c>
      <c r="G78" s="1049">
        <v>46086</v>
      </c>
      <c r="H78" s="1049">
        <v>46086</v>
      </c>
      <c r="I78" s="1049">
        <v>46086</v>
      </c>
      <c r="J78" s="1049">
        <v>46086</v>
      </c>
      <c r="K78" s="1049">
        <v>46086</v>
      </c>
      <c r="L78" s="1049">
        <v>46086</v>
      </c>
      <c r="M78" s="1063">
        <v>46099</v>
      </c>
      <c r="N78" s="1050" t="s">
        <v>631</v>
      </c>
      <c r="O78" s="1060" t="s">
        <v>3095</v>
      </c>
      <c r="P78" s="1050">
        <v>12</v>
      </c>
      <c r="Q78" s="1122"/>
    </row>
    <row r="79" spans="1:17" ht="36" customHeight="1">
      <c r="A79" s="1047">
        <f t="shared" si="4"/>
        <v>73</v>
      </c>
      <c r="B79" s="1048" t="s">
        <v>2031</v>
      </c>
      <c r="C79" s="1047" t="s">
        <v>62</v>
      </c>
      <c r="D79" s="1047" t="s">
        <v>3286</v>
      </c>
      <c r="E79" s="1049"/>
      <c r="F79" s="1049">
        <v>46082</v>
      </c>
      <c r="G79" s="1049">
        <v>46086</v>
      </c>
      <c r="H79" s="1049">
        <v>46087</v>
      </c>
      <c r="I79" s="1049">
        <v>46087</v>
      </c>
      <c r="J79" s="1049">
        <v>46087</v>
      </c>
      <c r="K79" s="1049">
        <v>46087</v>
      </c>
      <c r="L79" s="1049">
        <v>46087</v>
      </c>
      <c r="M79" s="1063">
        <v>46099</v>
      </c>
      <c r="N79" s="1050" t="s">
        <v>631</v>
      </c>
      <c r="O79" s="1060" t="s">
        <v>3255</v>
      </c>
      <c r="P79" s="1050">
        <v>8</v>
      </c>
      <c r="Q79" s="1122"/>
    </row>
    <row r="80" spans="1:17" ht="36" customHeight="1">
      <c r="A80" s="750">
        <f t="shared" si="4"/>
        <v>74</v>
      </c>
      <c r="B80" s="751" t="s">
        <v>3034</v>
      </c>
      <c r="C80" s="750" t="s">
        <v>1977</v>
      </c>
      <c r="D80" s="750" t="s">
        <v>92</v>
      </c>
      <c r="E80" s="752"/>
      <c r="F80" s="752">
        <v>46082</v>
      </c>
      <c r="G80" s="752">
        <v>46086</v>
      </c>
      <c r="H80" s="752">
        <v>46089</v>
      </c>
      <c r="I80" s="752">
        <v>46089</v>
      </c>
      <c r="J80" s="752">
        <v>46089</v>
      </c>
      <c r="K80" s="752">
        <v>46089</v>
      </c>
      <c r="L80" s="752">
        <v>46089</v>
      </c>
      <c r="M80" s="1003">
        <v>46105</v>
      </c>
      <c r="N80" s="941" t="s">
        <v>631</v>
      </c>
      <c r="O80" s="1029" t="s">
        <v>2838</v>
      </c>
      <c r="P80" s="941">
        <v>20</v>
      </c>
      <c r="Q80" s="1077"/>
    </row>
    <row r="81" spans="1:17" ht="36" customHeight="1">
      <c r="A81" s="750">
        <f t="shared" si="4"/>
        <v>75</v>
      </c>
      <c r="B81" s="751" t="s">
        <v>3045</v>
      </c>
      <c r="C81" s="750" t="s">
        <v>1361</v>
      </c>
      <c r="D81" s="750" t="s">
        <v>2736</v>
      </c>
      <c r="E81" s="752"/>
      <c r="F81" s="752">
        <v>46082</v>
      </c>
      <c r="G81" s="752">
        <v>46095</v>
      </c>
      <c r="H81" s="752">
        <v>46095</v>
      </c>
      <c r="I81" s="752">
        <v>46095</v>
      </c>
      <c r="J81" s="752">
        <v>46095</v>
      </c>
      <c r="K81" s="752">
        <v>46096</v>
      </c>
      <c r="L81" s="752">
        <v>46096</v>
      </c>
      <c r="M81" s="1003">
        <v>46105</v>
      </c>
      <c r="N81" s="941" t="s">
        <v>631</v>
      </c>
      <c r="O81" s="1029" t="s">
        <v>2838</v>
      </c>
      <c r="P81" s="941">
        <v>20</v>
      </c>
      <c r="Q81" s="1077"/>
    </row>
    <row r="82" spans="1:17" ht="36" customHeight="1">
      <c r="A82" s="750">
        <f>A81+1</f>
        <v>76</v>
      </c>
      <c r="B82" s="751" t="s">
        <v>806</v>
      </c>
      <c r="C82" s="750" t="s">
        <v>62</v>
      </c>
      <c r="D82" s="750" t="s">
        <v>2736</v>
      </c>
      <c r="E82" s="752"/>
      <c r="F82" s="752">
        <v>46086</v>
      </c>
      <c r="G82" s="752">
        <v>46088</v>
      </c>
      <c r="H82" s="752">
        <v>46089</v>
      </c>
      <c r="I82" s="752">
        <v>46089</v>
      </c>
      <c r="J82" s="752">
        <v>46089</v>
      </c>
      <c r="K82" s="752">
        <v>46089</v>
      </c>
      <c r="L82" s="752">
        <v>46089</v>
      </c>
      <c r="M82" s="1003">
        <v>46100</v>
      </c>
      <c r="N82" s="941" t="s">
        <v>631</v>
      </c>
      <c r="O82" s="1029" t="s">
        <v>3105</v>
      </c>
      <c r="P82" s="941">
        <v>16</v>
      </c>
      <c r="Q82" s="1077"/>
    </row>
    <row r="83" spans="1:17" ht="36" customHeight="1">
      <c r="A83" s="750">
        <f t="shared" si="4"/>
        <v>77</v>
      </c>
      <c r="B83" s="751" t="s">
        <v>719</v>
      </c>
      <c r="C83" s="750" t="s">
        <v>76</v>
      </c>
      <c r="D83" s="750" t="s">
        <v>3287</v>
      </c>
      <c r="E83" s="752"/>
      <c r="F83" s="752">
        <v>46089</v>
      </c>
      <c r="G83" s="752">
        <v>46101</v>
      </c>
      <c r="H83" s="752">
        <v>46102</v>
      </c>
      <c r="I83" s="752">
        <v>46102</v>
      </c>
      <c r="J83" s="752">
        <v>46102</v>
      </c>
      <c r="K83" s="752">
        <v>46102</v>
      </c>
      <c r="L83" s="752">
        <v>46102</v>
      </c>
      <c r="M83" s="1003">
        <v>46104</v>
      </c>
      <c r="N83" s="941" t="s">
        <v>631</v>
      </c>
      <c r="O83" s="1029" t="s">
        <v>3105</v>
      </c>
      <c r="P83" s="941">
        <v>16</v>
      </c>
      <c r="Q83" s="1077"/>
    </row>
    <row r="84" spans="1:17" ht="36" customHeight="1">
      <c r="A84" s="750">
        <f t="shared" si="4"/>
        <v>78</v>
      </c>
      <c r="B84" s="751" t="s">
        <v>800</v>
      </c>
      <c r="C84" s="750" t="s">
        <v>76</v>
      </c>
      <c r="D84" s="750" t="s">
        <v>897</v>
      </c>
      <c r="E84" s="752"/>
      <c r="F84" s="752">
        <v>46089</v>
      </c>
      <c r="G84" s="752">
        <v>46092</v>
      </c>
      <c r="H84" s="752">
        <v>46092</v>
      </c>
      <c r="I84" s="752">
        <v>46092</v>
      </c>
      <c r="J84" s="752">
        <v>46092</v>
      </c>
      <c r="K84" s="752">
        <v>46092</v>
      </c>
      <c r="L84" s="752">
        <v>46092</v>
      </c>
      <c r="M84" s="1003">
        <v>46100</v>
      </c>
      <c r="N84" s="941" t="s">
        <v>631</v>
      </c>
      <c r="O84" s="1029" t="s">
        <v>3095</v>
      </c>
      <c r="P84" s="941">
        <v>12</v>
      </c>
      <c r="Q84" s="1077"/>
    </row>
    <row r="85" spans="1:17" ht="36" customHeight="1">
      <c r="A85" s="750">
        <f t="shared" si="4"/>
        <v>79</v>
      </c>
      <c r="B85" s="751" t="s">
        <v>3054</v>
      </c>
      <c r="C85" s="750" t="s">
        <v>1269</v>
      </c>
      <c r="D85" s="750" t="s">
        <v>897</v>
      </c>
      <c r="E85" s="752"/>
      <c r="F85" s="752">
        <v>46111</v>
      </c>
      <c r="G85" s="752">
        <v>46134</v>
      </c>
      <c r="H85" s="752">
        <v>46136</v>
      </c>
      <c r="I85" s="752">
        <v>46137</v>
      </c>
      <c r="J85" s="752">
        <v>46137</v>
      </c>
      <c r="K85" s="752">
        <v>46137</v>
      </c>
      <c r="L85" s="752">
        <v>46137</v>
      </c>
      <c r="M85" s="1003">
        <v>46143</v>
      </c>
      <c r="N85" s="941" t="s">
        <v>631</v>
      </c>
      <c r="O85" s="1029" t="s">
        <v>3211</v>
      </c>
      <c r="P85" s="941">
        <v>10</v>
      </c>
      <c r="Q85" s="1077"/>
    </row>
    <row r="86" spans="1:17" ht="36" customHeight="1">
      <c r="A86" s="750">
        <f t="shared" si="4"/>
        <v>80</v>
      </c>
      <c r="B86" s="751" t="s">
        <v>777</v>
      </c>
      <c r="C86" s="750" t="s">
        <v>76</v>
      </c>
      <c r="D86" s="750" t="s">
        <v>3287</v>
      </c>
      <c r="E86" s="752"/>
      <c r="F86" s="752">
        <v>46094</v>
      </c>
      <c r="G86" s="752">
        <v>46108</v>
      </c>
      <c r="H86" s="752">
        <v>46109</v>
      </c>
      <c r="I86" s="752">
        <v>46109</v>
      </c>
      <c r="J86" s="752">
        <v>46109</v>
      </c>
      <c r="K86" s="752">
        <v>46109</v>
      </c>
      <c r="L86" s="752">
        <v>46109</v>
      </c>
      <c r="M86" s="1003">
        <v>46111</v>
      </c>
      <c r="N86" s="941" t="s">
        <v>631</v>
      </c>
      <c r="O86" s="1029" t="s">
        <v>3095</v>
      </c>
      <c r="P86" s="941">
        <v>12</v>
      </c>
      <c r="Q86" s="1077"/>
    </row>
    <row r="87" spans="1:17" ht="36" customHeight="1">
      <c r="A87" s="750">
        <f t="shared" si="4"/>
        <v>81</v>
      </c>
      <c r="B87" s="751" t="s">
        <v>1632</v>
      </c>
      <c r="C87" s="750" t="s">
        <v>249</v>
      </c>
      <c r="D87" s="750" t="s">
        <v>897</v>
      </c>
      <c r="E87" s="752"/>
      <c r="F87" s="752">
        <v>46094</v>
      </c>
      <c r="G87" s="752">
        <v>46110</v>
      </c>
      <c r="H87" s="752">
        <v>46111</v>
      </c>
      <c r="I87" s="752">
        <v>46111</v>
      </c>
      <c r="J87" s="752">
        <v>46111</v>
      </c>
      <c r="K87" s="752">
        <v>46111</v>
      </c>
      <c r="L87" s="752">
        <v>46111</v>
      </c>
      <c r="M87" s="1003">
        <v>46144</v>
      </c>
      <c r="N87" s="941" t="s">
        <v>631</v>
      </c>
      <c r="O87" s="1029" t="s">
        <v>3133</v>
      </c>
      <c r="P87" s="941">
        <v>10</v>
      </c>
      <c r="Q87" s="1077"/>
    </row>
    <row r="88" spans="1:17" ht="36" customHeight="1">
      <c r="A88" s="750">
        <f t="shared" si="4"/>
        <v>82</v>
      </c>
      <c r="B88" s="751" t="s">
        <v>825</v>
      </c>
      <c r="C88" s="750" t="s">
        <v>62</v>
      </c>
      <c r="D88" s="750" t="s">
        <v>897</v>
      </c>
      <c r="E88" s="752"/>
      <c r="F88" s="752">
        <v>46103</v>
      </c>
      <c r="G88" s="752">
        <v>46110</v>
      </c>
      <c r="H88" s="752">
        <v>46111</v>
      </c>
      <c r="I88" s="752">
        <v>46111</v>
      </c>
      <c r="J88" s="752">
        <v>46111</v>
      </c>
      <c r="K88" s="752">
        <v>46111</v>
      </c>
      <c r="L88" s="752">
        <v>46111</v>
      </c>
      <c r="M88" s="1003">
        <v>46120</v>
      </c>
      <c r="N88" s="941" t="s">
        <v>631</v>
      </c>
      <c r="O88" s="1029" t="s">
        <v>3345</v>
      </c>
      <c r="P88" s="941">
        <v>8</v>
      </c>
      <c r="Q88" s="1077"/>
    </row>
    <row r="89" spans="1:17" ht="36" customHeight="1">
      <c r="A89" s="750">
        <f t="shared" si="4"/>
        <v>83</v>
      </c>
      <c r="B89" s="751" t="s">
        <v>1017</v>
      </c>
      <c r="C89" s="750" t="s">
        <v>76</v>
      </c>
      <c r="D89" s="750" t="s">
        <v>2736</v>
      </c>
      <c r="E89" s="752"/>
      <c r="F89" s="752">
        <v>46106</v>
      </c>
      <c r="G89" s="752">
        <v>46111</v>
      </c>
      <c r="H89" s="752">
        <v>46112</v>
      </c>
      <c r="I89" s="752">
        <v>46112</v>
      </c>
      <c r="J89" s="752">
        <v>46112</v>
      </c>
      <c r="K89" s="752">
        <v>46112</v>
      </c>
      <c r="L89" s="752">
        <v>46112</v>
      </c>
      <c r="M89" s="1003">
        <v>46120</v>
      </c>
      <c r="N89" s="941" t="s">
        <v>631</v>
      </c>
      <c r="O89" s="1029" t="s">
        <v>3105</v>
      </c>
      <c r="P89" s="941">
        <v>16</v>
      </c>
      <c r="Q89" s="1077"/>
    </row>
    <row r="90" spans="1:17" ht="36" customHeight="1">
      <c r="A90" s="750">
        <f t="shared" si="4"/>
        <v>84</v>
      </c>
      <c r="B90" s="751" t="s">
        <v>562</v>
      </c>
      <c r="C90" s="941" t="s">
        <v>3396</v>
      </c>
      <c r="D90" s="750" t="s">
        <v>2736</v>
      </c>
      <c r="E90" s="752"/>
      <c r="F90" s="752">
        <v>46107</v>
      </c>
      <c r="G90" s="752">
        <v>46116</v>
      </c>
      <c r="H90" s="752">
        <v>46117</v>
      </c>
      <c r="I90" s="752">
        <v>46117</v>
      </c>
      <c r="J90" s="752">
        <v>46117</v>
      </c>
      <c r="K90" s="752">
        <v>46117</v>
      </c>
      <c r="L90" s="752">
        <v>46117</v>
      </c>
      <c r="M90" s="1003">
        <v>46144</v>
      </c>
      <c r="N90" s="941" t="s">
        <v>631</v>
      </c>
      <c r="O90" s="1029" t="s">
        <v>3252</v>
      </c>
      <c r="P90" s="941">
        <v>14</v>
      </c>
      <c r="Q90" s="1077"/>
    </row>
    <row r="91" spans="1:17" ht="36" customHeight="1">
      <c r="A91" s="750">
        <f t="shared" si="4"/>
        <v>85</v>
      </c>
      <c r="B91" s="751" t="s">
        <v>3067</v>
      </c>
      <c r="C91" s="941" t="s">
        <v>1269</v>
      </c>
      <c r="D91" s="750" t="s">
        <v>3286</v>
      </c>
      <c r="E91" s="752"/>
      <c r="F91" s="752">
        <v>46130</v>
      </c>
      <c r="G91" s="752">
        <v>46136</v>
      </c>
      <c r="H91" s="752">
        <v>46137</v>
      </c>
      <c r="I91" s="752">
        <v>46137</v>
      </c>
      <c r="J91" s="752">
        <v>46137</v>
      </c>
      <c r="K91" s="752">
        <v>46138</v>
      </c>
      <c r="L91" s="752">
        <v>46138</v>
      </c>
      <c r="M91" s="1003">
        <v>46144</v>
      </c>
      <c r="N91" s="941" t="s">
        <v>631</v>
      </c>
      <c r="O91" s="1029" t="s">
        <v>3252</v>
      </c>
      <c r="P91" s="941">
        <v>12</v>
      </c>
      <c r="Q91" s="1077"/>
    </row>
    <row r="92" spans="1:17" ht="36" customHeight="1">
      <c r="A92" s="750">
        <f t="shared" si="4"/>
        <v>86</v>
      </c>
      <c r="B92" s="751" t="s">
        <v>834</v>
      </c>
      <c r="C92" s="941" t="s">
        <v>62</v>
      </c>
      <c r="D92" s="750" t="s">
        <v>2736</v>
      </c>
      <c r="E92" s="752"/>
      <c r="F92" s="752">
        <v>46112</v>
      </c>
      <c r="G92" s="752">
        <v>46124</v>
      </c>
      <c r="H92" s="752">
        <v>46125</v>
      </c>
      <c r="I92" s="752">
        <v>46125</v>
      </c>
      <c r="J92" s="752">
        <v>46125</v>
      </c>
      <c r="K92" s="752">
        <v>46125</v>
      </c>
      <c r="L92" s="752">
        <v>46125</v>
      </c>
      <c r="M92" s="1003">
        <v>46147</v>
      </c>
      <c r="N92" s="941" t="s">
        <v>631</v>
      </c>
      <c r="O92" s="1029" t="s">
        <v>3408</v>
      </c>
      <c r="P92" s="941">
        <v>10</v>
      </c>
      <c r="Q92" s="1077"/>
    </row>
    <row r="93" spans="1:17" ht="36" customHeight="1">
      <c r="A93" s="750">
        <f t="shared" si="4"/>
        <v>87</v>
      </c>
      <c r="B93" s="751" t="s">
        <v>3025</v>
      </c>
      <c r="C93" s="941" t="s">
        <v>2023</v>
      </c>
      <c r="D93" s="750" t="s">
        <v>1765</v>
      </c>
      <c r="E93" s="752"/>
      <c r="F93" s="752">
        <v>46113</v>
      </c>
      <c r="G93" s="752">
        <v>46128</v>
      </c>
      <c r="H93" s="752">
        <v>46133</v>
      </c>
      <c r="I93" s="752">
        <v>46137</v>
      </c>
      <c r="J93" s="752">
        <v>46141</v>
      </c>
      <c r="K93" s="752">
        <v>46141</v>
      </c>
      <c r="L93" s="752">
        <v>46141</v>
      </c>
      <c r="M93" s="941"/>
      <c r="N93" s="941" t="s">
        <v>631</v>
      </c>
      <c r="O93" s="1029" t="s">
        <v>3133</v>
      </c>
      <c r="P93" s="941">
        <v>10</v>
      </c>
      <c r="Q93" s="1077"/>
    </row>
    <row r="94" spans="1:17" ht="36" customHeight="1">
      <c r="A94" s="750">
        <f t="shared" si="4"/>
        <v>88</v>
      </c>
      <c r="B94" s="751" t="s">
        <v>1016</v>
      </c>
      <c r="C94" s="941" t="s">
        <v>76</v>
      </c>
      <c r="D94" s="750" t="s">
        <v>897</v>
      </c>
      <c r="E94" s="752"/>
      <c r="F94" s="752">
        <v>46123</v>
      </c>
      <c r="G94" s="752">
        <v>46127</v>
      </c>
      <c r="H94" s="752">
        <v>46128</v>
      </c>
      <c r="I94" s="752">
        <v>46128</v>
      </c>
      <c r="J94" s="752">
        <v>46128</v>
      </c>
      <c r="K94" s="752">
        <v>46128</v>
      </c>
      <c r="L94" s="752">
        <v>46128</v>
      </c>
      <c r="M94" s="1003">
        <v>46143</v>
      </c>
      <c r="N94" s="941" t="s">
        <v>631</v>
      </c>
      <c r="O94" s="1029" t="s">
        <v>3105</v>
      </c>
      <c r="P94" s="941">
        <v>14</v>
      </c>
      <c r="Q94" s="1077"/>
    </row>
    <row r="95" spans="1:17" ht="36" customHeight="1">
      <c r="A95" s="750">
        <f t="shared" si="4"/>
        <v>89</v>
      </c>
      <c r="B95" s="751" t="s">
        <v>3426</v>
      </c>
      <c r="C95" s="941" t="s">
        <v>1319</v>
      </c>
      <c r="D95" s="750" t="s">
        <v>92</v>
      </c>
      <c r="E95" s="752"/>
      <c r="F95" s="752">
        <v>46121</v>
      </c>
      <c r="G95" s="752">
        <v>46129</v>
      </c>
      <c r="H95" s="752">
        <v>46130</v>
      </c>
      <c r="I95" s="752">
        <v>46130</v>
      </c>
      <c r="J95" s="752">
        <v>46130</v>
      </c>
      <c r="K95" s="752">
        <v>46130</v>
      </c>
      <c r="L95" s="752">
        <v>46130</v>
      </c>
      <c r="M95" s="1003">
        <v>46143</v>
      </c>
      <c r="N95" s="941" t="s">
        <v>631</v>
      </c>
      <c r="O95" s="1029" t="s">
        <v>3413</v>
      </c>
      <c r="P95" s="941">
        <v>12</v>
      </c>
      <c r="Q95" s="1077"/>
    </row>
    <row r="96" spans="1:17" ht="36" customHeight="1">
      <c r="A96" s="750">
        <f t="shared" si="4"/>
        <v>90</v>
      </c>
      <c r="B96" s="751" t="s">
        <v>3024</v>
      </c>
      <c r="C96" s="941" t="s">
        <v>2212</v>
      </c>
      <c r="D96" s="750" t="s">
        <v>1765</v>
      </c>
      <c r="E96" s="752"/>
      <c r="F96" s="752">
        <v>46123</v>
      </c>
      <c r="G96" s="752">
        <v>46141</v>
      </c>
      <c r="H96" s="752">
        <v>46142</v>
      </c>
      <c r="I96" s="752">
        <v>46142</v>
      </c>
      <c r="J96" s="752">
        <v>46142</v>
      </c>
      <c r="K96" s="752">
        <v>46142</v>
      </c>
      <c r="L96" s="752">
        <v>46142</v>
      </c>
      <c r="M96" s="941"/>
      <c r="N96" s="941" t="s">
        <v>631</v>
      </c>
      <c r="O96" s="1029" t="s">
        <v>2838</v>
      </c>
      <c r="P96" s="941">
        <v>10</v>
      </c>
      <c r="Q96" s="1077"/>
    </row>
    <row r="97" spans="1:17" ht="36" customHeight="1">
      <c r="A97" s="750">
        <f t="shared" si="4"/>
        <v>91</v>
      </c>
      <c r="B97" s="751" t="s">
        <v>3061</v>
      </c>
      <c r="C97" s="941" t="s">
        <v>2023</v>
      </c>
      <c r="D97" s="750" t="s">
        <v>2736</v>
      </c>
      <c r="E97" s="752"/>
      <c r="F97" s="752">
        <v>46130</v>
      </c>
      <c r="G97" s="752">
        <v>46141</v>
      </c>
      <c r="H97" s="752">
        <v>46142</v>
      </c>
      <c r="I97" s="752">
        <v>46142</v>
      </c>
      <c r="J97" s="752">
        <v>46142</v>
      </c>
      <c r="K97" s="752">
        <v>46142</v>
      </c>
      <c r="L97" s="752">
        <v>46142</v>
      </c>
      <c r="M97" s="1003">
        <v>46148</v>
      </c>
      <c r="N97" s="941" t="s">
        <v>631</v>
      </c>
      <c r="O97" s="1029" t="s">
        <v>3408</v>
      </c>
      <c r="P97" s="941">
        <v>10</v>
      </c>
      <c r="Q97" s="1077"/>
    </row>
    <row r="98" spans="1:17" ht="36" customHeight="1">
      <c r="A98" s="750">
        <f t="shared" si="4"/>
        <v>92</v>
      </c>
      <c r="B98" s="751" t="s">
        <v>974</v>
      </c>
      <c r="C98" s="941" t="s">
        <v>62</v>
      </c>
      <c r="D98" s="750" t="s">
        <v>897</v>
      </c>
      <c r="E98" s="752"/>
      <c r="F98" s="752">
        <v>46136</v>
      </c>
      <c r="G98" s="752">
        <v>46140</v>
      </c>
      <c r="H98" s="752">
        <v>46141</v>
      </c>
      <c r="I98" s="752">
        <v>46141</v>
      </c>
      <c r="J98" s="752">
        <v>46141</v>
      </c>
      <c r="K98" s="752">
        <v>46141</v>
      </c>
      <c r="L98" s="752">
        <v>46141</v>
      </c>
      <c r="M98" s="1003">
        <v>46145</v>
      </c>
      <c r="N98" s="941" t="s">
        <v>631</v>
      </c>
      <c r="O98" s="1029" t="s">
        <v>3413</v>
      </c>
      <c r="P98" s="941">
        <v>12</v>
      </c>
      <c r="Q98" s="1077"/>
    </row>
    <row r="99" spans="1:17" ht="36" customHeight="1">
      <c r="A99" s="750">
        <f>A98+1</f>
        <v>93</v>
      </c>
      <c r="B99" s="751" t="s">
        <v>3058</v>
      </c>
      <c r="C99" s="941" t="s">
        <v>1269</v>
      </c>
      <c r="D99" s="750" t="s">
        <v>2736</v>
      </c>
      <c r="E99" s="752"/>
      <c r="F99" s="752">
        <v>46145</v>
      </c>
      <c r="G99" s="752">
        <v>46155</v>
      </c>
      <c r="H99" s="752">
        <v>46156</v>
      </c>
      <c r="I99" s="752">
        <v>46156</v>
      </c>
      <c r="J99" s="752">
        <v>46156</v>
      </c>
      <c r="K99" s="752">
        <v>46156</v>
      </c>
      <c r="L99" s="752">
        <v>46156</v>
      </c>
      <c r="M99" s="941"/>
      <c r="N99" s="941" t="s">
        <v>631</v>
      </c>
      <c r="O99" s="1029" t="s">
        <v>3413</v>
      </c>
      <c r="P99" s="941">
        <v>12</v>
      </c>
      <c r="Q99" s="1077"/>
    </row>
    <row r="100" spans="1:17" ht="36" customHeight="1">
      <c r="A100" s="750">
        <f t="shared" si="4"/>
        <v>94</v>
      </c>
      <c r="B100" s="751" t="s">
        <v>816</v>
      </c>
      <c r="C100" s="941" t="s">
        <v>90</v>
      </c>
      <c r="D100" s="750" t="s">
        <v>897</v>
      </c>
      <c r="E100" s="752"/>
      <c r="F100" s="752">
        <v>46147</v>
      </c>
      <c r="G100" s="752">
        <v>46157</v>
      </c>
      <c r="H100" s="752">
        <v>46158</v>
      </c>
      <c r="I100" s="752">
        <v>46158</v>
      </c>
      <c r="J100" s="752">
        <v>46158</v>
      </c>
      <c r="K100" s="752">
        <v>46158</v>
      </c>
      <c r="L100" s="752">
        <v>46158</v>
      </c>
      <c r="M100" s="941" t="s">
        <v>631</v>
      </c>
      <c r="N100" s="941" t="s">
        <v>631</v>
      </c>
      <c r="O100" s="1029" t="s">
        <v>3408</v>
      </c>
      <c r="P100" s="941">
        <v>10</v>
      </c>
      <c r="Q100" s="1077"/>
    </row>
    <row r="101" spans="1:17" ht="36" customHeight="1">
      <c r="A101" s="750">
        <f t="shared" si="4"/>
        <v>95</v>
      </c>
      <c r="B101" s="751" t="s">
        <v>1645</v>
      </c>
      <c r="C101" s="941" t="s">
        <v>62</v>
      </c>
      <c r="D101" s="750" t="s">
        <v>3549</v>
      </c>
      <c r="E101" s="752"/>
      <c r="F101" s="752">
        <v>46147</v>
      </c>
      <c r="G101" s="752">
        <v>46159</v>
      </c>
      <c r="H101" s="752">
        <v>46160</v>
      </c>
      <c r="I101" s="752">
        <v>46160</v>
      </c>
      <c r="J101" s="752">
        <v>46160</v>
      </c>
      <c r="K101" s="752">
        <v>46161</v>
      </c>
      <c r="L101" s="752">
        <v>46161</v>
      </c>
      <c r="M101" s="941"/>
      <c r="N101" s="941" t="s">
        <v>631</v>
      </c>
      <c r="O101" s="1029" t="s">
        <v>2838</v>
      </c>
      <c r="P101" s="941">
        <v>10</v>
      </c>
      <c r="Q101" s="1077"/>
    </row>
    <row r="102" spans="1:17" ht="36" customHeight="1">
      <c r="A102" s="750">
        <f t="shared" si="4"/>
        <v>96</v>
      </c>
      <c r="B102" s="751" t="s">
        <v>2030</v>
      </c>
      <c r="C102" s="941" t="s">
        <v>62</v>
      </c>
      <c r="D102" s="750" t="s">
        <v>3287</v>
      </c>
      <c r="E102" s="752"/>
      <c r="F102" s="752">
        <v>46153</v>
      </c>
      <c r="G102" s="752">
        <v>46158</v>
      </c>
      <c r="H102" s="752">
        <v>46159</v>
      </c>
      <c r="I102" s="752">
        <v>46159</v>
      </c>
      <c r="J102" s="752">
        <v>46159</v>
      </c>
      <c r="K102" s="752">
        <v>46159</v>
      </c>
      <c r="L102" s="752">
        <v>46159</v>
      </c>
      <c r="M102" s="941"/>
      <c r="N102" s="941" t="s">
        <v>631</v>
      </c>
      <c r="O102" s="1029" t="s">
        <v>3508</v>
      </c>
      <c r="P102" s="941">
        <v>21</v>
      </c>
      <c r="Q102" s="1077"/>
    </row>
    <row r="103" spans="1:17" ht="36" customHeight="1">
      <c r="A103" s="750">
        <f t="shared" si="4"/>
        <v>97</v>
      </c>
      <c r="B103" s="751" t="s">
        <v>3062</v>
      </c>
      <c r="C103" s="941" t="s">
        <v>2023</v>
      </c>
      <c r="D103" s="750" t="s">
        <v>2736</v>
      </c>
      <c r="E103" s="752"/>
      <c r="F103" s="752">
        <v>46151</v>
      </c>
      <c r="G103" s="752">
        <v>46165</v>
      </c>
      <c r="H103" s="752">
        <v>46167</v>
      </c>
      <c r="I103" s="752">
        <v>46167</v>
      </c>
      <c r="J103" s="752">
        <v>46167</v>
      </c>
      <c r="K103" s="752">
        <v>46168</v>
      </c>
      <c r="L103" s="752">
        <v>46168</v>
      </c>
      <c r="M103" s="941"/>
      <c r="N103" s="941" t="s">
        <v>631</v>
      </c>
      <c r="O103" s="1029" t="s">
        <v>3105</v>
      </c>
      <c r="P103" s="941">
        <v>14</v>
      </c>
      <c r="Q103" s="1077"/>
    </row>
    <row r="104" spans="1:17" ht="36" customHeight="1">
      <c r="A104" s="750">
        <f t="shared" si="4"/>
        <v>98</v>
      </c>
      <c r="B104" s="751" t="s">
        <v>2032</v>
      </c>
      <c r="C104" s="941" t="s">
        <v>76</v>
      </c>
      <c r="D104" s="750" t="s">
        <v>897</v>
      </c>
      <c r="E104" s="752"/>
      <c r="F104" s="752">
        <v>46157</v>
      </c>
      <c r="G104" s="752">
        <v>46178</v>
      </c>
      <c r="H104" s="752">
        <v>46178</v>
      </c>
      <c r="I104" s="752">
        <v>46178</v>
      </c>
      <c r="J104" s="752">
        <v>46178</v>
      </c>
      <c r="K104" s="752">
        <v>46179</v>
      </c>
      <c r="L104" s="752">
        <v>46179</v>
      </c>
      <c r="M104" s="1003">
        <v>46182</v>
      </c>
      <c r="N104" s="941" t="s">
        <v>631</v>
      </c>
      <c r="O104" s="1029" t="s">
        <v>3508</v>
      </c>
      <c r="P104" s="941">
        <v>16</v>
      </c>
      <c r="Q104" s="1077"/>
    </row>
    <row r="105" spans="1:17" ht="36" customHeight="1">
      <c r="A105" s="750">
        <f t="shared" si="4"/>
        <v>99</v>
      </c>
      <c r="B105" s="751" t="s">
        <v>829</v>
      </c>
      <c r="C105" s="941" t="s">
        <v>62</v>
      </c>
      <c r="D105" s="750" t="s">
        <v>3287</v>
      </c>
      <c r="E105" s="752"/>
      <c r="F105" s="752">
        <v>46158</v>
      </c>
      <c r="G105" s="752">
        <v>46166</v>
      </c>
      <c r="H105" s="752">
        <v>46167</v>
      </c>
      <c r="I105" s="752">
        <v>46167</v>
      </c>
      <c r="J105" s="752">
        <v>46167</v>
      </c>
      <c r="K105" s="752">
        <v>46167</v>
      </c>
      <c r="L105" s="752">
        <v>46167</v>
      </c>
      <c r="M105" s="941" t="s">
        <v>631</v>
      </c>
      <c r="N105" s="941" t="s">
        <v>631</v>
      </c>
      <c r="O105" s="1029" t="s">
        <v>3413</v>
      </c>
      <c r="P105" s="941">
        <v>12</v>
      </c>
      <c r="Q105" s="1077"/>
    </row>
    <row r="106" spans="1:17" ht="36" customHeight="1">
      <c r="A106" s="750">
        <f t="shared" si="4"/>
        <v>100</v>
      </c>
      <c r="B106" s="751" t="s">
        <v>3059</v>
      </c>
      <c r="C106" s="941" t="s">
        <v>1269</v>
      </c>
      <c r="D106" s="750" t="s">
        <v>2736</v>
      </c>
      <c r="E106" s="752"/>
      <c r="F106" s="752">
        <v>46159</v>
      </c>
      <c r="G106" s="752">
        <v>46166</v>
      </c>
      <c r="H106" s="752">
        <v>46167</v>
      </c>
      <c r="I106" s="752">
        <v>46167</v>
      </c>
      <c r="J106" s="752">
        <v>46167</v>
      </c>
      <c r="K106" s="752">
        <v>46167</v>
      </c>
      <c r="L106" s="752">
        <v>46167</v>
      </c>
      <c r="M106" s="941" t="s">
        <v>631</v>
      </c>
      <c r="N106" s="941" t="s">
        <v>631</v>
      </c>
      <c r="O106" s="1029" t="s">
        <v>3408</v>
      </c>
      <c r="P106" s="941">
        <v>10</v>
      </c>
      <c r="Q106" s="1077"/>
    </row>
    <row r="107" spans="1:17" ht="36" customHeight="1">
      <c r="A107" s="750">
        <f t="shared" si="4"/>
        <v>101</v>
      </c>
      <c r="B107" s="751" t="s">
        <v>2027</v>
      </c>
      <c r="C107" s="941" t="s">
        <v>62</v>
      </c>
      <c r="D107" s="750" t="s">
        <v>897</v>
      </c>
      <c r="E107" s="752"/>
      <c r="F107" s="752">
        <v>46160</v>
      </c>
      <c r="G107" s="752">
        <v>46164</v>
      </c>
      <c r="H107" s="752">
        <v>46164</v>
      </c>
      <c r="I107" s="752">
        <v>46164</v>
      </c>
      <c r="J107" s="752">
        <v>46165</v>
      </c>
      <c r="K107" s="752">
        <v>46165</v>
      </c>
      <c r="L107" s="752">
        <v>46165</v>
      </c>
      <c r="M107" s="941" t="s">
        <v>631</v>
      </c>
      <c r="N107" s="941" t="s">
        <v>631</v>
      </c>
      <c r="O107" s="1029" t="s">
        <v>3508</v>
      </c>
      <c r="P107" s="941">
        <v>21</v>
      </c>
      <c r="Q107" s="1077"/>
    </row>
    <row r="108" spans="1:17" ht="36" customHeight="1">
      <c r="A108" s="750">
        <f t="shared" si="4"/>
        <v>102</v>
      </c>
      <c r="B108" s="751" t="s">
        <v>1117</v>
      </c>
      <c r="C108" s="941" t="s">
        <v>62</v>
      </c>
      <c r="D108" s="750" t="s">
        <v>3549</v>
      </c>
      <c r="E108" s="752"/>
      <c r="F108" s="752">
        <v>46161</v>
      </c>
      <c r="G108" s="752">
        <v>46179</v>
      </c>
      <c r="H108" s="752">
        <v>46180</v>
      </c>
      <c r="I108" s="752">
        <v>46180</v>
      </c>
      <c r="J108" s="752">
        <v>46180</v>
      </c>
      <c r="K108" s="752">
        <v>46182</v>
      </c>
      <c r="L108" s="752">
        <v>46182</v>
      </c>
      <c r="M108" s="941"/>
      <c r="N108" s="941" t="s">
        <v>631</v>
      </c>
      <c r="O108" s="1029" t="s">
        <v>2838</v>
      </c>
      <c r="P108" s="941">
        <v>10</v>
      </c>
      <c r="Q108" s="1077"/>
    </row>
    <row r="109" spans="1:17" ht="36" customHeight="1">
      <c r="A109" s="750">
        <f t="shared" si="4"/>
        <v>103</v>
      </c>
      <c r="B109" s="751" t="s">
        <v>962</v>
      </c>
      <c r="C109" s="941" t="s">
        <v>53</v>
      </c>
      <c r="D109" s="750" t="s">
        <v>3287</v>
      </c>
      <c r="E109" s="752"/>
      <c r="F109" s="752">
        <v>46161</v>
      </c>
      <c r="G109" s="752">
        <v>46169</v>
      </c>
      <c r="H109" s="752">
        <v>46170</v>
      </c>
      <c r="I109" s="752">
        <v>46170</v>
      </c>
      <c r="J109" s="752">
        <v>46170</v>
      </c>
      <c r="K109" s="752">
        <v>46170</v>
      </c>
      <c r="L109" s="752">
        <v>46170</v>
      </c>
      <c r="M109" s="941" t="s">
        <v>631</v>
      </c>
      <c r="N109" s="941" t="s">
        <v>631</v>
      </c>
      <c r="O109" s="1029" t="s">
        <v>3105</v>
      </c>
      <c r="P109" s="941">
        <v>8</v>
      </c>
      <c r="Q109" s="1077"/>
    </row>
    <row r="110" spans="1:17" ht="36" customHeight="1">
      <c r="A110" s="750">
        <f t="shared" si="4"/>
        <v>104</v>
      </c>
      <c r="B110" s="751" t="s">
        <v>3056</v>
      </c>
      <c r="C110" s="941" t="s">
        <v>1277</v>
      </c>
      <c r="D110" s="750" t="s">
        <v>3287</v>
      </c>
      <c r="E110" s="752"/>
      <c r="F110" s="752">
        <v>46170</v>
      </c>
      <c r="G110" s="752">
        <v>46179</v>
      </c>
      <c r="H110" s="752">
        <v>46180</v>
      </c>
      <c r="I110" s="752">
        <v>46180</v>
      </c>
      <c r="J110" s="752">
        <v>46180</v>
      </c>
      <c r="K110" s="752">
        <v>46182</v>
      </c>
      <c r="L110" s="752">
        <v>46182</v>
      </c>
      <c r="M110" s="1003">
        <v>46182</v>
      </c>
      <c r="N110" s="941" t="s">
        <v>631</v>
      </c>
      <c r="O110" s="1029" t="s">
        <v>3413</v>
      </c>
      <c r="P110" s="941">
        <v>12</v>
      </c>
      <c r="Q110" s="1077"/>
    </row>
    <row r="111" spans="1:17" ht="36" customHeight="1">
      <c r="A111" s="750">
        <f t="shared" si="4"/>
        <v>105</v>
      </c>
      <c r="B111" s="751" t="s">
        <v>894</v>
      </c>
      <c r="C111" s="941" t="s">
        <v>53</v>
      </c>
      <c r="D111" s="750" t="s">
        <v>3287</v>
      </c>
      <c r="E111" s="752"/>
      <c r="F111" s="752">
        <v>46170</v>
      </c>
      <c r="G111" s="752">
        <v>46174</v>
      </c>
      <c r="H111" s="752">
        <v>46175</v>
      </c>
      <c r="I111" s="752">
        <v>46175</v>
      </c>
      <c r="J111" s="752">
        <v>46175</v>
      </c>
      <c r="K111" s="752">
        <v>46176</v>
      </c>
      <c r="L111" s="752">
        <v>46176</v>
      </c>
      <c r="M111" s="941" t="s">
        <v>631</v>
      </c>
      <c r="N111" s="941" t="s">
        <v>631</v>
      </c>
      <c r="O111" s="1029" t="s">
        <v>3408</v>
      </c>
      <c r="P111" s="941">
        <v>10</v>
      </c>
      <c r="Q111" s="1077"/>
    </row>
    <row r="112" spans="1:17" ht="36" customHeight="1">
      <c r="A112" s="750">
        <f t="shared" si="4"/>
        <v>106</v>
      </c>
      <c r="B112" s="751" t="s">
        <v>1015</v>
      </c>
      <c r="C112" s="941" t="s">
        <v>76</v>
      </c>
      <c r="D112" s="750" t="s">
        <v>2736</v>
      </c>
      <c r="E112" s="752"/>
      <c r="F112" s="752">
        <v>46175</v>
      </c>
      <c r="G112" s="752">
        <v>46181</v>
      </c>
      <c r="H112" s="752">
        <v>46182</v>
      </c>
      <c r="I112" s="752">
        <v>46182</v>
      </c>
      <c r="J112" s="752">
        <v>46182</v>
      </c>
      <c r="K112" s="752">
        <v>46182</v>
      </c>
      <c r="L112" s="752">
        <v>46182</v>
      </c>
      <c r="M112" s="1003">
        <v>46182</v>
      </c>
      <c r="N112" s="941" t="s">
        <v>631</v>
      </c>
      <c r="O112" s="1029" t="s">
        <v>3105</v>
      </c>
      <c r="P112" s="941">
        <v>12</v>
      </c>
      <c r="Q112" s="1077"/>
    </row>
    <row r="113" spans="1:17" ht="39.5" customHeight="1">
      <c r="A113" s="750">
        <f t="shared" si="4"/>
        <v>107</v>
      </c>
      <c r="B113" s="751" t="s">
        <v>322</v>
      </c>
      <c r="C113" s="941" t="s">
        <v>76</v>
      </c>
      <c r="D113" s="750" t="s">
        <v>3287</v>
      </c>
      <c r="E113" s="752"/>
      <c r="F113" s="752">
        <v>46175</v>
      </c>
      <c r="G113" s="752">
        <v>46187</v>
      </c>
      <c r="H113" s="752">
        <v>46188</v>
      </c>
      <c r="I113" s="752">
        <v>46188</v>
      </c>
      <c r="J113" s="752">
        <v>46188</v>
      </c>
      <c r="K113" s="752">
        <v>46192</v>
      </c>
      <c r="L113" s="752">
        <v>46192</v>
      </c>
      <c r="M113" s="941"/>
      <c r="N113" s="941" t="s">
        <v>631</v>
      </c>
      <c r="O113" s="1029" t="s">
        <v>3606</v>
      </c>
      <c r="P113" s="941">
        <v>8</v>
      </c>
      <c r="Q113" s="1077"/>
    </row>
    <row r="114" spans="1:17" ht="36" customHeight="1">
      <c r="A114" s="750">
        <f t="shared" si="4"/>
        <v>108</v>
      </c>
      <c r="B114" s="751" t="s">
        <v>336</v>
      </c>
      <c r="C114" s="941" t="s">
        <v>76</v>
      </c>
      <c r="D114" s="750" t="s">
        <v>3287</v>
      </c>
      <c r="E114" s="752"/>
      <c r="F114" s="752">
        <v>46178</v>
      </c>
      <c r="G114" s="752">
        <v>46187</v>
      </c>
      <c r="H114" s="752">
        <v>46187</v>
      </c>
      <c r="I114" s="752">
        <v>46187</v>
      </c>
      <c r="J114" s="752">
        <v>46187</v>
      </c>
      <c r="K114" s="752">
        <v>46188</v>
      </c>
      <c r="L114" s="752">
        <v>46188</v>
      </c>
      <c r="M114" s="941"/>
      <c r="N114" s="941" t="s">
        <v>631</v>
      </c>
      <c r="O114" s="1029" t="s">
        <v>3105</v>
      </c>
      <c r="P114" s="941">
        <v>12</v>
      </c>
      <c r="Q114" s="1077"/>
    </row>
    <row r="115" spans="1:17" ht="36" customHeight="1">
      <c r="A115" s="750">
        <f t="shared" si="4"/>
        <v>109</v>
      </c>
      <c r="B115" s="751" t="s">
        <v>814</v>
      </c>
      <c r="C115" s="941" t="s">
        <v>62</v>
      </c>
      <c r="D115" s="750" t="s">
        <v>897</v>
      </c>
      <c r="E115" s="752"/>
      <c r="F115" s="752">
        <v>46180</v>
      </c>
      <c r="G115" s="752">
        <v>46185</v>
      </c>
      <c r="H115" s="752">
        <v>46186</v>
      </c>
      <c r="I115" s="752">
        <v>46186</v>
      </c>
      <c r="J115" s="752">
        <v>46186</v>
      </c>
      <c r="K115" s="752">
        <v>46187</v>
      </c>
      <c r="L115" s="752">
        <v>46187</v>
      </c>
      <c r="M115" s="941" t="s">
        <v>631</v>
      </c>
      <c r="N115" s="941" t="s">
        <v>631</v>
      </c>
      <c r="O115" s="1029" t="s">
        <v>3628</v>
      </c>
      <c r="P115" s="941">
        <v>10</v>
      </c>
      <c r="Q115" s="1077"/>
    </row>
    <row r="116" spans="1:17" ht="36" customHeight="1">
      <c r="A116" s="750">
        <f t="shared" si="4"/>
        <v>110</v>
      </c>
      <c r="B116" s="751" t="s">
        <v>3071</v>
      </c>
      <c r="C116" s="941" t="s">
        <v>1277</v>
      </c>
      <c r="D116" s="750" t="s">
        <v>3287</v>
      </c>
      <c r="E116" s="752"/>
      <c r="F116" s="752">
        <v>46181</v>
      </c>
      <c r="G116" s="752">
        <v>46186</v>
      </c>
      <c r="H116" s="752">
        <v>46187</v>
      </c>
      <c r="I116" s="752">
        <v>46187</v>
      </c>
      <c r="J116" s="752">
        <v>46187</v>
      </c>
      <c r="K116" s="752">
        <v>46188</v>
      </c>
      <c r="L116" s="752">
        <v>46188</v>
      </c>
      <c r="M116" s="941" t="s">
        <v>631</v>
      </c>
      <c r="N116" s="941" t="s">
        <v>631</v>
      </c>
      <c r="O116" s="1029" t="s">
        <v>3508</v>
      </c>
      <c r="P116" s="941">
        <v>16</v>
      </c>
      <c r="Q116" s="1077"/>
    </row>
    <row r="117" spans="1:17" ht="36" customHeight="1">
      <c r="A117" s="750">
        <f t="shared" si="4"/>
        <v>111</v>
      </c>
      <c r="B117" s="751" t="s">
        <v>2044</v>
      </c>
      <c r="C117" s="941" t="s">
        <v>1934</v>
      </c>
      <c r="D117" s="750" t="s">
        <v>897</v>
      </c>
      <c r="E117" s="752"/>
      <c r="F117" s="752">
        <v>46181</v>
      </c>
      <c r="G117" s="752">
        <v>46198</v>
      </c>
      <c r="H117" s="752">
        <v>46198</v>
      </c>
      <c r="I117" s="752">
        <v>46198</v>
      </c>
      <c r="J117" s="752">
        <v>46198</v>
      </c>
      <c r="K117" s="752">
        <v>46203</v>
      </c>
      <c r="L117" s="752">
        <v>46203</v>
      </c>
      <c r="M117" s="941"/>
      <c r="N117" s="941" t="s">
        <v>631</v>
      </c>
      <c r="O117" s="1029" t="s">
        <v>3617</v>
      </c>
      <c r="P117" s="941">
        <v>12</v>
      </c>
      <c r="Q117" s="1077"/>
    </row>
    <row r="118" spans="1:17" ht="36" customHeight="1">
      <c r="A118" s="750">
        <f t="shared" si="4"/>
        <v>112</v>
      </c>
      <c r="B118" s="751" t="s">
        <v>3068</v>
      </c>
      <c r="C118" s="941" t="s">
        <v>1269</v>
      </c>
      <c r="D118" s="750" t="s">
        <v>3287</v>
      </c>
      <c r="E118" s="752"/>
      <c r="F118" s="752">
        <v>46185</v>
      </c>
      <c r="G118" s="752">
        <v>46194</v>
      </c>
      <c r="H118" s="752">
        <v>46195</v>
      </c>
      <c r="I118" s="752">
        <v>46195</v>
      </c>
      <c r="J118" s="752">
        <v>46195</v>
      </c>
      <c r="K118" s="752">
        <v>46196</v>
      </c>
      <c r="L118" s="752">
        <v>46196</v>
      </c>
      <c r="M118" s="941" t="s">
        <v>631</v>
      </c>
      <c r="N118" s="941" t="s">
        <v>631</v>
      </c>
      <c r="O118" s="1029" t="s">
        <v>3105</v>
      </c>
      <c r="P118" s="941">
        <v>12</v>
      </c>
      <c r="Q118" s="1077"/>
    </row>
    <row r="119" spans="1:17" ht="36" customHeight="1">
      <c r="A119" s="750">
        <f t="shared" si="4"/>
        <v>113</v>
      </c>
      <c r="B119" s="751" t="s">
        <v>3033</v>
      </c>
      <c r="C119" s="941" t="s">
        <v>1988</v>
      </c>
      <c r="D119" s="750" t="s">
        <v>1765</v>
      </c>
      <c r="E119" s="752"/>
      <c r="F119" s="752">
        <v>46185</v>
      </c>
      <c r="G119" s="752">
        <v>46203</v>
      </c>
      <c r="H119" s="752">
        <v>46204</v>
      </c>
      <c r="I119" s="752">
        <v>46204</v>
      </c>
      <c r="J119" s="752">
        <v>46216</v>
      </c>
      <c r="K119" s="752">
        <v>46217</v>
      </c>
      <c r="L119" s="752">
        <v>46217</v>
      </c>
      <c r="M119" s="941"/>
      <c r="N119" s="941" t="s">
        <v>631</v>
      </c>
      <c r="O119" s="1029" t="s">
        <v>2838</v>
      </c>
      <c r="P119" s="941">
        <v>10</v>
      </c>
      <c r="Q119" s="1077"/>
    </row>
    <row r="120" spans="1:17" ht="36" customHeight="1">
      <c r="A120" s="750">
        <f t="shared" si="4"/>
        <v>114</v>
      </c>
      <c r="B120" s="751" t="s">
        <v>2034</v>
      </c>
      <c r="C120" s="941" t="s">
        <v>76</v>
      </c>
      <c r="D120" s="750" t="s">
        <v>3287</v>
      </c>
      <c r="E120" s="752"/>
      <c r="F120" s="752">
        <v>46187</v>
      </c>
      <c r="G120" s="752">
        <v>46191</v>
      </c>
      <c r="H120" s="752">
        <v>46191</v>
      </c>
      <c r="I120" s="752">
        <v>46191</v>
      </c>
      <c r="J120" s="752">
        <v>46192</v>
      </c>
      <c r="K120" s="752">
        <v>46192</v>
      </c>
      <c r="L120" s="752">
        <v>46192</v>
      </c>
      <c r="M120" s="941" t="s">
        <v>631</v>
      </c>
      <c r="N120" s="941" t="s">
        <v>631</v>
      </c>
      <c r="O120" s="1029" t="s">
        <v>3508</v>
      </c>
      <c r="P120" s="941">
        <v>12</v>
      </c>
      <c r="Q120" s="1077"/>
    </row>
    <row r="121" spans="1:17" ht="36" customHeight="1">
      <c r="A121" s="750">
        <f t="shared" si="4"/>
        <v>115</v>
      </c>
      <c r="B121" s="751" t="s">
        <v>2042</v>
      </c>
      <c r="C121" s="941" t="s">
        <v>76</v>
      </c>
      <c r="D121" s="750" t="s">
        <v>897</v>
      </c>
      <c r="E121" s="752"/>
      <c r="F121" s="752">
        <v>46190</v>
      </c>
      <c r="G121" s="752">
        <v>46196</v>
      </c>
      <c r="H121" s="752">
        <v>46196</v>
      </c>
      <c r="I121" s="752">
        <v>46198</v>
      </c>
      <c r="J121" s="752">
        <v>46198</v>
      </c>
      <c r="K121" s="752">
        <v>46198</v>
      </c>
      <c r="L121" s="752">
        <v>46198</v>
      </c>
      <c r="M121" s="941"/>
      <c r="N121" s="941" t="s">
        <v>631</v>
      </c>
      <c r="O121" s="1029" t="s">
        <v>3508</v>
      </c>
      <c r="P121" s="941">
        <v>18</v>
      </c>
      <c r="Q121" s="1077"/>
    </row>
    <row r="122" spans="1:17" ht="36" customHeight="1">
      <c r="A122" s="750">
        <f t="shared" si="4"/>
        <v>116</v>
      </c>
      <c r="B122" s="751" t="s">
        <v>3029</v>
      </c>
      <c r="C122" s="941" t="s">
        <v>2212</v>
      </c>
      <c r="D122" s="750" t="s">
        <v>2736</v>
      </c>
      <c r="E122" s="752"/>
      <c r="F122" s="752">
        <v>46194</v>
      </c>
      <c r="G122" s="752">
        <v>46202</v>
      </c>
      <c r="H122" s="752">
        <v>46202</v>
      </c>
      <c r="I122" s="752">
        <v>46202</v>
      </c>
      <c r="J122" s="752">
        <v>46202</v>
      </c>
      <c r="K122" s="752">
        <v>46203</v>
      </c>
      <c r="L122" s="752">
        <v>46203</v>
      </c>
      <c r="M122" s="941"/>
      <c r="N122" s="941" t="s">
        <v>631</v>
      </c>
      <c r="O122" s="1029" t="s">
        <v>3628</v>
      </c>
      <c r="P122" s="941">
        <v>18</v>
      </c>
      <c r="Q122" s="1077"/>
    </row>
    <row r="123" spans="1:17" ht="36" customHeight="1">
      <c r="A123" s="750">
        <f t="shared" si="4"/>
        <v>117</v>
      </c>
      <c r="B123" s="751" t="s">
        <v>3072</v>
      </c>
      <c r="C123" s="941" t="s">
        <v>3643</v>
      </c>
      <c r="D123" s="750" t="s">
        <v>897</v>
      </c>
      <c r="E123" s="752"/>
      <c r="F123" s="752">
        <v>46195</v>
      </c>
      <c r="G123" s="752">
        <v>46209</v>
      </c>
      <c r="H123" s="752">
        <v>46210</v>
      </c>
      <c r="I123" s="752">
        <v>46210</v>
      </c>
      <c r="J123" s="752">
        <v>46212</v>
      </c>
      <c r="K123" s="752">
        <v>46216</v>
      </c>
      <c r="L123" s="752">
        <v>46216</v>
      </c>
      <c r="M123" s="941"/>
      <c r="N123" s="941" t="s">
        <v>631</v>
      </c>
      <c r="O123" s="1029" t="s">
        <v>3508</v>
      </c>
      <c r="P123" s="941">
        <v>18</v>
      </c>
      <c r="Q123" s="1077"/>
    </row>
    <row r="124" spans="1:17" ht="36" customHeight="1">
      <c r="A124" s="655">
        <f t="shared" si="4"/>
        <v>118</v>
      </c>
      <c r="B124" s="656" t="s">
        <v>2392</v>
      </c>
      <c r="C124" s="1176" t="s">
        <v>3656</v>
      </c>
      <c r="D124" s="1012" t="s">
        <v>1765</v>
      </c>
      <c r="E124" s="657"/>
      <c r="F124" s="657">
        <v>46201</v>
      </c>
      <c r="G124" s="657">
        <v>46212</v>
      </c>
      <c r="H124" s="657">
        <v>46213</v>
      </c>
      <c r="I124" s="657">
        <v>46213</v>
      </c>
      <c r="J124" s="657">
        <v>46214</v>
      </c>
      <c r="K124" s="657"/>
      <c r="L124" s="657"/>
      <c r="M124" s="811"/>
      <c r="N124" s="929" t="s">
        <v>22</v>
      </c>
      <c r="O124" s="1046" t="s">
        <v>3105</v>
      </c>
      <c r="P124" s="929">
        <v>16</v>
      </c>
      <c r="Q124" s="1125" t="s">
        <v>3719</v>
      </c>
    </row>
    <row r="125" spans="1:17" ht="36" customHeight="1">
      <c r="A125" s="655">
        <f t="shared" si="4"/>
        <v>119</v>
      </c>
      <c r="B125" s="656" t="s">
        <v>2036</v>
      </c>
      <c r="C125" s="1176" t="s">
        <v>62</v>
      </c>
      <c r="D125" s="1012" t="s">
        <v>897</v>
      </c>
      <c r="E125" s="657"/>
      <c r="F125" s="657">
        <v>46219</v>
      </c>
      <c r="G125" s="657"/>
      <c r="H125" s="657"/>
      <c r="I125" s="657"/>
      <c r="J125" s="657"/>
      <c r="K125" s="657"/>
      <c r="L125" s="657"/>
      <c r="M125" s="811"/>
      <c r="N125" s="929" t="s">
        <v>22</v>
      </c>
      <c r="O125" s="1046" t="s">
        <v>3508</v>
      </c>
      <c r="P125" s="929">
        <v>18</v>
      </c>
      <c r="Q125" s="1125" t="s">
        <v>3720</v>
      </c>
    </row>
  </sheetData>
  <autoFilter ref="A6:T124"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98" priority="1"/>
  </conditionalFormatting>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1E9AA-CBF4-42B3-A2EC-01DB676B001B}">
  <sheetPr filterMode="1">
    <tabColor rgb="FF00B0F0"/>
  </sheetPr>
  <dimension ref="C1:O55"/>
  <sheetViews>
    <sheetView workbookViewId="0">
      <selection activeCell="M32" sqref="M30:M32"/>
    </sheetView>
  </sheetViews>
  <sheetFormatPr defaultRowHeight="14.5"/>
  <cols>
    <col min="3" max="3" width="9.1796875" bestFit="1" customWidth="1"/>
    <col min="5" max="5" width="12.26953125" bestFit="1" customWidth="1"/>
    <col min="6" max="6" width="11.6328125" bestFit="1" customWidth="1"/>
  </cols>
  <sheetData>
    <row r="1" spans="3:8">
      <c r="C1" s="13" t="s">
        <v>1782</v>
      </c>
      <c r="D1" s="13" t="s">
        <v>3214</v>
      </c>
      <c r="E1" s="13" t="s">
        <v>1405</v>
      </c>
      <c r="F1" s="13" t="s">
        <v>45</v>
      </c>
      <c r="G1" s="13" t="s">
        <v>3346</v>
      </c>
      <c r="H1" s="13" t="s">
        <v>3347</v>
      </c>
    </row>
    <row r="2" spans="3:8" hidden="1">
      <c r="C2" s="13">
        <v>1</v>
      </c>
      <c r="D2" s="13" t="s">
        <v>1653</v>
      </c>
      <c r="E2" s="13" t="s">
        <v>62</v>
      </c>
      <c r="F2" s="13" t="s">
        <v>3286</v>
      </c>
      <c r="G2" s="13">
        <v>7.8120000000000003</v>
      </c>
      <c r="H2" s="13">
        <v>51.823999999999998</v>
      </c>
    </row>
    <row r="3" spans="3:8" hidden="1">
      <c r="C3" s="13">
        <f>C2+1</f>
        <v>2</v>
      </c>
      <c r="D3" s="13" t="s">
        <v>984</v>
      </c>
      <c r="E3" s="13" t="s">
        <v>76</v>
      </c>
      <c r="F3" s="13" t="s">
        <v>2736</v>
      </c>
      <c r="G3" s="13">
        <v>4.8220000000000001</v>
      </c>
      <c r="H3" s="13">
        <v>35.692</v>
      </c>
    </row>
    <row r="4" spans="3:8" hidden="1">
      <c r="C4" s="13">
        <f t="shared" ref="C4:C35" si="0">C3+1</f>
        <v>3</v>
      </c>
      <c r="D4" s="13" t="s">
        <v>2009</v>
      </c>
      <c r="E4" s="13" t="s">
        <v>53</v>
      </c>
      <c r="F4" s="13" t="s">
        <v>897</v>
      </c>
      <c r="G4" s="13">
        <v>6.1379999999999999</v>
      </c>
      <c r="H4" s="13">
        <v>43.392000000000003</v>
      </c>
    </row>
    <row r="5" spans="3:8" hidden="1">
      <c r="C5" s="13">
        <f t="shared" si="0"/>
        <v>4</v>
      </c>
      <c r="D5" s="13" t="s">
        <v>2031</v>
      </c>
      <c r="E5" s="13" t="s">
        <v>62</v>
      </c>
      <c r="F5" s="13" t="s">
        <v>3286</v>
      </c>
      <c r="G5" s="13">
        <v>7.8120000000000003</v>
      </c>
      <c r="H5" s="13">
        <v>51.823999999999998</v>
      </c>
    </row>
    <row r="6" spans="3:8" hidden="1">
      <c r="C6" s="13">
        <f t="shared" si="0"/>
        <v>5</v>
      </c>
      <c r="D6" s="13" t="s">
        <v>3034</v>
      </c>
      <c r="E6" s="13" t="s">
        <v>1977</v>
      </c>
      <c r="F6" s="13" t="s">
        <v>92</v>
      </c>
      <c r="G6" s="13">
        <v>4.1769999999999996</v>
      </c>
      <c r="H6" s="13">
        <v>46.652000000000001</v>
      </c>
    </row>
    <row r="7" spans="3:8" hidden="1">
      <c r="C7" s="13">
        <f t="shared" si="0"/>
        <v>6</v>
      </c>
      <c r="D7" s="13" t="s">
        <v>3045</v>
      </c>
      <c r="E7" s="13" t="s">
        <v>1361</v>
      </c>
      <c r="F7" s="13" t="s">
        <v>2736</v>
      </c>
      <c r="G7" s="13">
        <v>10.31</v>
      </c>
      <c r="H7" s="13">
        <v>107.913</v>
      </c>
    </row>
    <row r="8" spans="3:8" hidden="1">
      <c r="C8" s="13">
        <f t="shared" si="0"/>
        <v>7</v>
      </c>
      <c r="D8" s="13" t="s">
        <v>806</v>
      </c>
      <c r="E8" s="13" t="s">
        <v>62</v>
      </c>
      <c r="F8" s="13" t="s">
        <v>2736</v>
      </c>
      <c r="G8" s="13">
        <v>4.8220000000000001</v>
      </c>
      <c r="H8" s="13">
        <v>35.692</v>
      </c>
    </row>
    <row r="9" spans="3:8" hidden="1">
      <c r="C9" s="13">
        <f t="shared" si="0"/>
        <v>8</v>
      </c>
      <c r="D9" s="13" t="s">
        <v>719</v>
      </c>
      <c r="E9" s="13" t="s">
        <v>76</v>
      </c>
      <c r="F9" s="13" t="s">
        <v>3287</v>
      </c>
      <c r="G9" s="13">
        <v>7.4420000000000002</v>
      </c>
      <c r="H9" s="13">
        <v>49.652000000000001</v>
      </c>
    </row>
    <row r="10" spans="3:8" hidden="1">
      <c r="C10" s="13">
        <f t="shared" si="0"/>
        <v>9</v>
      </c>
      <c r="D10" s="13" t="s">
        <v>800</v>
      </c>
      <c r="E10" s="13" t="s">
        <v>76</v>
      </c>
      <c r="F10" s="13" t="s">
        <v>897</v>
      </c>
      <c r="G10" s="13">
        <v>5.7889999999999997</v>
      </c>
      <c r="H10" s="13">
        <v>41.344000000000001</v>
      </c>
    </row>
    <row r="11" spans="3:8">
      <c r="C11" s="13">
        <f t="shared" si="0"/>
        <v>10</v>
      </c>
      <c r="D11" s="13" t="s">
        <v>777</v>
      </c>
      <c r="E11" s="13" t="s">
        <v>76</v>
      </c>
      <c r="F11" s="13" t="s">
        <v>3287</v>
      </c>
      <c r="G11" s="13">
        <v>7.4420000000000002</v>
      </c>
      <c r="H11" s="13">
        <v>49.652000000000001</v>
      </c>
    </row>
    <row r="12" spans="3:8">
      <c r="C12" s="13">
        <f t="shared" si="0"/>
        <v>11</v>
      </c>
      <c r="D12" s="13" t="s">
        <v>825</v>
      </c>
      <c r="E12" s="13" t="s">
        <v>62</v>
      </c>
      <c r="F12" s="13" t="s">
        <v>897</v>
      </c>
      <c r="G12" s="13">
        <v>6.1379999999999999</v>
      </c>
      <c r="H12" s="13">
        <v>43.392000000000003</v>
      </c>
    </row>
    <row r="13" spans="3:8">
      <c r="C13" s="13">
        <f t="shared" si="0"/>
        <v>12</v>
      </c>
      <c r="D13" s="13" t="s">
        <v>3055</v>
      </c>
      <c r="E13" s="13" t="s">
        <v>1319</v>
      </c>
      <c r="F13" s="13" t="s">
        <v>897</v>
      </c>
      <c r="G13" s="13">
        <v>16.452999999999999</v>
      </c>
      <c r="H13" s="13">
        <v>192.50399999999999</v>
      </c>
    </row>
    <row r="14" spans="3:8">
      <c r="C14" s="13">
        <f t="shared" si="0"/>
        <v>13</v>
      </c>
      <c r="D14" s="13" t="s">
        <v>1632</v>
      </c>
      <c r="E14" s="13" t="s">
        <v>249</v>
      </c>
      <c r="F14" s="13" t="s">
        <v>897</v>
      </c>
      <c r="G14" s="13">
        <v>6.1379999999999999</v>
      </c>
      <c r="H14" s="13">
        <v>43.392000000000003</v>
      </c>
    </row>
    <row r="15" spans="3:8" hidden="1">
      <c r="C15" s="13">
        <f t="shared" si="0"/>
        <v>14</v>
      </c>
      <c r="D15" s="13" t="s">
        <v>3017</v>
      </c>
      <c r="E15" s="13" t="s">
        <v>3308</v>
      </c>
      <c r="F15" s="13" t="s">
        <v>2736</v>
      </c>
      <c r="G15" s="13">
        <f>3.248*4</f>
        <v>12.992000000000001</v>
      </c>
      <c r="H15" s="13">
        <f>43.355*4</f>
        <v>173.42</v>
      </c>
    </row>
    <row r="16" spans="3:8" hidden="1">
      <c r="C16" s="13">
        <f t="shared" si="0"/>
        <v>15</v>
      </c>
      <c r="D16" s="13" t="s">
        <v>2912</v>
      </c>
      <c r="E16" s="13" t="s">
        <v>1269</v>
      </c>
      <c r="F16" s="13" t="s">
        <v>3286</v>
      </c>
      <c r="G16" s="13">
        <v>11.705</v>
      </c>
      <c r="H16" s="13">
        <v>102.852</v>
      </c>
    </row>
    <row r="17" spans="3:15" hidden="1">
      <c r="C17" s="13">
        <f t="shared" si="0"/>
        <v>16</v>
      </c>
      <c r="D17" s="13" t="s">
        <v>3018</v>
      </c>
      <c r="E17" s="13" t="s">
        <v>1988</v>
      </c>
      <c r="F17" s="13" t="s">
        <v>2736</v>
      </c>
      <c r="G17" s="13">
        <v>12.993</v>
      </c>
      <c r="H17" s="13">
        <v>156.08000000000001</v>
      </c>
      <c r="O17">
        <f>1465.821</f>
        <v>1465.8209999999999</v>
      </c>
    </row>
    <row r="18" spans="3:15" hidden="1">
      <c r="C18" s="13">
        <f t="shared" si="0"/>
        <v>17</v>
      </c>
      <c r="D18" s="13" t="s">
        <v>188</v>
      </c>
      <c r="E18" s="13" t="s">
        <v>76</v>
      </c>
      <c r="F18" s="13" t="s">
        <v>3286</v>
      </c>
      <c r="G18" s="13">
        <v>7.4420000000000002</v>
      </c>
      <c r="H18" s="13">
        <v>49.652000000000001</v>
      </c>
      <c r="O18">
        <f>O17*15000/10^7</f>
        <v>2.1987315000000001</v>
      </c>
    </row>
    <row r="19" spans="3:15" hidden="1">
      <c r="C19" s="13">
        <f t="shared" si="0"/>
        <v>18</v>
      </c>
      <c r="D19" s="13" t="s">
        <v>3122</v>
      </c>
      <c r="E19" s="13" t="s">
        <v>3313</v>
      </c>
      <c r="F19" s="13" t="s">
        <v>2736</v>
      </c>
      <c r="G19" s="13">
        <f>3.097*4</f>
        <v>12.388</v>
      </c>
      <c r="H19" s="13">
        <f>41.768*4</f>
        <v>167.072</v>
      </c>
      <c r="O19">
        <f>759*15000/10^7</f>
        <v>1.1385000000000001</v>
      </c>
    </row>
    <row r="20" spans="3:15" hidden="1">
      <c r="C20" s="13">
        <f t="shared" si="0"/>
        <v>19</v>
      </c>
      <c r="D20" s="13" t="s">
        <v>3009</v>
      </c>
      <c r="E20" s="13" t="s">
        <v>1361</v>
      </c>
      <c r="F20" s="13" t="s">
        <v>1765</v>
      </c>
      <c r="G20" s="13">
        <v>9.33</v>
      </c>
      <c r="H20" s="13">
        <v>99.608000000000004</v>
      </c>
    </row>
    <row r="21" spans="3:15" hidden="1">
      <c r="C21" s="13">
        <f t="shared" si="0"/>
        <v>20</v>
      </c>
      <c r="D21" s="13" t="s">
        <v>200</v>
      </c>
      <c r="E21" s="13" t="s">
        <v>76</v>
      </c>
      <c r="F21" s="13" t="s">
        <v>3287</v>
      </c>
      <c r="G21" s="13">
        <v>7.4420000000000002</v>
      </c>
      <c r="H21" s="13">
        <v>49.652000000000001</v>
      </c>
    </row>
    <row r="22" spans="3:15">
      <c r="C22" s="13">
        <f t="shared" si="0"/>
        <v>21</v>
      </c>
      <c r="D22" s="13" t="s">
        <v>3014</v>
      </c>
      <c r="E22" s="13" t="s">
        <v>1269</v>
      </c>
      <c r="F22" s="13" t="s">
        <v>3286</v>
      </c>
      <c r="G22" s="13">
        <v>11.705</v>
      </c>
      <c r="H22" s="13">
        <v>102.852</v>
      </c>
    </row>
    <row r="23" spans="3:15">
      <c r="C23" s="13">
        <f t="shared" si="0"/>
        <v>22</v>
      </c>
      <c r="D23" s="13" t="s">
        <v>2904</v>
      </c>
      <c r="E23" s="13" t="s">
        <v>1319</v>
      </c>
      <c r="F23" s="13" t="s">
        <v>3287</v>
      </c>
      <c r="G23" s="13">
        <v>20.402000000000001</v>
      </c>
      <c r="H23" s="13">
        <v>231.904</v>
      </c>
    </row>
    <row r="24" spans="3:15">
      <c r="C24" s="13">
        <f t="shared" si="0"/>
        <v>23</v>
      </c>
      <c r="D24" s="13" t="s">
        <v>2579</v>
      </c>
      <c r="E24" s="13" t="s">
        <v>3339</v>
      </c>
      <c r="F24" s="13" t="s">
        <v>2736</v>
      </c>
      <c r="G24" s="13">
        <f>1.206*4</f>
        <v>4.8239999999999998</v>
      </c>
      <c r="H24" s="13">
        <f>10.67*4</f>
        <v>42.68</v>
      </c>
    </row>
    <row r="25" spans="3:15">
      <c r="C25" s="13">
        <f t="shared" si="0"/>
        <v>24</v>
      </c>
      <c r="D25" s="13" t="s">
        <v>2918</v>
      </c>
      <c r="E25" s="13" t="s">
        <v>1953</v>
      </c>
      <c r="F25" s="13" t="s">
        <v>3286</v>
      </c>
      <c r="G25" s="13">
        <v>16.745000000000001</v>
      </c>
      <c r="H25" s="13">
        <v>160.73599999999999</v>
      </c>
    </row>
    <row r="26" spans="3:15">
      <c r="C26" s="13">
        <f t="shared" si="0"/>
        <v>25</v>
      </c>
      <c r="D26" s="13" t="s">
        <v>735</v>
      </c>
      <c r="E26" s="13" t="s">
        <v>53</v>
      </c>
      <c r="F26" s="13" t="s">
        <v>3286</v>
      </c>
      <c r="G26" s="13">
        <v>7.8120000000000003</v>
      </c>
      <c r="H26" s="13">
        <v>51.823999999999998</v>
      </c>
    </row>
    <row r="27" spans="3:15">
      <c r="C27" s="13">
        <f t="shared" si="0"/>
        <v>26</v>
      </c>
      <c r="D27" s="13" t="s">
        <v>3021</v>
      </c>
      <c r="E27" s="13" t="s">
        <v>1319</v>
      </c>
      <c r="F27" s="13" t="s">
        <v>1765</v>
      </c>
      <c r="G27" s="13">
        <v>12.167999999999999</v>
      </c>
      <c r="H27" s="13">
        <v>147.43199999999999</v>
      </c>
    </row>
    <row r="28" spans="3:15">
      <c r="C28" s="13">
        <f t="shared" si="0"/>
        <v>27</v>
      </c>
      <c r="D28" s="13" t="s">
        <v>2981</v>
      </c>
      <c r="E28" s="13" t="s">
        <v>1988</v>
      </c>
      <c r="F28" s="13" t="s">
        <v>2736</v>
      </c>
      <c r="G28" s="13">
        <v>12.993</v>
      </c>
      <c r="H28" s="13">
        <v>156.08000000000001</v>
      </c>
    </row>
    <row r="29" spans="3:15">
      <c r="C29" s="13">
        <f t="shared" si="0"/>
        <v>28</v>
      </c>
      <c r="D29" s="13" t="s">
        <v>2939</v>
      </c>
      <c r="E29" s="13" t="s">
        <v>1988</v>
      </c>
      <c r="F29" s="13" t="s">
        <v>92</v>
      </c>
      <c r="G29" s="13">
        <v>6.7279999999999998</v>
      </c>
      <c r="H29" s="13">
        <v>90.847999999999999</v>
      </c>
    </row>
    <row r="30" spans="3:15">
      <c r="C30" s="13">
        <f t="shared" si="0"/>
        <v>29</v>
      </c>
      <c r="D30" s="13" t="s">
        <v>3029</v>
      </c>
      <c r="E30" s="13" t="s">
        <v>1977</v>
      </c>
      <c r="F30" s="13" t="s">
        <v>92</v>
      </c>
      <c r="G30" s="13">
        <v>4.1769999999999996</v>
      </c>
      <c r="H30" s="13">
        <v>46.652000000000001</v>
      </c>
      <c r="M30">
        <f>1818.493*15000/10^7</f>
        <v>2.7277395000000002</v>
      </c>
    </row>
    <row r="31" spans="3:15" hidden="1">
      <c r="C31" s="13">
        <f t="shared" si="0"/>
        <v>30</v>
      </c>
      <c r="D31" s="13" t="s">
        <v>3045</v>
      </c>
      <c r="E31" s="13" t="s">
        <v>1277</v>
      </c>
      <c r="F31" s="13" t="s">
        <v>92</v>
      </c>
      <c r="G31" s="13">
        <v>5.202</v>
      </c>
      <c r="H31" s="13">
        <v>64.882000000000005</v>
      </c>
    </row>
    <row r="32" spans="3:15">
      <c r="C32" s="13">
        <f t="shared" si="0"/>
        <v>31</v>
      </c>
      <c r="D32" s="13" t="s">
        <v>3024</v>
      </c>
      <c r="E32" s="13" t="s">
        <v>1953</v>
      </c>
      <c r="F32" s="13" t="s">
        <v>92</v>
      </c>
      <c r="G32" s="13">
        <v>5.5970000000000004</v>
      </c>
      <c r="H32" s="13">
        <v>68.180000000000007</v>
      </c>
      <c r="M32">
        <f>255*15000/10^7</f>
        <v>0.38250000000000001</v>
      </c>
    </row>
    <row r="33" spans="3:8">
      <c r="C33" s="13">
        <f t="shared" si="0"/>
        <v>32</v>
      </c>
      <c r="D33" s="13" t="s">
        <v>2958</v>
      </c>
      <c r="E33" s="13" t="s">
        <v>1319</v>
      </c>
      <c r="F33" s="13" t="s">
        <v>92</v>
      </c>
      <c r="G33" s="13">
        <v>7.3929999999999998</v>
      </c>
      <c r="H33" s="13">
        <v>97.712000000000003</v>
      </c>
    </row>
    <row r="34" spans="3:8">
      <c r="C34" s="13">
        <f t="shared" si="0"/>
        <v>33</v>
      </c>
      <c r="D34" s="13" t="s">
        <v>3060</v>
      </c>
      <c r="E34" s="13" t="s">
        <v>3251</v>
      </c>
      <c r="F34" s="13" t="s">
        <v>92</v>
      </c>
      <c r="G34" s="13">
        <v>3.89</v>
      </c>
      <c r="H34" s="13">
        <v>44.472000000000001</v>
      </c>
    </row>
    <row r="35" spans="3:8">
      <c r="C35" s="13">
        <f t="shared" si="0"/>
        <v>34</v>
      </c>
      <c r="D35" s="13" t="s">
        <v>2938</v>
      </c>
      <c r="E35" s="13" t="s">
        <v>2197</v>
      </c>
      <c r="F35" s="13" t="s">
        <v>92</v>
      </c>
      <c r="G35" s="13">
        <v>6.7279999999999998</v>
      </c>
      <c r="H35" s="13">
        <v>90.847999999999999</v>
      </c>
    </row>
    <row r="36" spans="3:8">
      <c r="G36">
        <f>SUM(G2:G35)</f>
        <v>295.95100000000008</v>
      </c>
      <c r="H36">
        <f>SUM(H2:H35)</f>
        <v>2988.3630000000003</v>
      </c>
    </row>
    <row r="40" spans="3:8">
      <c r="D40" t="s">
        <v>1653</v>
      </c>
    </row>
    <row r="41" spans="3:8">
      <c r="D41" t="s">
        <v>984</v>
      </c>
    </row>
    <row r="42" spans="3:8">
      <c r="D42" t="s">
        <v>2009</v>
      </c>
    </row>
    <row r="43" spans="3:8">
      <c r="D43" t="s">
        <v>2031</v>
      </c>
    </row>
    <row r="44" spans="3:8">
      <c r="D44" t="s">
        <v>3034</v>
      </c>
    </row>
    <row r="45" spans="3:8">
      <c r="D45" t="s">
        <v>3045</v>
      </c>
    </row>
    <row r="46" spans="3:8">
      <c r="D46" t="s">
        <v>806</v>
      </c>
    </row>
    <row r="47" spans="3:8">
      <c r="D47" t="s">
        <v>719</v>
      </c>
    </row>
    <row r="48" spans="3:8">
      <c r="D48" t="s">
        <v>800</v>
      </c>
    </row>
    <row r="49" spans="4:4">
      <c r="D49" t="s">
        <v>3017</v>
      </c>
    </row>
    <row r="50" spans="4:4">
      <c r="D50" t="s">
        <v>2912</v>
      </c>
    </row>
    <row r="51" spans="4:4">
      <c r="D51" t="s">
        <v>3018</v>
      </c>
    </row>
    <row r="52" spans="4:4">
      <c r="D52" t="s">
        <v>188</v>
      </c>
    </row>
    <row r="53" spans="4:4">
      <c r="D53" t="s">
        <v>3122</v>
      </c>
    </row>
    <row r="54" spans="4:4">
      <c r="D54" t="s">
        <v>3009</v>
      </c>
    </row>
    <row r="55" spans="4:4">
      <c r="D55" t="s">
        <v>200</v>
      </c>
    </row>
  </sheetData>
  <autoFilter ref="C1:H36" xr:uid="{53E1E9AA-CBF4-42B3-A2EC-01DB676B001B}">
    <filterColumn colId="1">
      <colorFilter dxfId="3608"/>
    </filterColumn>
  </autoFilter>
  <conditionalFormatting sqref="D1:D1048576">
    <cfRule type="duplicateValues" dxfId="3597" priority="1"/>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70C0"/>
  </sheetPr>
  <dimension ref="A1:L106"/>
  <sheetViews>
    <sheetView zoomScale="90" zoomScaleNormal="90" workbookViewId="0">
      <pane ySplit="6" topLeftCell="A99" activePane="bottomLeft" state="frozen"/>
      <selection activeCell="I87" sqref="I87"/>
      <selection pane="bottomLeft" activeCell="D106" sqref="D10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90625" style="648" bestFit="1" customWidth="1"/>
    <col min="9" max="9" width="19.08984375" style="650" bestFit="1" customWidth="1"/>
    <col min="10" max="10" width="12.6328125" style="650" bestFit="1" customWidth="1"/>
    <col min="11" max="11" width="12.6328125" style="1305" hidden="1" customWidth="1"/>
    <col min="12" max="12" width="25.54296875" style="648" bestFit="1" customWidth="1"/>
    <col min="13" max="13" width="7.90625" style="648" customWidth="1"/>
    <col min="14" max="14" width="12.453125" style="648" customWidth="1"/>
    <col min="15" max="16384" width="7.90625" style="648"/>
  </cols>
  <sheetData>
    <row r="1" spans="1:12" ht="12.5">
      <c r="A1" s="645" t="s">
        <v>37</v>
      </c>
      <c r="B1" s="646"/>
      <c r="C1" s="647"/>
      <c r="D1" s="647"/>
      <c r="E1" s="647"/>
      <c r="F1" s="647"/>
      <c r="H1" s="647"/>
      <c r="I1" s="698" t="s">
        <v>38</v>
      </c>
      <c r="J1" s="699">
        <f>'TB-605'!E1</f>
        <v>46219</v>
      </c>
      <c r="K1" s="699"/>
    </row>
    <row r="2" spans="1:12" ht="12.5">
      <c r="A2" s="651" t="s">
        <v>2739</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368" t="s">
        <v>1782</v>
      </c>
      <c r="B5" s="1368" t="s">
        <v>998</v>
      </c>
      <c r="C5" s="1368" t="s">
        <v>44</v>
      </c>
      <c r="D5" s="1562" t="s">
        <v>3199</v>
      </c>
      <c r="E5" s="1368" t="s">
        <v>1761</v>
      </c>
      <c r="F5" s="1562" t="s">
        <v>3234</v>
      </c>
      <c r="G5" s="1562" t="s">
        <v>3201</v>
      </c>
      <c r="H5" s="1368" t="s">
        <v>627</v>
      </c>
      <c r="I5" s="1368" t="s">
        <v>1762</v>
      </c>
      <c r="J5" s="1562" t="s">
        <v>1763</v>
      </c>
      <c r="K5" s="1562" t="s">
        <v>3636</v>
      </c>
      <c r="L5" s="660" t="s">
        <v>1764</v>
      </c>
    </row>
    <row r="6" spans="1:12" s="661" customFormat="1" ht="17.5" customHeight="1">
      <c r="A6" s="1369"/>
      <c r="B6" s="1369"/>
      <c r="C6" s="1369"/>
      <c r="D6" s="1369"/>
      <c r="E6" s="1369"/>
      <c r="F6" s="1369"/>
      <c r="G6" s="1369"/>
      <c r="H6" s="1369"/>
      <c r="I6" s="1369"/>
      <c r="J6" s="1563"/>
      <c r="K6" s="1563"/>
      <c r="L6" s="660"/>
    </row>
    <row r="7" spans="1:12" s="1039" customFormat="1" ht="31" customHeight="1">
      <c r="A7" s="750">
        <v>1</v>
      </c>
      <c r="B7" s="751" t="s">
        <v>1656</v>
      </c>
      <c r="C7" s="750" t="s">
        <v>76</v>
      </c>
      <c r="D7" s="750">
        <v>18.338999999999999</v>
      </c>
      <c r="E7" s="782">
        <v>34.389000000000003</v>
      </c>
      <c r="F7" s="752">
        <v>45988</v>
      </c>
      <c r="G7" s="752">
        <v>45994</v>
      </c>
      <c r="H7" s="750" t="s">
        <v>631</v>
      </c>
      <c r="I7" s="750" t="s">
        <v>3202</v>
      </c>
      <c r="J7" s="750">
        <v>23</v>
      </c>
      <c r="K7" s="1012" t="s">
        <v>631</v>
      </c>
      <c r="L7" s="1093"/>
    </row>
    <row r="8" spans="1:12" s="1039" customFormat="1" ht="31" customHeight="1">
      <c r="A8" s="750">
        <f t="shared" ref="A8:A9" si="0">A7+1</f>
        <v>2</v>
      </c>
      <c r="B8" s="751" t="s">
        <v>1655</v>
      </c>
      <c r="C8" s="750" t="s">
        <v>76</v>
      </c>
      <c r="D8" s="750">
        <v>18.338999999999999</v>
      </c>
      <c r="E8" s="782">
        <v>21.318000000000001</v>
      </c>
      <c r="F8" s="752">
        <v>45996</v>
      </c>
      <c r="G8" s="752">
        <v>46001</v>
      </c>
      <c r="H8" s="750" t="s">
        <v>631</v>
      </c>
      <c r="I8" s="750" t="s">
        <v>3202</v>
      </c>
      <c r="J8" s="750">
        <v>23</v>
      </c>
      <c r="K8" s="1012" t="s">
        <v>631</v>
      </c>
      <c r="L8" s="1093"/>
    </row>
    <row r="9" spans="1:12" s="1039" customFormat="1" ht="31" customHeight="1">
      <c r="A9" s="750">
        <f t="shared" si="0"/>
        <v>3</v>
      </c>
      <c r="B9" s="751" t="s">
        <v>1138</v>
      </c>
      <c r="C9" s="750" t="s">
        <v>1269</v>
      </c>
      <c r="D9" s="750">
        <v>27.92</v>
      </c>
      <c r="E9" s="782">
        <v>21.318000000000001</v>
      </c>
      <c r="F9" s="752">
        <v>46002</v>
      </c>
      <c r="G9" s="752">
        <v>45982</v>
      </c>
      <c r="H9" s="750" t="s">
        <v>631</v>
      </c>
      <c r="I9" s="750" t="s">
        <v>3202</v>
      </c>
      <c r="J9" s="750">
        <v>23</v>
      </c>
      <c r="K9" s="1012" t="s">
        <v>631</v>
      </c>
      <c r="L9" s="1059"/>
    </row>
    <row r="10" spans="1:12" s="1039" customFormat="1" ht="31" customHeight="1">
      <c r="A10" s="750">
        <v>4</v>
      </c>
      <c r="B10" s="751" t="s">
        <v>1657</v>
      </c>
      <c r="C10" s="750" t="s">
        <v>62</v>
      </c>
      <c r="D10" s="750">
        <v>19.440000000000001</v>
      </c>
      <c r="E10" s="782"/>
      <c r="F10" s="752">
        <v>46013</v>
      </c>
      <c r="G10" s="752">
        <v>46020</v>
      </c>
      <c r="H10" s="750" t="s">
        <v>631</v>
      </c>
      <c r="I10" s="750" t="s">
        <v>3202</v>
      </c>
      <c r="J10" s="750">
        <v>20</v>
      </c>
      <c r="K10" s="1012" t="s">
        <v>631</v>
      </c>
      <c r="L10" s="1059"/>
    </row>
    <row r="11" spans="1:12" s="1039" customFormat="1" ht="31" customHeight="1">
      <c r="A11" s="750">
        <f t="shared" ref="A11:A17" si="1">A10+1</f>
        <v>5</v>
      </c>
      <c r="B11" s="751" t="s">
        <v>1630</v>
      </c>
      <c r="C11" s="750" t="s">
        <v>76</v>
      </c>
      <c r="D11" s="750">
        <v>18.338999999999999</v>
      </c>
      <c r="E11" s="782"/>
      <c r="F11" s="752">
        <v>46016</v>
      </c>
      <c r="G11" s="752">
        <v>46027</v>
      </c>
      <c r="H11" s="750" t="s">
        <v>631</v>
      </c>
      <c r="I11" s="750" t="s">
        <v>3238</v>
      </c>
      <c r="J11" s="750">
        <v>15</v>
      </c>
      <c r="K11" s="1012"/>
      <c r="L11" s="1059"/>
    </row>
    <row r="12" spans="1:12" s="1039" customFormat="1" ht="31" customHeight="1">
      <c r="A12" s="750">
        <f t="shared" si="1"/>
        <v>6</v>
      </c>
      <c r="B12" s="751" t="s">
        <v>1660</v>
      </c>
      <c r="C12" s="750" t="s">
        <v>53</v>
      </c>
      <c r="D12" s="750">
        <v>22.68</v>
      </c>
      <c r="E12" s="782"/>
      <c r="F12" s="752">
        <v>46020</v>
      </c>
      <c r="G12" s="752">
        <v>46030</v>
      </c>
      <c r="H12" s="750" t="s">
        <v>631</v>
      </c>
      <c r="I12" s="750" t="s">
        <v>3202</v>
      </c>
      <c r="J12" s="750">
        <v>20</v>
      </c>
      <c r="K12" s="1012"/>
      <c r="L12" s="1059"/>
    </row>
    <row r="13" spans="1:12" s="1039" customFormat="1" ht="31" customHeight="1">
      <c r="A13" s="750">
        <f t="shared" si="1"/>
        <v>7</v>
      </c>
      <c r="B13" s="751" t="s">
        <v>1631</v>
      </c>
      <c r="C13" s="750" t="s">
        <v>76</v>
      </c>
      <c r="D13" s="750">
        <v>18.338999999999999</v>
      </c>
      <c r="E13" s="782"/>
      <c r="F13" s="752">
        <v>46029</v>
      </c>
      <c r="G13" s="752">
        <v>46038</v>
      </c>
      <c r="H13" s="750" t="s">
        <v>631</v>
      </c>
      <c r="I13" s="750" t="s">
        <v>3238</v>
      </c>
      <c r="J13" s="750">
        <v>15</v>
      </c>
      <c r="K13" s="1012"/>
      <c r="L13" s="1059"/>
    </row>
    <row r="14" spans="1:12" s="1039" customFormat="1" ht="31" customHeight="1">
      <c r="A14" s="750">
        <f t="shared" si="1"/>
        <v>8</v>
      </c>
      <c r="B14" s="751" t="s">
        <v>1960</v>
      </c>
      <c r="C14" s="750" t="s">
        <v>249</v>
      </c>
      <c r="D14" s="750">
        <v>24.149000000000001</v>
      </c>
      <c r="E14" s="782"/>
      <c r="F14" s="752">
        <v>46031</v>
      </c>
      <c r="G14" s="752">
        <v>46040</v>
      </c>
      <c r="H14" s="750" t="s">
        <v>631</v>
      </c>
      <c r="I14" s="750" t="s">
        <v>3202</v>
      </c>
      <c r="J14" s="750">
        <v>20</v>
      </c>
      <c r="K14" s="1012"/>
      <c r="L14" s="1059"/>
    </row>
    <row r="15" spans="1:12" s="1039" customFormat="1" ht="31" customHeight="1">
      <c r="A15" s="750">
        <f t="shared" si="1"/>
        <v>9</v>
      </c>
      <c r="B15" s="751" t="s">
        <v>2374</v>
      </c>
      <c r="C15" s="750" t="s">
        <v>1277</v>
      </c>
      <c r="D15" s="750">
        <v>32.22</v>
      </c>
      <c r="E15" s="782"/>
      <c r="F15" s="752">
        <v>46040</v>
      </c>
      <c r="G15" s="752">
        <v>46053</v>
      </c>
      <c r="H15" s="750" t="s">
        <v>631</v>
      </c>
      <c r="I15" s="750" t="s">
        <v>3238</v>
      </c>
      <c r="J15" s="750">
        <v>21</v>
      </c>
      <c r="K15" s="1012" t="s">
        <v>631</v>
      </c>
      <c r="L15" s="1059"/>
    </row>
    <row r="16" spans="1:12" s="1039" customFormat="1" ht="31" customHeight="1">
      <c r="A16" s="750">
        <f t="shared" si="1"/>
        <v>10</v>
      </c>
      <c r="B16" s="751" t="s">
        <v>1959</v>
      </c>
      <c r="C16" s="750" t="s">
        <v>76</v>
      </c>
      <c r="D16" s="750">
        <v>18.338999999999999</v>
      </c>
      <c r="E16" s="782"/>
      <c r="F16" s="752">
        <v>46040</v>
      </c>
      <c r="G16" s="752">
        <v>46044</v>
      </c>
      <c r="H16" s="750" t="s">
        <v>631</v>
      </c>
      <c r="I16" s="750" t="s">
        <v>3202</v>
      </c>
      <c r="J16" s="750">
        <v>22</v>
      </c>
      <c r="K16" s="1012"/>
      <c r="L16" s="1059"/>
    </row>
    <row r="17" spans="1:12" s="1039" customFormat="1" ht="31" customHeight="1">
      <c r="A17" s="750">
        <f t="shared" si="1"/>
        <v>11</v>
      </c>
      <c r="B17" s="751" t="s">
        <v>1661</v>
      </c>
      <c r="C17" s="750" t="s">
        <v>62</v>
      </c>
      <c r="D17" s="750">
        <v>19.440000000000001</v>
      </c>
      <c r="E17" s="782"/>
      <c r="F17" s="752">
        <v>46047</v>
      </c>
      <c r="G17" s="752">
        <v>46054</v>
      </c>
      <c r="H17" s="750" t="s">
        <v>631</v>
      </c>
      <c r="I17" s="750" t="s">
        <v>3202</v>
      </c>
      <c r="J17" s="750">
        <v>22</v>
      </c>
      <c r="K17" s="1012" t="s">
        <v>631</v>
      </c>
      <c r="L17" s="1059"/>
    </row>
    <row r="18" spans="1:12" s="1039" customFormat="1" ht="31" customHeight="1">
      <c r="A18" s="750">
        <f t="shared" ref="A18:A53" si="2">A17+1</f>
        <v>12</v>
      </c>
      <c r="B18" s="751" t="s">
        <v>1662</v>
      </c>
      <c r="C18" s="750" t="s">
        <v>76</v>
      </c>
      <c r="D18" s="750">
        <v>18.338999999999999</v>
      </c>
      <c r="E18" s="782"/>
      <c r="F18" s="752">
        <v>46054</v>
      </c>
      <c r="G18" s="752">
        <v>46059</v>
      </c>
      <c r="H18" s="750" t="s">
        <v>631</v>
      </c>
      <c r="I18" s="750" t="s">
        <v>3202</v>
      </c>
      <c r="J18" s="750">
        <v>22</v>
      </c>
      <c r="K18" s="1012" t="s">
        <v>631</v>
      </c>
      <c r="L18" s="1059"/>
    </row>
    <row r="19" spans="1:12" s="1039" customFormat="1" ht="31" customHeight="1">
      <c r="A19" s="750">
        <f t="shared" si="2"/>
        <v>13</v>
      </c>
      <c r="B19" s="751" t="s">
        <v>1638</v>
      </c>
      <c r="C19" s="750" t="s">
        <v>76</v>
      </c>
      <c r="D19" s="750">
        <v>18.338999999999999</v>
      </c>
      <c r="E19" s="782"/>
      <c r="F19" s="752">
        <v>46054</v>
      </c>
      <c r="G19" s="752">
        <v>46060</v>
      </c>
      <c r="H19" s="750" t="s">
        <v>631</v>
      </c>
      <c r="I19" s="750" t="s">
        <v>3238</v>
      </c>
      <c r="J19" s="750">
        <v>21</v>
      </c>
      <c r="K19" s="1012"/>
      <c r="L19" s="1059"/>
    </row>
    <row r="20" spans="1:12" s="1039" customFormat="1" ht="31" customHeight="1">
      <c r="A20" s="750">
        <f t="shared" si="2"/>
        <v>14</v>
      </c>
      <c r="B20" s="751" t="s">
        <v>1116</v>
      </c>
      <c r="C20" s="750" t="s">
        <v>76</v>
      </c>
      <c r="D20" s="750">
        <v>18.338999999999999</v>
      </c>
      <c r="E20" s="782"/>
      <c r="F20" s="752">
        <v>46058</v>
      </c>
      <c r="G20" s="752">
        <v>46063</v>
      </c>
      <c r="H20" s="750" t="s">
        <v>631</v>
      </c>
      <c r="I20" s="750" t="s">
        <v>3292</v>
      </c>
      <c r="J20" s="750">
        <v>21</v>
      </c>
      <c r="K20" s="1012"/>
      <c r="L20" s="1257" t="s">
        <v>3291</v>
      </c>
    </row>
    <row r="21" spans="1:12" s="1039" customFormat="1" ht="31" customHeight="1">
      <c r="A21" s="750">
        <f t="shared" si="2"/>
        <v>15</v>
      </c>
      <c r="B21" s="751" t="s">
        <v>668</v>
      </c>
      <c r="C21" s="750" t="s">
        <v>76</v>
      </c>
      <c r="D21" s="750">
        <v>18.338999999999999</v>
      </c>
      <c r="E21" s="782"/>
      <c r="F21" s="752">
        <v>46059</v>
      </c>
      <c r="G21" s="752">
        <v>46061</v>
      </c>
      <c r="H21" s="750" t="s">
        <v>631</v>
      </c>
      <c r="I21" s="750" t="s">
        <v>3202</v>
      </c>
      <c r="J21" s="750">
        <v>22</v>
      </c>
      <c r="K21" s="1012" t="s">
        <v>631</v>
      </c>
      <c r="L21" s="1059"/>
    </row>
    <row r="22" spans="1:12" s="1039" customFormat="1" ht="31" customHeight="1">
      <c r="A22" s="750">
        <f t="shared" si="2"/>
        <v>16</v>
      </c>
      <c r="B22" s="751" t="s">
        <v>1637</v>
      </c>
      <c r="C22" s="750" t="s">
        <v>76</v>
      </c>
      <c r="D22" s="750">
        <v>18.338999999999999</v>
      </c>
      <c r="E22" s="782"/>
      <c r="F22" s="752">
        <v>46061</v>
      </c>
      <c r="G22" s="752">
        <v>46066</v>
      </c>
      <c r="H22" s="750" t="s">
        <v>631</v>
      </c>
      <c r="I22" s="750" t="s">
        <v>3288</v>
      </c>
      <c r="J22" s="750">
        <v>21</v>
      </c>
      <c r="K22" s="1012"/>
      <c r="L22" s="1059"/>
    </row>
    <row r="23" spans="1:12" s="1039" customFormat="1" ht="31" customHeight="1">
      <c r="A23" s="750">
        <f t="shared" si="2"/>
        <v>17</v>
      </c>
      <c r="B23" s="751" t="s">
        <v>1663</v>
      </c>
      <c r="C23" s="750" t="s">
        <v>62</v>
      </c>
      <c r="D23" s="750">
        <v>19.440000000000001</v>
      </c>
      <c r="E23" s="782"/>
      <c r="F23" s="752">
        <v>46062</v>
      </c>
      <c r="G23" s="752">
        <v>46066</v>
      </c>
      <c r="H23" s="750" t="s">
        <v>631</v>
      </c>
      <c r="I23" s="750" t="s">
        <v>3202</v>
      </c>
      <c r="J23" s="750">
        <v>22</v>
      </c>
      <c r="K23" s="1012" t="s">
        <v>631</v>
      </c>
      <c r="L23" s="1059"/>
    </row>
    <row r="24" spans="1:12" s="1039" customFormat="1" ht="31" customHeight="1">
      <c r="A24" s="750">
        <f t="shared" si="2"/>
        <v>18</v>
      </c>
      <c r="B24" s="751" t="s">
        <v>3044</v>
      </c>
      <c r="C24" s="750" t="s">
        <v>1269</v>
      </c>
      <c r="D24" s="750">
        <v>27.92</v>
      </c>
      <c r="E24" s="782"/>
      <c r="F24" s="752">
        <v>46064</v>
      </c>
      <c r="G24" s="752">
        <v>46068</v>
      </c>
      <c r="H24" s="750" t="s">
        <v>631</v>
      </c>
      <c r="I24" s="750" t="s">
        <v>3292</v>
      </c>
      <c r="J24" s="750">
        <v>21</v>
      </c>
      <c r="K24" s="1012"/>
      <c r="L24" s="1059"/>
    </row>
    <row r="25" spans="1:12" s="1039" customFormat="1" ht="31" customHeight="1">
      <c r="A25" s="750">
        <f t="shared" si="2"/>
        <v>19</v>
      </c>
      <c r="B25" s="751" t="s">
        <v>3052</v>
      </c>
      <c r="C25" s="750" t="s">
        <v>1269</v>
      </c>
      <c r="D25" s="1123">
        <f>27.921</f>
        <v>27.920999999999999</v>
      </c>
      <c r="E25" s="782"/>
      <c r="F25" s="752">
        <v>46066</v>
      </c>
      <c r="G25" s="752">
        <v>46073</v>
      </c>
      <c r="H25" s="750" t="s">
        <v>631</v>
      </c>
      <c r="I25" s="750" t="s">
        <v>3202</v>
      </c>
      <c r="J25" s="750">
        <v>22</v>
      </c>
      <c r="K25" s="1012" t="s">
        <v>631</v>
      </c>
      <c r="L25" s="1059"/>
    </row>
    <row r="26" spans="1:12" s="1039" customFormat="1" ht="31" customHeight="1">
      <c r="A26" s="750">
        <f t="shared" si="2"/>
        <v>20</v>
      </c>
      <c r="B26" s="751" t="s">
        <v>3039</v>
      </c>
      <c r="C26" s="750" t="s">
        <v>1277</v>
      </c>
      <c r="D26" s="1123">
        <v>32.222000000000001</v>
      </c>
      <c r="E26" s="782"/>
      <c r="F26" s="752">
        <v>46066</v>
      </c>
      <c r="G26" s="752">
        <v>46077</v>
      </c>
      <c r="H26" s="750" t="s">
        <v>631</v>
      </c>
      <c r="I26" s="750" t="s">
        <v>3288</v>
      </c>
      <c r="J26" s="750">
        <v>21</v>
      </c>
      <c r="K26" s="1012" t="s">
        <v>631</v>
      </c>
      <c r="L26" s="1059"/>
    </row>
    <row r="27" spans="1:12" s="1039" customFormat="1" ht="31" customHeight="1">
      <c r="A27" s="750">
        <f t="shared" si="2"/>
        <v>21</v>
      </c>
      <c r="B27" s="751" t="s">
        <v>1647</v>
      </c>
      <c r="C27" s="750" t="s">
        <v>62</v>
      </c>
      <c r="D27" s="1123">
        <v>19.440000000000001</v>
      </c>
      <c r="E27" s="782"/>
      <c r="F27" s="752">
        <v>46068</v>
      </c>
      <c r="G27" s="752">
        <v>46072</v>
      </c>
      <c r="H27" s="750" t="s">
        <v>631</v>
      </c>
      <c r="I27" s="750" t="s">
        <v>3292</v>
      </c>
      <c r="J27" s="750">
        <v>21</v>
      </c>
      <c r="K27" s="1012"/>
      <c r="L27" s="1059"/>
    </row>
    <row r="28" spans="1:12" s="1039" customFormat="1" ht="31" customHeight="1">
      <c r="A28" s="750">
        <f t="shared" si="2"/>
        <v>22</v>
      </c>
      <c r="B28" s="751" t="s">
        <v>964</v>
      </c>
      <c r="C28" s="750" t="s">
        <v>62</v>
      </c>
      <c r="D28" s="1123">
        <v>19.440000000000001</v>
      </c>
      <c r="E28" s="782"/>
      <c r="F28" s="752">
        <v>46069</v>
      </c>
      <c r="G28" s="752">
        <v>46076</v>
      </c>
      <c r="H28" s="750" t="s">
        <v>631</v>
      </c>
      <c r="I28" s="750" t="s">
        <v>3312</v>
      </c>
      <c r="J28" s="750">
        <v>26</v>
      </c>
      <c r="K28" s="1012"/>
      <c r="L28" s="1059"/>
    </row>
    <row r="29" spans="1:12" s="1039" customFormat="1" ht="31" customHeight="1">
      <c r="A29" s="750">
        <f t="shared" si="2"/>
        <v>23</v>
      </c>
      <c r="B29" s="751" t="s">
        <v>2004</v>
      </c>
      <c r="C29" s="750" t="s">
        <v>76</v>
      </c>
      <c r="D29" s="750">
        <v>18.338999999999999</v>
      </c>
      <c r="E29" s="782"/>
      <c r="F29" s="752">
        <v>46070</v>
      </c>
      <c r="G29" s="752">
        <v>46078</v>
      </c>
      <c r="H29" s="750" t="s">
        <v>631</v>
      </c>
      <c r="I29" s="750" t="s">
        <v>3307</v>
      </c>
      <c r="J29" s="750">
        <f>18+5</f>
        <v>23</v>
      </c>
      <c r="K29" s="1012"/>
      <c r="L29" s="1059"/>
    </row>
    <row r="30" spans="1:12" s="1039" customFormat="1" ht="31" customHeight="1">
      <c r="A30" s="750">
        <f t="shared" si="2"/>
        <v>24</v>
      </c>
      <c r="B30" s="751" t="s">
        <v>654</v>
      </c>
      <c r="C30" s="750" t="s">
        <v>53</v>
      </c>
      <c r="D30" s="1123">
        <v>22.68</v>
      </c>
      <c r="E30" s="782"/>
      <c r="F30" s="752">
        <v>46073</v>
      </c>
      <c r="G30" s="752">
        <v>46078</v>
      </c>
      <c r="H30" s="750" t="s">
        <v>631</v>
      </c>
      <c r="I30" s="750" t="s">
        <v>3202</v>
      </c>
      <c r="J30" s="750">
        <v>22</v>
      </c>
      <c r="K30" s="1012"/>
      <c r="L30" s="1059"/>
    </row>
    <row r="31" spans="1:12" s="1039" customFormat="1" ht="31" customHeight="1">
      <c r="A31" s="750">
        <f t="shared" si="2"/>
        <v>25</v>
      </c>
      <c r="B31" s="751" t="s">
        <v>1646</v>
      </c>
      <c r="C31" s="750" t="s">
        <v>62</v>
      </c>
      <c r="D31" s="1123">
        <v>19.440000000000001</v>
      </c>
      <c r="E31" s="782"/>
      <c r="F31" s="752">
        <v>46073</v>
      </c>
      <c r="G31" s="752">
        <v>46075</v>
      </c>
      <c r="H31" s="750" t="s">
        <v>631</v>
      </c>
      <c r="I31" s="750" t="s">
        <v>3292</v>
      </c>
      <c r="J31" s="750">
        <v>21</v>
      </c>
      <c r="K31" s="1012"/>
      <c r="L31" s="1059"/>
    </row>
    <row r="32" spans="1:12" s="1039" customFormat="1" ht="31" customHeight="1">
      <c r="A32" s="750">
        <f t="shared" si="2"/>
        <v>26</v>
      </c>
      <c r="B32" s="751" t="s">
        <v>3047</v>
      </c>
      <c r="C32" s="750" t="s">
        <v>1319</v>
      </c>
      <c r="D32" s="1123">
        <v>42.225999999999999</v>
      </c>
      <c r="E32" s="782"/>
      <c r="F32" s="752">
        <v>46075</v>
      </c>
      <c r="G32" s="752">
        <v>46084</v>
      </c>
      <c r="H32" s="750" t="s">
        <v>631</v>
      </c>
      <c r="I32" s="750" t="s">
        <v>3292</v>
      </c>
      <c r="J32" s="750">
        <v>21</v>
      </c>
      <c r="K32" s="1012" t="s">
        <v>631</v>
      </c>
      <c r="L32" s="1059"/>
    </row>
    <row r="33" spans="1:12" s="1039" customFormat="1" ht="31" customHeight="1">
      <c r="A33" s="750">
        <f t="shared" si="2"/>
        <v>27</v>
      </c>
      <c r="B33" s="751" t="s">
        <v>965</v>
      </c>
      <c r="C33" s="750" t="s">
        <v>76</v>
      </c>
      <c r="D33" s="750">
        <v>18.338999999999999</v>
      </c>
      <c r="E33" s="782"/>
      <c r="F33" s="752">
        <v>46077</v>
      </c>
      <c r="G33" s="752">
        <v>46081</v>
      </c>
      <c r="H33" s="750" t="s">
        <v>631</v>
      </c>
      <c r="I33" s="750" t="s">
        <v>3312</v>
      </c>
      <c r="J33" s="750">
        <v>26</v>
      </c>
      <c r="K33" s="1012"/>
      <c r="L33" s="1059"/>
    </row>
    <row r="34" spans="1:12" s="1039" customFormat="1" ht="31" customHeight="1">
      <c r="A34" s="750">
        <f t="shared" si="2"/>
        <v>28</v>
      </c>
      <c r="B34" s="751" t="s">
        <v>1636</v>
      </c>
      <c r="C34" s="750" t="s">
        <v>53</v>
      </c>
      <c r="D34" s="1123">
        <v>22.68</v>
      </c>
      <c r="E34" s="782"/>
      <c r="F34" s="752">
        <v>46077</v>
      </c>
      <c r="G34" s="752">
        <v>46085</v>
      </c>
      <c r="H34" s="750" t="s">
        <v>631</v>
      </c>
      <c r="I34" s="750" t="s">
        <v>3288</v>
      </c>
      <c r="J34" s="750">
        <v>21</v>
      </c>
      <c r="K34" s="1012" t="s">
        <v>631</v>
      </c>
      <c r="L34" s="1059"/>
    </row>
    <row r="35" spans="1:12" s="1039" customFormat="1" ht="31" customHeight="1">
      <c r="A35" s="750">
        <f t="shared" si="2"/>
        <v>29</v>
      </c>
      <c r="B35" s="751" t="s">
        <v>1963</v>
      </c>
      <c r="C35" s="750" t="s">
        <v>62</v>
      </c>
      <c r="D35" s="1123">
        <v>19.440000000000001</v>
      </c>
      <c r="E35" s="782"/>
      <c r="F35" s="752">
        <v>46088</v>
      </c>
      <c r="G35" s="752">
        <v>46091</v>
      </c>
      <c r="H35" s="750" t="s">
        <v>631</v>
      </c>
      <c r="I35" s="750" t="s">
        <v>3415</v>
      </c>
      <c r="J35" s="750">
        <v>20</v>
      </c>
      <c r="K35" s="1012" t="s">
        <v>631</v>
      </c>
      <c r="L35" s="1059"/>
    </row>
    <row r="36" spans="1:12" s="1039" customFormat="1" ht="31" customHeight="1">
      <c r="A36" s="750">
        <f t="shared" si="2"/>
        <v>30</v>
      </c>
      <c r="B36" s="751" t="s">
        <v>3060</v>
      </c>
      <c r="C36" s="750" t="s">
        <v>1361</v>
      </c>
      <c r="D36" s="1123">
        <v>33.53</v>
      </c>
      <c r="E36" s="782"/>
      <c r="F36" s="752">
        <v>46081</v>
      </c>
      <c r="G36" s="752">
        <v>46089</v>
      </c>
      <c r="H36" s="750" t="s">
        <v>631</v>
      </c>
      <c r="I36" s="750" t="s">
        <v>3312</v>
      </c>
      <c r="J36" s="750">
        <v>26</v>
      </c>
      <c r="K36" s="1012"/>
      <c r="L36" s="1059"/>
    </row>
    <row r="37" spans="1:12" s="1039" customFormat="1" ht="31" customHeight="1">
      <c r="A37" s="750">
        <f t="shared" si="2"/>
        <v>31</v>
      </c>
      <c r="B37" s="751" t="s">
        <v>1635</v>
      </c>
      <c r="C37" s="750" t="s">
        <v>76</v>
      </c>
      <c r="D37" s="1123">
        <v>18.338999999999999</v>
      </c>
      <c r="E37" s="782"/>
      <c r="F37" s="752">
        <v>46086</v>
      </c>
      <c r="G37" s="752">
        <v>46093</v>
      </c>
      <c r="H37" s="750" t="s">
        <v>631</v>
      </c>
      <c r="I37" s="750" t="s">
        <v>3288</v>
      </c>
      <c r="J37" s="750">
        <v>21</v>
      </c>
      <c r="K37" s="1012" t="s">
        <v>631</v>
      </c>
      <c r="L37" s="1059"/>
    </row>
    <row r="38" spans="1:12" s="1039" customFormat="1" ht="31" customHeight="1">
      <c r="A38" s="750">
        <f t="shared" si="2"/>
        <v>32</v>
      </c>
      <c r="B38" s="751" t="s">
        <v>1125</v>
      </c>
      <c r="C38" s="750" t="s">
        <v>76</v>
      </c>
      <c r="D38" s="1123">
        <v>18.338999999999999</v>
      </c>
      <c r="E38" s="782"/>
      <c r="F38" s="752">
        <v>46086</v>
      </c>
      <c r="G38" s="752">
        <v>46093</v>
      </c>
      <c r="H38" s="750" t="s">
        <v>631</v>
      </c>
      <c r="I38" s="750" t="s">
        <v>3292</v>
      </c>
      <c r="J38" s="750">
        <v>20</v>
      </c>
      <c r="K38" s="1012" t="s">
        <v>631</v>
      </c>
      <c r="L38" s="1059"/>
    </row>
    <row r="39" spans="1:12" s="1039" customFormat="1" ht="31" customHeight="1">
      <c r="A39" s="750">
        <f t="shared" si="2"/>
        <v>33</v>
      </c>
      <c r="B39" s="751" t="s">
        <v>555</v>
      </c>
      <c r="C39" s="750" t="s">
        <v>76</v>
      </c>
      <c r="D39" s="1123">
        <v>18.338999999999999</v>
      </c>
      <c r="E39" s="782"/>
      <c r="F39" s="752">
        <v>46089</v>
      </c>
      <c r="G39" s="752">
        <v>46093</v>
      </c>
      <c r="H39" s="750" t="s">
        <v>631</v>
      </c>
      <c r="I39" s="750" t="s">
        <v>3312</v>
      </c>
      <c r="J39" s="750">
        <v>26</v>
      </c>
      <c r="K39" s="1012"/>
      <c r="L39" s="1059"/>
    </row>
    <row r="40" spans="1:12" s="1039" customFormat="1" ht="31" customHeight="1">
      <c r="A40" s="750">
        <f t="shared" si="2"/>
        <v>34</v>
      </c>
      <c r="B40" s="751" t="s">
        <v>1652</v>
      </c>
      <c r="C40" s="750" t="s">
        <v>76</v>
      </c>
      <c r="D40" s="1123">
        <v>18.338999999999999</v>
      </c>
      <c r="E40" s="782"/>
      <c r="F40" s="752">
        <v>46090</v>
      </c>
      <c r="G40" s="752">
        <v>46104</v>
      </c>
      <c r="H40" s="750" t="s">
        <v>631</v>
      </c>
      <c r="I40" s="750" t="s">
        <v>3334</v>
      </c>
      <c r="J40" s="750">
        <v>18</v>
      </c>
      <c r="K40" s="1012"/>
      <c r="L40" s="1059"/>
    </row>
    <row r="41" spans="1:12" s="1039" customFormat="1" ht="31" customHeight="1">
      <c r="A41" s="750">
        <f t="shared" si="2"/>
        <v>35</v>
      </c>
      <c r="B41" s="751" t="s">
        <v>503</v>
      </c>
      <c r="C41" s="750" t="s">
        <v>76</v>
      </c>
      <c r="D41" s="1123">
        <v>18.338999999999999</v>
      </c>
      <c r="E41" s="782"/>
      <c r="F41" s="752">
        <v>46093</v>
      </c>
      <c r="G41" s="752">
        <v>46097</v>
      </c>
      <c r="H41" s="750" t="s">
        <v>631</v>
      </c>
      <c r="I41" s="750" t="s">
        <v>3312</v>
      </c>
      <c r="J41" s="750">
        <v>26</v>
      </c>
      <c r="K41" s="1012"/>
      <c r="L41" s="1059"/>
    </row>
    <row r="42" spans="1:12" s="1039" customFormat="1" ht="31" customHeight="1">
      <c r="A42" s="750">
        <f t="shared" si="2"/>
        <v>36</v>
      </c>
      <c r="B42" s="751" t="s">
        <v>1648</v>
      </c>
      <c r="C42" s="750" t="s">
        <v>76</v>
      </c>
      <c r="D42" s="1123">
        <v>18.338999999999999</v>
      </c>
      <c r="E42" s="782"/>
      <c r="F42" s="752">
        <v>46093</v>
      </c>
      <c r="G42" s="752">
        <v>46098</v>
      </c>
      <c r="H42" s="750" t="s">
        <v>631</v>
      </c>
      <c r="I42" s="750" t="s">
        <v>3292</v>
      </c>
      <c r="J42" s="750">
        <v>20</v>
      </c>
      <c r="K42" s="1012" t="s">
        <v>631</v>
      </c>
      <c r="L42" s="1059"/>
    </row>
    <row r="43" spans="1:12" s="1039" customFormat="1" ht="31" customHeight="1">
      <c r="A43" s="750">
        <f t="shared" si="2"/>
        <v>37</v>
      </c>
      <c r="B43" s="751" t="s">
        <v>3053</v>
      </c>
      <c r="C43" s="750" t="s">
        <v>1277</v>
      </c>
      <c r="D43" s="1123">
        <v>32.22</v>
      </c>
      <c r="E43" s="782"/>
      <c r="F43" s="752">
        <v>46093</v>
      </c>
      <c r="G43" s="752">
        <v>46105</v>
      </c>
      <c r="H43" s="750" t="s">
        <v>631</v>
      </c>
      <c r="I43" s="750" t="s">
        <v>3415</v>
      </c>
      <c r="J43" s="750">
        <v>20</v>
      </c>
      <c r="K43" s="1012"/>
      <c r="L43" s="1059"/>
    </row>
    <row r="44" spans="1:12" s="1039" customFormat="1" ht="31" customHeight="1">
      <c r="A44" s="750">
        <f t="shared" si="2"/>
        <v>38</v>
      </c>
      <c r="B44" s="751" t="s">
        <v>3046</v>
      </c>
      <c r="C44" s="750" t="s">
        <v>1319</v>
      </c>
      <c r="D44" s="1123">
        <v>42.23</v>
      </c>
      <c r="E44" s="782"/>
      <c r="F44" s="752">
        <v>46097</v>
      </c>
      <c r="G44" s="752">
        <v>46106</v>
      </c>
      <c r="H44" s="750" t="s">
        <v>631</v>
      </c>
      <c r="I44" s="750" t="s">
        <v>3292</v>
      </c>
      <c r="J44" s="750">
        <v>20</v>
      </c>
      <c r="K44" s="1012" t="s">
        <v>631</v>
      </c>
      <c r="L44" s="1059"/>
    </row>
    <row r="45" spans="1:12" s="1039" customFormat="1" ht="31" customHeight="1">
      <c r="A45" s="750">
        <f t="shared" si="2"/>
        <v>39</v>
      </c>
      <c r="B45" s="751" t="s">
        <v>564</v>
      </c>
      <c r="C45" s="750" t="s">
        <v>62</v>
      </c>
      <c r="D45" s="1123">
        <v>19.440000000000001</v>
      </c>
      <c r="E45" s="782"/>
      <c r="F45" s="752">
        <v>46097</v>
      </c>
      <c r="G45" s="752">
        <v>46102</v>
      </c>
      <c r="H45" s="750" t="s">
        <v>631</v>
      </c>
      <c r="I45" s="750" t="s">
        <v>3312</v>
      </c>
      <c r="J45" s="750">
        <v>20</v>
      </c>
      <c r="K45" s="1012"/>
      <c r="L45" s="1059"/>
    </row>
    <row r="46" spans="1:12" s="1039" customFormat="1" ht="31" customHeight="1">
      <c r="A46" s="750">
        <f t="shared" si="2"/>
        <v>40</v>
      </c>
      <c r="B46" s="751" t="s">
        <v>502</v>
      </c>
      <c r="C46" s="750" t="s">
        <v>76</v>
      </c>
      <c r="D46" s="1123">
        <v>18.34</v>
      </c>
      <c r="E46" s="782"/>
      <c r="F46" s="752">
        <v>46097</v>
      </c>
      <c r="G46" s="752">
        <v>46105</v>
      </c>
      <c r="H46" s="750" t="s">
        <v>631</v>
      </c>
      <c r="I46" s="750" t="s">
        <v>3312</v>
      </c>
      <c r="J46" s="750">
        <v>20</v>
      </c>
      <c r="K46" s="1012"/>
      <c r="L46" s="1059"/>
    </row>
    <row r="47" spans="1:12" s="1039" customFormat="1" ht="31" customHeight="1">
      <c r="A47" s="750">
        <f t="shared" si="2"/>
        <v>41</v>
      </c>
      <c r="B47" s="751" t="s">
        <v>985</v>
      </c>
      <c r="C47" s="750" t="s">
        <v>76</v>
      </c>
      <c r="D47" s="1123">
        <v>18.34</v>
      </c>
      <c r="E47" s="782"/>
      <c r="F47" s="752">
        <v>46104</v>
      </c>
      <c r="G47" s="752">
        <v>46111</v>
      </c>
      <c r="H47" s="750" t="s">
        <v>631</v>
      </c>
      <c r="I47" s="750" t="s">
        <v>3334</v>
      </c>
      <c r="J47" s="750">
        <v>18</v>
      </c>
      <c r="K47" s="1012"/>
      <c r="L47" s="1059"/>
    </row>
    <row r="48" spans="1:12" s="1039" customFormat="1" ht="31" customHeight="1">
      <c r="A48" s="750">
        <f t="shared" si="2"/>
        <v>42</v>
      </c>
      <c r="B48" s="751" t="s">
        <v>3064</v>
      </c>
      <c r="C48" s="750" t="s">
        <v>1269</v>
      </c>
      <c r="D48" s="1123">
        <v>27.92</v>
      </c>
      <c r="E48" s="782"/>
      <c r="F48" s="752">
        <v>46105</v>
      </c>
      <c r="G48" s="752">
        <v>46111</v>
      </c>
      <c r="H48" s="750" t="s">
        <v>631</v>
      </c>
      <c r="I48" s="750" t="s">
        <v>3312</v>
      </c>
      <c r="J48" s="750">
        <v>20</v>
      </c>
      <c r="K48" s="1012"/>
      <c r="L48" s="1059"/>
    </row>
    <row r="49" spans="1:12" s="1039" customFormat="1" ht="31" customHeight="1">
      <c r="A49" s="750">
        <f t="shared" si="2"/>
        <v>43</v>
      </c>
      <c r="B49" s="751" t="s">
        <v>984</v>
      </c>
      <c r="C49" s="750" t="s">
        <v>76</v>
      </c>
      <c r="D49" s="1123">
        <v>18.34</v>
      </c>
      <c r="E49" s="782"/>
      <c r="F49" s="752">
        <v>46105</v>
      </c>
      <c r="G49" s="752">
        <v>46110</v>
      </c>
      <c r="H49" s="750" t="s">
        <v>631</v>
      </c>
      <c r="I49" s="750" t="s">
        <v>3415</v>
      </c>
      <c r="J49" s="750">
        <v>20</v>
      </c>
      <c r="K49" s="1012"/>
      <c r="L49" s="1059"/>
    </row>
    <row r="50" spans="1:12" s="1039" customFormat="1" ht="31" customHeight="1">
      <c r="A50" s="750">
        <f t="shared" si="2"/>
        <v>44</v>
      </c>
      <c r="B50" s="751" t="s">
        <v>3045</v>
      </c>
      <c r="C50" s="750" t="s">
        <v>1361</v>
      </c>
      <c r="D50" s="1123">
        <v>33.53</v>
      </c>
      <c r="E50" s="782"/>
      <c r="F50" s="752">
        <v>46106</v>
      </c>
      <c r="G50" s="752">
        <v>46118</v>
      </c>
      <c r="H50" s="750" t="s">
        <v>631</v>
      </c>
      <c r="I50" s="750" t="s">
        <v>3292</v>
      </c>
      <c r="J50" s="750">
        <v>20</v>
      </c>
      <c r="K50" s="1012" t="s">
        <v>631</v>
      </c>
      <c r="L50" s="1059"/>
    </row>
    <row r="51" spans="1:12" s="1039" customFormat="1" ht="31" customHeight="1">
      <c r="A51" s="750">
        <f t="shared" si="2"/>
        <v>45</v>
      </c>
      <c r="B51" s="751" t="s">
        <v>3051</v>
      </c>
      <c r="C51" s="750" t="s">
        <v>1269</v>
      </c>
      <c r="D51" s="1123">
        <v>27.920999999999999</v>
      </c>
      <c r="E51" s="782"/>
      <c r="F51" s="752">
        <v>46110</v>
      </c>
      <c r="G51" s="752">
        <v>46116</v>
      </c>
      <c r="H51" s="750" t="s">
        <v>631</v>
      </c>
      <c r="I51" s="750" t="s">
        <v>3415</v>
      </c>
      <c r="J51" s="750">
        <v>25</v>
      </c>
      <c r="K51" s="1012" t="s">
        <v>631</v>
      </c>
      <c r="L51" s="1059"/>
    </row>
    <row r="52" spans="1:12" s="1039" customFormat="1" ht="31" customHeight="1">
      <c r="A52" s="750">
        <f t="shared" si="2"/>
        <v>46</v>
      </c>
      <c r="B52" s="751" t="s">
        <v>800</v>
      </c>
      <c r="C52" s="750" t="s">
        <v>76</v>
      </c>
      <c r="D52" s="1123">
        <v>18.338999999999999</v>
      </c>
      <c r="E52" s="782"/>
      <c r="F52" s="752">
        <v>46111</v>
      </c>
      <c r="G52" s="752">
        <v>46117</v>
      </c>
      <c r="H52" s="750" t="s">
        <v>631</v>
      </c>
      <c r="I52" s="750" t="s">
        <v>3334</v>
      </c>
      <c r="J52" s="750">
        <v>21</v>
      </c>
      <c r="K52" s="1012"/>
      <c r="L52" s="1059"/>
    </row>
    <row r="53" spans="1:12" s="1039" customFormat="1" ht="31" customHeight="1">
      <c r="A53" s="750">
        <f t="shared" si="2"/>
        <v>47</v>
      </c>
      <c r="B53" s="751" t="s">
        <v>806</v>
      </c>
      <c r="C53" s="750" t="s">
        <v>62</v>
      </c>
      <c r="D53" s="1123">
        <v>19.442</v>
      </c>
      <c r="E53" s="782"/>
      <c r="F53" s="752">
        <v>46111</v>
      </c>
      <c r="G53" s="752">
        <v>46114</v>
      </c>
      <c r="H53" s="750" t="s">
        <v>631</v>
      </c>
      <c r="I53" s="750" t="s">
        <v>3312</v>
      </c>
      <c r="J53" s="750">
        <v>24</v>
      </c>
      <c r="K53" s="1012"/>
      <c r="L53" s="1059"/>
    </row>
    <row r="54" spans="1:12" s="1039" customFormat="1" ht="31" customHeight="1">
      <c r="A54" s="750">
        <f t="shared" ref="A54:A106" si="3">A53+1</f>
        <v>48</v>
      </c>
      <c r="B54" s="751" t="s">
        <v>801</v>
      </c>
      <c r="C54" s="750" t="s">
        <v>76</v>
      </c>
      <c r="D54" s="1123">
        <v>18.34</v>
      </c>
      <c r="E54" s="782"/>
      <c r="F54" s="752">
        <v>46114</v>
      </c>
      <c r="G54" s="752">
        <v>46118</v>
      </c>
      <c r="H54" s="750" t="s">
        <v>631</v>
      </c>
      <c r="I54" s="750" t="s">
        <v>3312</v>
      </c>
      <c r="J54" s="750">
        <v>24</v>
      </c>
      <c r="K54" s="1012"/>
      <c r="L54" s="1059"/>
    </row>
    <row r="55" spans="1:12" s="1039" customFormat="1" ht="31" customHeight="1">
      <c r="A55" s="750">
        <f t="shared" si="3"/>
        <v>49</v>
      </c>
      <c r="B55" s="751" t="s">
        <v>2373</v>
      </c>
      <c r="C55" s="750" t="s">
        <v>1361</v>
      </c>
      <c r="D55" s="1123">
        <v>33.53</v>
      </c>
      <c r="E55" s="782"/>
      <c r="F55" s="752">
        <v>46116</v>
      </c>
      <c r="G55" s="752">
        <v>46122</v>
      </c>
      <c r="H55" s="750" t="s">
        <v>631</v>
      </c>
      <c r="I55" s="750" t="s">
        <v>3414</v>
      </c>
      <c r="J55" s="750">
        <v>15</v>
      </c>
      <c r="K55" s="1012"/>
      <c r="L55" s="1059"/>
    </row>
    <row r="56" spans="1:12" s="1039" customFormat="1" ht="31" customHeight="1">
      <c r="A56" s="750">
        <f t="shared" si="3"/>
        <v>50</v>
      </c>
      <c r="B56" s="751" t="s">
        <v>3050</v>
      </c>
      <c r="C56" s="750" t="s">
        <v>1269</v>
      </c>
      <c r="D56" s="1123">
        <v>27.92</v>
      </c>
      <c r="E56" s="782"/>
      <c r="F56" s="752">
        <v>46116</v>
      </c>
      <c r="G56" s="752">
        <v>46124</v>
      </c>
      <c r="H56" s="750" t="s">
        <v>631</v>
      </c>
      <c r="I56" s="750" t="s">
        <v>3415</v>
      </c>
      <c r="J56" s="750">
        <v>25</v>
      </c>
      <c r="K56" s="1012" t="s">
        <v>631</v>
      </c>
      <c r="L56" s="1059"/>
    </row>
    <row r="57" spans="1:12" s="1039" customFormat="1" ht="31" customHeight="1">
      <c r="A57" s="750">
        <f t="shared" si="3"/>
        <v>51</v>
      </c>
      <c r="B57" s="751" t="s">
        <v>2009</v>
      </c>
      <c r="C57" s="750" t="s">
        <v>53</v>
      </c>
      <c r="D57" s="1123">
        <v>22.68</v>
      </c>
      <c r="E57" s="782"/>
      <c r="F57" s="752">
        <v>46117</v>
      </c>
      <c r="G57" s="752">
        <v>46122</v>
      </c>
      <c r="H57" s="750" t="s">
        <v>631</v>
      </c>
      <c r="I57" s="750" t="s">
        <v>3334</v>
      </c>
      <c r="J57" s="750">
        <v>21</v>
      </c>
      <c r="K57" s="1012"/>
      <c r="L57" s="1059"/>
    </row>
    <row r="58" spans="1:12" s="1039" customFormat="1" ht="31" customHeight="1">
      <c r="A58" s="750">
        <f t="shared" si="3"/>
        <v>52</v>
      </c>
      <c r="B58" s="751" t="s">
        <v>765</v>
      </c>
      <c r="C58" s="750" t="s">
        <v>53</v>
      </c>
      <c r="D58" s="1123">
        <v>22.68</v>
      </c>
      <c r="E58" s="782"/>
      <c r="F58" s="752">
        <v>46118</v>
      </c>
      <c r="G58" s="752">
        <v>46122</v>
      </c>
      <c r="H58" s="750" t="s">
        <v>631</v>
      </c>
      <c r="I58" s="750" t="s">
        <v>3312</v>
      </c>
      <c r="J58" s="750">
        <v>24</v>
      </c>
      <c r="K58" s="1012"/>
      <c r="L58" s="1059"/>
    </row>
    <row r="59" spans="1:12" s="1039" customFormat="1" ht="31" customHeight="1">
      <c r="A59" s="750">
        <f t="shared" si="3"/>
        <v>53</v>
      </c>
      <c r="B59" s="751" t="s">
        <v>3040</v>
      </c>
      <c r="C59" s="750" t="s">
        <v>1934</v>
      </c>
      <c r="D59" s="1123">
        <v>34.578000000000003</v>
      </c>
      <c r="E59" s="782"/>
      <c r="F59" s="752">
        <v>46118</v>
      </c>
      <c r="G59" s="752">
        <v>46127</v>
      </c>
      <c r="H59" s="750" t="s">
        <v>631</v>
      </c>
      <c r="I59" s="750" t="s">
        <v>3292</v>
      </c>
      <c r="J59" s="750">
        <v>20</v>
      </c>
      <c r="K59" s="1012"/>
      <c r="L59" s="1059"/>
    </row>
    <row r="60" spans="1:12" s="1039" customFormat="1" ht="31" customHeight="1">
      <c r="A60" s="750">
        <f t="shared" si="3"/>
        <v>54</v>
      </c>
      <c r="B60" s="751" t="s">
        <v>719</v>
      </c>
      <c r="C60" s="750" t="s">
        <v>76</v>
      </c>
      <c r="D60" s="1123">
        <v>18.34</v>
      </c>
      <c r="E60" s="782"/>
      <c r="F60" s="752">
        <v>46122</v>
      </c>
      <c r="G60" s="752">
        <v>46126</v>
      </c>
      <c r="H60" s="750" t="s">
        <v>631</v>
      </c>
      <c r="I60" s="750" t="s">
        <v>3312</v>
      </c>
      <c r="J60" s="750">
        <v>24</v>
      </c>
      <c r="K60" s="1012"/>
      <c r="L60" s="1059"/>
    </row>
    <row r="61" spans="1:12" s="1039" customFormat="1" ht="31" customHeight="1">
      <c r="A61" s="750">
        <f t="shared" si="3"/>
        <v>55</v>
      </c>
      <c r="B61" s="751" t="s">
        <v>1632</v>
      </c>
      <c r="C61" s="750" t="s">
        <v>249</v>
      </c>
      <c r="D61" s="1123">
        <v>24.149000000000001</v>
      </c>
      <c r="E61" s="782"/>
      <c r="F61" s="752">
        <v>46124</v>
      </c>
      <c r="G61" s="752">
        <v>46131</v>
      </c>
      <c r="H61" s="750" t="s">
        <v>631</v>
      </c>
      <c r="I61" s="750" t="s">
        <v>3414</v>
      </c>
      <c r="J61" s="750">
        <v>15</v>
      </c>
      <c r="K61" s="1012"/>
      <c r="L61" s="1059"/>
    </row>
    <row r="62" spans="1:12" s="1039" customFormat="1" ht="31" customHeight="1">
      <c r="A62" s="750">
        <f t="shared" si="3"/>
        <v>56</v>
      </c>
      <c r="B62" s="751" t="s">
        <v>777</v>
      </c>
      <c r="C62" s="750" t="s">
        <v>76</v>
      </c>
      <c r="D62" s="1123">
        <v>18.34</v>
      </c>
      <c r="E62" s="782"/>
      <c r="F62" s="752">
        <v>46126</v>
      </c>
      <c r="G62" s="752">
        <v>46130</v>
      </c>
      <c r="H62" s="750" t="s">
        <v>631</v>
      </c>
      <c r="I62" s="750" t="s">
        <v>3312</v>
      </c>
      <c r="J62" s="750">
        <v>24</v>
      </c>
      <c r="K62" s="1012"/>
      <c r="L62" s="1059"/>
    </row>
    <row r="63" spans="1:12" s="1039" customFormat="1" ht="31" customHeight="1">
      <c r="A63" s="750">
        <f t="shared" si="3"/>
        <v>57</v>
      </c>
      <c r="B63" s="751" t="s">
        <v>3037</v>
      </c>
      <c r="C63" s="750" t="s">
        <v>1277</v>
      </c>
      <c r="D63" s="1123">
        <v>32.22</v>
      </c>
      <c r="E63" s="782"/>
      <c r="F63" s="752">
        <v>46127</v>
      </c>
      <c r="G63" s="752">
        <v>46132</v>
      </c>
      <c r="H63" s="750" t="s">
        <v>631</v>
      </c>
      <c r="I63" s="750" t="s">
        <v>3292</v>
      </c>
      <c r="J63" s="750">
        <v>20</v>
      </c>
      <c r="K63" s="1012"/>
      <c r="L63" s="1059"/>
    </row>
    <row r="64" spans="1:12" s="1039" customFormat="1" ht="31" customHeight="1">
      <c r="A64" s="750">
        <f t="shared" si="3"/>
        <v>58</v>
      </c>
      <c r="B64" s="751" t="s">
        <v>786</v>
      </c>
      <c r="C64" s="750" t="s">
        <v>76</v>
      </c>
      <c r="D64" s="1123">
        <v>18.34</v>
      </c>
      <c r="E64" s="782"/>
      <c r="F64" s="752">
        <v>46130</v>
      </c>
      <c r="G64" s="752">
        <v>46133</v>
      </c>
      <c r="H64" s="750" t="s">
        <v>631</v>
      </c>
      <c r="I64" s="750" t="s">
        <v>3312</v>
      </c>
      <c r="J64" s="750">
        <v>24</v>
      </c>
      <c r="K64" s="1012"/>
      <c r="L64" s="1059"/>
    </row>
    <row r="65" spans="1:12" s="1039" customFormat="1" ht="31" customHeight="1">
      <c r="A65" s="750">
        <f t="shared" si="3"/>
        <v>59</v>
      </c>
      <c r="B65" s="751" t="s">
        <v>1653</v>
      </c>
      <c r="C65" s="750" t="s">
        <v>62</v>
      </c>
      <c r="D65" s="1123">
        <v>19.440000000000001</v>
      </c>
      <c r="E65" s="1014"/>
      <c r="F65" s="752">
        <v>46131</v>
      </c>
      <c r="G65" s="752">
        <v>46135</v>
      </c>
      <c r="H65" s="750" t="s">
        <v>631</v>
      </c>
      <c r="I65" s="750" t="s">
        <v>3414</v>
      </c>
      <c r="J65" s="750">
        <v>15</v>
      </c>
      <c r="K65" s="1012"/>
      <c r="L65" s="1059"/>
    </row>
    <row r="66" spans="1:12" s="1039" customFormat="1" ht="31" customHeight="1">
      <c r="A66" s="750">
        <f t="shared" si="3"/>
        <v>60</v>
      </c>
      <c r="B66" s="751" t="s">
        <v>2038</v>
      </c>
      <c r="C66" s="750" t="s">
        <v>53</v>
      </c>
      <c r="D66" s="1123">
        <v>22.68</v>
      </c>
      <c r="E66" s="782"/>
      <c r="F66" s="752">
        <v>46132</v>
      </c>
      <c r="G66" s="752">
        <v>46138</v>
      </c>
      <c r="H66" s="750" t="s">
        <v>631</v>
      </c>
      <c r="I66" s="750" t="s">
        <v>3292</v>
      </c>
      <c r="J66" s="750">
        <v>20</v>
      </c>
      <c r="K66" s="1012"/>
      <c r="L66" s="1059"/>
    </row>
    <row r="67" spans="1:12" s="1039" customFormat="1" ht="31" customHeight="1">
      <c r="A67" s="750">
        <f t="shared" si="3"/>
        <v>61</v>
      </c>
      <c r="B67" s="751" t="s">
        <v>3063</v>
      </c>
      <c r="C67" s="750" t="s">
        <v>1995</v>
      </c>
      <c r="D67" s="1123">
        <v>44.070999999999998</v>
      </c>
      <c r="E67" s="782"/>
      <c r="F67" s="752">
        <v>46133</v>
      </c>
      <c r="G67" s="752">
        <v>46142</v>
      </c>
      <c r="H67" s="750" t="s">
        <v>631</v>
      </c>
      <c r="I67" s="750" t="s">
        <v>3312</v>
      </c>
      <c r="J67" s="750">
        <v>24</v>
      </c>
      <c r="K67" s="1012"/>
      <c r="L67" s="1059"/>
    </row>
    <row r="68" spans="1:12" s="1039" customFormat="1" ht="31" customHeight="1">
      <c r="A68" s="750">
        <f t="shared" si="3"/>
        <v>62</v>
      </c>
      <c r="B68" s="751" t="s">
        <v>562</v>
      </c>
      <c r="C68" s="750" t="s">
        <v>76</v>
      </c>
      <c r="D68" s="1123">
        <v>18.34</v>
      </c>
      <c r="E68" s="782"/>
      <c r="F68" s="752">
        <v>46136</v>
      </c>
      <c r="G68" s="752">
        <v>46140</v>
      </c>
      <c r="H68" s="750" t="s">
        <v>631</v>
      </c>
      <c r="I68" s="750" t="s">
        <v>3414</v>
      </c>
      <c r="J68" s="750">
        <v>22</v>
      </c>
      <c r="K68" s="1012"/>
      <c r="L68" s="1059"/>
    </row>
    <row r="69" spans="1:12" s="1039" customFormat="1" ht="31" customHeight="1">
      <c r="A69" s="750">
        <f t="shared" si="3"/>
        <v>63</v>
      </c>
      <c r="B69" s="751" t="s">
        <v>2040</v>
      </c>
      <c r="C69" s="750" t="s">
        <v>76</v>
      </c>
      <c r="D69" s="1123">
        <v>18.34</v>
      </c>
      <c r="E69" s="782"/>
      <c r="F69" s="752">
        <v>46138</v>
      </c>
      <c r="G69" s="752">
        <v>46141</v>
      </c>
      <c r="H69" s="750" t="s">
        <v>631</v>
      </c>
      <c r="I69" s="750" t="s">
        <v>3292</v>
      </c>
      <c r="J69" s="750">
        <v>20</v>
      </c>
      <c r="K69" s="1012"/>
      <c r="L69" s="1059"/>
    </row>
    <row r="70" spans="1:12" s="1039" customFormat="1" ht="31" customHeight="1">
      <c r="A70" s="750">
        <f t="shared" si="3"/>
        <v>64</v>
      </c>
      <c r="B70" s="751" t="s">
        <v>2031</v>
      </c>
      <c r="C70" s="750" t="s">
        <v>62</v>
      </c>
      <c r="D70" s="1123">
        <v>19.440000000000001</v>
      </c>
      <c r="E70" s="782"/>
      <c r="F70" s="752">
        <v>46140</v>
      </c>
      <c r="G70" s="752">
        <v>46142</v>
      </c>
      <c r="H70" s="750" t="s">
        <v>631</v>
      </c>
      <c r="I70" s="750" t="s">
        <v>3414</v>
      </c>
      <c r="J70" s="750">
        <v>22</v>
      </c>
      <c r="K70" s="1012"/>
      <c r="L70" s="1059"/>
    </row>
    <row r="71" spans="1:12" s="1039" customFormat="1" ht="31" customHeight="1">
      <c r="A71" s="750">
        <f t="shared" si="3"/>
        <v>65</v>
      </c>
      <c r="B71" s="751" t="s">
        <v>834</v>
      </c>
      <c r="C71" s="750" t="s">
        <v>62</v>
      </c>
      <c r="D71" s="1123">
        <v>19.440000000000001</v>
      </c>
      <c r="E71" s="782"/>
      <c r="F71" s="752">
        <v>46141</v>
      </c>
      <c r="G71" s="752">
        <v>46144</v>
      </c>
      <c r="H71" s="750" t="s">
        <v>631</v>
      </c>
      <c r="I71" s="750" t="s">
        <v>3292</v>
      </c>
      <c r="J71" s="750">
        <v>20</v>
      </c>
      <c r="K71" s="1012"/>
      <c r="L71" s="1059"/>
    </row>
    <row r="72" spans="1:12" s="1039" customFormat="1" ht="31" customHeight="1">
      <c r="A72" s="750">
        <f t="shared" si="3"/>
        <v>66</v>
      </c>
      <c r="B72" s="751" t="s">
        <v>825</v>
      </c>
      <c r="C72" s="750" t="s">
        <v>62</v>
      </c>
      <c r="D72" s="1123">
        <v>19.440000000000001</v>
      </c>
      <c r="E72" s="782"/>
      <c r="F72" s="752">
        <v>46142</v>
      </c>
      <c r="G72" s="752">
        <v>46147</v>
      </c>
      <c r="H72" s="750" t="s">
        <v>631</v>
      </c>
      <c r="I72" s="750" t="s">
        <v>3414</v>
      </c>
      <c r="J72" s="750">
        <v>22</v>
      </c>
      <c r="K72" s="1012"/>
      <c r="L72" s="1059"/>
    </row>
    <row r="73" spans="1:12" s="1039" customFormat="1" ht="31" customHeight="1">
      <c r="A73" s="750">
        <f t="shared" si="3"/>
        <v>67</v>
      </c>
      <c r="B73" s="751" t="s">
        <v>1017</v>
      </c>
      <c r="C73" s="750" t="s">
        <v>76</v>
      </c>
      <c r="D73" s="1123">
        <v>18.34</v>
      </c>
      <c r="E73" s="782"/>
      <c r="F73" s="752">
        <v>46142</v>
      </c>
      <c r="G73" s="752">
        <v>46145</v>
      </c>
      <c r="H73" s="750" t="s">
        <v>631</v>
      </c>
      <c r="I73" s="750" t="s">
        <v>3312</v>
      </c>
      <c r="J73" s="750">
        <v>24</v>
      </c>
      <c r="K73" s="1012"/>
      <c r="L73" s="1059"/>
    </row>
    <row r="74" spans="1:12" s="1039" customFormat="1" ht="31" customHeight="1">
      <c r="A74" s="750">
        <f t="shared" si="3"/>
        <v>68</v>
      </c>
      <c r="B74" s="751" t="s">
        <v>3067</v>
      </c>
      <c r="C74" s="750" t="s">
        <v>1269</v>
      </c>
      <c r="D74" s="1123">
        <v>27.92</v>
      </c>
      <c r="E74" s="782"/>
      <c r="F74" s="752">
        <v>46145</v>
      </c>
      <c r="G74" s="752">
        <v>46150</v>
      </c>
      <c r="H74" s="750" t="s">
        <v>631</v>
      </c>
      <c r="I74" s="750" t="s">
        <v>3292</v>
      </c>
      <c r="J74" s="750">
        <v>20</v>
      </c>
      <c r="K74" s="1012"/>
      <c r="L74" s="1059"/>
    </row>
    <row r="75" spans="1:12" s="1039" customFormat="1" ht="31" customHeight="1">
      <c r="A75" s="750">
        <f t="shared" si="3"/>
        <v>69</v>
      </c>
      <c r="B75" s="751" t="s">
        <v>1016</v>
      </c>
      <c r="C75" s="750" t="s">
        <v>76</v>
      </c>
      <c r="D75" s="1123">
        <v>18.34</v>
      </c>
      <c r="E75" s="782"/>
      <c r="F75" s="752">
        <v>46145</v>
      </c>
      <c r="G75" s="752">
        <v>46149</v>
      </c>
      <c r="H75" s="750" t="s">
        <v>631</v>
      </c>
      <c r="I75" s="750" t="s">
        <v>3312</v>
      </c>
      <c r="J75" s="750">
        <v>24</v>
      </c>
      <c r="K75" s="1012"/>
      <c r="L75" s="1257"/>
    </row>
    <row r="76" spans="1:12" s="1039" customFormat="1" ht="31" customHeight="1">
      <c r="A76" s="750">
        <f t="shared" si="3"/>
        <v>70</v>
      </c>
      <c r="B76" s="751" t="s">
        <v>1654</v>
      </c>
      <c r="C76" s="750" t="s">
        <v>76</v>
      </c>
      <c r="D76" s="1123">
        <v>18.34</v>
      </c>
      <c r="E76" s="782"/>
      <c r="F76" s="752">
        <v>46147</v>
      </c>
      <c r="G76" s="752">
        <v>46151</v>
      </c>
      <c r="H76" s="750" t="s">
        <v>631</v>
      </c>
      <c r="I76" s="750" t="s">
        <v>3414</v>
      </c>
      <c r="J76" s="750">
        <v>22</v>
      </c>
      <c r="K76" s="1012"/>
      <c r="L76" s="1257"/>
    </row>
    <row r="77" spans="1:12" s="1039" customFormat="1" ht="31" customHeight="1">
      <c r="A77" s="750">
        <f t="shared" si="3"/>
        <v>71</v>
      </c>
      <c r="B77" s="751" t="s">
        <v>974</v>
      </c>
      <c r="C77" s="750" t="s">
        <v>62</v>
      </c>
      <c r="D77" s="1123">
        <v>19.440000000000001</v>
      </c>
      <c r="E77" s="782"/>
      <c r="F77" s="752">
        <v>46149</v>
      </c>
      <c r="G77" s="752">
        <v>46152</v>
      </c>
      <c r="H77" s="750" t="s">
        <v>631</v>
      </c>
      <c r="I77" s="750" t="s">
        <v>3312</v>
      </c>
      <c r="J77" s="750">
        <v>24</v>
      </c>
      <c r="K77" s="1012"/>
      <c r="L77" s="1257"/>
    </row>
    <row r="78" spans="1:12" s="1039" customFormat="1" ht="31" customHeight="1">
      <c r="A78" s="750">
        <f t="shared" si="3"/>
        <v>72</v>
      </c>
      <c r="B78" s="751" t="s">
        <v>3054</v>
      </c>
      <c r="C78" s="750" t="s">
        <v>1269</v>
      </c>
      <c r="D78" s="1123">
        <v>27.92</v>
      </c>
      <c r="E78" s="782"/>
      <c r="F78" s="752">
        <v>46150</v>
      </c>
      <c r="G78" s="752">
        <v>46156</v>
      </c>
      <c r="H78" s="750" t="s">
        <v>631</v>
      </c>
      <c r="I78" s="750" t="s">
        <v>3292</v>
      </c>
      <c r="J78" s="750">
        <v>20</v>
      </c>
      <c r="K78" s="1012"/>
      <c r="L78" s="1257"/>
    </row>
    <row r="79" spans="1:12" s="1039" customFormat="1" ht="31" customHeight="1">
      <c r="A79" s="750">
        <f t="shared" si="3"/>
        <v>73</v>
      </c>
      <c r="B79" s="751" t="s">
        <v>3066</v>
      </c>
      <c r="C79" s="750" t="s">
        <v>1269</v>
      </c>
      <c r="D79" s="1123">
        <v>27.92</v>
      </c>
      <c r="E79" s="782"/>
      <c r="F79" s="752">
        <v>46152</v>
      </c>
      <c r="G79" s="752">
        <v>46157</v>
      </c>
      <c r="H79" s="750" t="s">
        <v>631</v>
      </c>
      <c r="I79" s="750" t="s">
        <v>3312</v>
      </c>
      <c r="J79" s="750">
        <v>24</v>
      </c>
      <c r="K79" s="1012"/>
      <c r="L79" s="1257"/>
    </row>
    <row r="80" spans="1:12" s="1039" customFormat="1" ht="31" customHeight="1">
      <c r="A80" s="750">
        <f t="shared" si="3"/>
        <v>74</v>
      </c>
      <c r="B80" s="751" t="s">
        <v>3049</v>
      </c>
      <c r="C80" s="750" t="s">
        <v>1953</v>
      </c>
      <c r="D80" s="1123">
        <v>41.843000000000004</v>
      </c>
      <c r="E80" s="782"/>
      <c r="F80" s="752">
        <v>46152</v>
      </c>
      <c r="G80" s="752">
        <v>46158</v>
      </c>
      <c r="H80" s="750" t="s">
        <v>631</v>
      </c>
      <c r="I80" s="750" t="s">
        <v>3414</v>
      </c>
      <c r="J80" s="750">
        <v>22</v>
      </c>
      <c r="K80" s="1012"/>
      <c r="L80" s="1257"/>
    </row>
    <row r="81" spans="1:12" s="1039" customFormat="1" ht="31" customHeight="1">
      <c r="A81" s="750">
        <f t="shared" si="3"/>
        <v>75</v>
      </c>
      <c r="B81" s="751" t="s">
        <v>658</v>
      </c>
      <c r="C81" s="750" t="s">
        <v>76</v>
      </c>
      <c r="D81" s="1123">
        <v>18.34</v>
      </c>
      <c r="E81" s="782"/>
      <c r="F81" s="752">
        <v>46157</v>
      </c>
      <c r="G81" s="752">
        <v>46159</v>
      </c>
      <c r="H81" s="750" t="s">
        <v>631</v>
      </c>
      <c r="I81" s="750" t="s">
        <v>3292</v>
      </c>
      <c r="J81" s="750">
        <v>20</v>
      </c>
      <c r="K81" s="1012"/>
      <c r="L81" s="1257"/>
    </row>
    <row r="82" spans="1:12" s="1039" customFormat="1" ht="31" customHeight="1">
      <c r="A82" s="750">
        <f t="shared" si="3"/>
        <v>76</v>
      </c>
      <c r="B82" s="751" t="s">
        <v>3065</v>
      </c>
      <c r="C82" s="750" t="s">
        <v>1269</v>
      </c>
      <c r="D82" s="1123">
        <v>27.92</v>
      </c>
      <c r="E82" s="782"/>
      <c r="F82" s="752">
        <v>46157</v>
      </c>
      <c r="G82" s="752">
        <v>46162</v>
      </c>
      <c r="H82" s="750" t="s">
        <v>631</v>
      </c>
      <c r="I82" s="750" t="s">
        <v>3312</v>
      </c>
      <c r="J82" s="750">
        <v>24</v>
      </c>
      <c r="K82" s="1012"/>
      <c r="L82" s="1257"/>
    </row>
    <row r="83" spans="1:12" s="1039" customFormat="1" ht="31" customHeight="1">
      <c r="A83" s="750">
        <f t="shared" si="3"/>
        <v>77</v>
      </c>
      <c r="B83" s="751" t="s">
        <v>1140</v>
      </c>
      <c r="C83" s="750" t="s">
        <v>62</v>
      </c>
      <c r="D83" s="1123">
        <v>19.440000000000001</v>
      </c>
      <c r="E83" s="782"/>
      <c r="F83" s="752">
        <v>46158</v>
      </c>
      <c r="G83" s="752">
        <v>46161</v>
      </c>
      <c r="H83" s="750" t="s">
        <v>631</v>
      </c>
      <c r="I83" s="750" t="s">
        <v>3414</v>
      </c>
      <c r="J83" s="750">
        <v>22</v>
      </c>
      <c r="K83" s="1012"/>
      <c r="L83" s="1257"/>
    </row>
    <row r="84" spans="1:12" s="1039" customFormat="1" ht="31" customHeight="1">
      <c r="A84" s="750">
        <f t="shared" si="3"/>
        <v>78</v>
      </c>
      <c r="B84" s="751" t="s">
        <v>770</v>
      </c>
      <c r="C84" s="750" t="s">
        <v>76</v>
      </c>
      <c r="D84" s="1123">
        <v>18.34</v>
      </c>
      <c r="E84" s="782"/>
      <c r="F84" s="752">
        <v>46159</v>
      </c>
      <c r="G84" s="752">
        <v>46164</v>
      </c>
      <c r="H84" s="750" t="s">
        <v>631</v>
      </c>
      <c r="I84" s="750" t="s">
        <v>3292</v>
      </c>
      <c r="J84" s="750">
        <v>20</v>
      </c>
      <c r="K84" s="1012"/>
      <c r="L84" s="1257"/>
    </row>
    <row r="85" spans="1:12" s="1039" customFormat="1" ht="31" customHeight="1">
      <c r="A85" s="750">
        <f t="shared" si="3"/>
        <v>79</v>
      </c>
      <c r="B85" s="751" t="s">
        <v>3048</v>
      </c>
      <c r="C85" s="750" t="s">
        <v>1402</v>
      </c>
      <c r="D85" s="1123">
        <v>39.484000000000002</v>
      </c>
      <c r="E85" s="782"/>
      <c r="F85" s="752">
        <v>46161</v>
      </c>
      <c r="G85" s="752">
        <v>46168</v>
      </c>
      <c r="H85" s="750" t="s">
        <v>631</v>
      </c>
      <c r="I85" s="750" t="s">
        <v>3414</v>
      </c>
      <c r="J85" s="750">
        <v>22</v>
      </c>
      <c r="K85" s="1012"/>
      <c r="L85" s="1257"/>
    </row>
    <row r="86" spans="1:12" s="1039" customFormat="1" ht="31" customHeight="1">
      <c r="A86" s="750">
        <f t="shared" si="3"/>
        <v>80</v>
      </c>
      <c r="B86" s="751" t="s">
        <v>3058</v>
      </c>
      <c r="C86" s="750" t="s">
        <v>1269</v>
      </c>
      <c r="D86" s="1123">
        <v>27.920999999999999</v>
      </c>
      <c r="E86" s="782"/>
      <c r="F86" s="752">
        <v>46163</v>
      </c>
      <c r="G86" s="752">
        <v>46168</v>
      </c>
      <c r="H86" s="750" t="s">
        <v>631</v>
      </c>
      <c r="I86" s="750" t="s">
        <v>3312</v>
      </c>
      <c r="J86" s="750">
        <v>24</v>
      </c>
      <c r="K86" s="1012"/>
      <c r="L86" s="1257"/>
    </row>
    <row r="87" spans="1:12" s="1039" customFormat="1" ht="31" customHeight="1">
      <c r="A87" s="750">
        <f t="shared" si="3"/>
        <v>81</v>
      </c>
      <c r="B87" s="751" t="s">
        <v>3042</v>
      </c>
      <c r="C87" s="750" t="s">
        <v>1935</v>
      </c>
      <c r="D87" s="1123">
        <v>52.662999999999997</v>
      </c>
      <c r="E87" s="782"/>
      <c r="F87" s="752">
        <v>46170</v>
      </c>
      <c r="G87" s="752">
        <v>46183</v>
      </c>
      <c r="H87" s="750" t="s">
        <v>631</v>
      </c>
      <c r="I87" s="750" t="s">
        <v>3292</v>
      </c>
      <c r="J87" s="750">
        <v>22</v>
      </c>
      <c r="K87" s="1012"/>
      <c r="L87" s="1257"/>
    </row>
    <row r="88" spans="1:12" s="1039" customFormat="1" ht="31" customHeight="1">
      <c r="A88" s="750">
        <f t="shared" si="3"/>
        <v>82</v>
      </c>
      <c r="B88" s="751" t="s">
        <v>816</v>
      </c>
      <c r="C88" s="750" t="s">
        <v>90</v>
      </c>
      <c r="D88" s="1123">
        <v>29.492000000000001</v>
      </c>
      <c r="E88" s="782"/>
      <c r="F88" s="752">
        <v>46168</v>
      </c>
      <c r="G88" s="752">
        <v>46175</v>
      </c>
      <c r="H88" s="750" t="s">
        <v>631</v>
      </c>
      <c r="I88" s="750" t="s">
        <v>3312</v>
      </c>
      <c r="J88" s="750">
        <v>24</v>
      </c>
      <c r="K88" s="1012"/>
      <c r="L88" s="1257"/>
    </row>
    <row r="89" spans="1:12" s="1039" customFormat="1" ht="31" customHeight="1">
      <c r="A89" s="1284">
        <f t="shared" si="3"/>
        <v>83</v>
      </c>
      <c r="B89" s="1285" t="s">
        <v>1645</v>
      </c>
      <c r="C89" s="1284" t="s">
        <v>62</v>
      </c>
      <c r="D89" s="1166">
        <v>19.442</v>
      </c>
      <c r="E89" s="1286"/>
      <c r="F89" s="1287">
        <v>46168</v>
      </c>
      <c r="G89" s="1287">
        <v>46171</v>
      </c>
      <c r="H89" s="1284" t="s">
        <v>631</v>
      </c>
      <c r="I89" s="1284" t="s">
        <v>3414</v>
      </c>
      <c r="J89" s="1284">
        <v>22</v>
      </c>
      <c r="K89" s="1304"/>
      <c r="L89" s="1306"/>
    </row>
    <row r="90" spans="1:12" s="1039" customFormat="1" ht="31" customHeight="1">
      <c r="A90" s="750">
        <f>A89+1</f>
        <v>84</v>
      </c>
      <c r="B90" s="751" t="s">
        <v>1643</v>
      </c>
      <c r="C90" s="750" t="s">
        <v>62</v>
      </c>
      <c r="D90" s="1166">
        <v>19.442</v>
      </c>
      <c r="E90" s="782"/>
      <c r="F90" s="752">
        <v>46172</v>
      </c>
      <c r="G90" s="752">
        <v>46173</v>
      </c>
      <c r="H90" s="1284" t="s">
        <v>631</v>
      </c>
      <c r="I90" s="750" t="s">
        <v>3414</v>
      </c>
      <c r="J90" s="750">
        <v>22</v>
      </c>
      <c r="K90" s="1012"/>
      <c r="L90" s="1257"/>
    </row>
    <row r="91" spans="1:12" s="1039" customFormat="1" ht="31" customHeight="1">
      <c r="A91" s="750">
        <f t="shared" si="3"/>
        <v>85</v>
      </c>
      <c r="B91" s="751" t="s">
        <v>3059</v>
      </c>
      <c r="C91" s="750" t="s">
        <v>1269</v>
      </c>
      <c r="D91" s="1123">
        <v>27.920999999999999</v>
      </c>
      <c r="E91" s="782"/>
      <c r="F91" s="752">
        <v>46175</v>
      </c>
      <c r="G91" s="752">
        <v>46181</v>
      </c>
      <c r="H91" s="1284" t="s">
        <v>631</v>
      </c>
      <c r="I91" s="750" t="s">
        <v>3312</v>
      </c>
      <c r="J91" s="750">
        <v>24</v>
      </c>
      <c r="K91" s="1012"/>
      <c r="L91" s="1257"/>
    </row>
    <row r="92" spans="1:12" s="1039" customFormat="1" ht="31" customHeight="1">
      <c r="A92" s="750">
        <f t="shared" si="3"/>
        <v>86</v>
      </c>
      <c r="B92" s="751" t="s">
        <v>1644</v>
      </c>
      <c r="C92" s="750" t="s">
        <v>62</v>
      </c>
      <c r="D92" s="1123">
        <v>19.442</v>
      </c>
      <c r="E92" s="782"/>
      <c r="F92" s="752">
        <v>46174</v>
      </c>
      <c r="G92" s="752">
        <v>46176</v>
      </c>
      <c r="H92" s="750" t="s">
        <v>631</v>
      </c>
      <c r="I92" s="750" t="s">
        <v>3414</v>
      </c>
      <c r="J92" s="750">
        <v>22</v>
      </c>
      <c r="K92" s="1012"/>
      <c r="L92" s="1257"/>
    </row>
    <row r="93" spans="1:12" s="1039" customFormat="1" ht="31" customHeight="1">
      <c r="A93" s="750">
        <f t="shared" si="3"/>
        <v>87</v>
      </c>
      <c r="B93" s="751" t="s">
        <v>829</v>
      </c>
      <c r="C93" s="750" t="s">
        <v>62</v>
      </c>
      <c r="D93" s="1123">
        <v>19.442</v>
      </c>
      <c r="E93" s="782"/>
      <c r="F93" s="752">
        <v>46181</v>
      </c>
      <c r="G93" s="752">
        <v>46186</v>
      </c>
      <c r="H93" s="750" t="s">
        <v>631</v>
      </c>
      <c r="I93" s="750" t="s">
        <v>3312</v>
      </c>
      <c r="J93" s="750">
        <v>24</v>
      </c>
      <c r="K93" s="1012"/>
      <c r="L93" s="1257"/>
    </row>
    <row r="94" spans="1:12" s="1039" customFormat="1" ht="31" customHeight="1">
      <c r="A94" s="750">
        <f t="shared" si="3"/>
        <v>88</v>
      </c>
      <c r="B94" s="751" t="s">
        <v>3043</v>
      </c>
      <c r="C94" s="750" t="s">
        <v>1361</v>
      </c>
      <c r="D94" s="1123">
        <v>33.53</v>
      </c>
      <c r="E94" s="782"/>
      <c r="F94" s="752">
        <v>46183</v>
      </c>
      <c r="G94" s="752">
        <v>46189</v>
      </c>
      <c r="H94" s="750" t="s">
        <v>631</v>
      </c>
      <c r="I94" s="750" t="s">
        <v>3292</v>
      </c>
      <c r="J94" s="750">
        <v>22</v>
      </c>
      <c r="K94" s="1012"/>
      <c r="L94" s="1257"/>
    </row>
    <row r="95" spans="1:12" s="1039" customFormat="1" ht="31" customHeight="1">
      <c r="A95" s="750">
        <f t="shared" si="3"/>
        <v>89</v>
      </c>
      <c r="B95" s="751" t="s">
        <v>894</v>
      </c>
      <c r="C95" s="750" t="s">
        <v>53</v>
      </c>
      <c r="D95" s="1123">
        <v>22.678999999999998</v>
      </c>
      <c r="E95" s="782"/>
      <c r="F95" s="752">
        <v>46187</v>
      </c>
      <c r="G95" s="752">
        <v>46197</v>
      </c>
      <c r="H95" s="750" t="s">
        <v>631</v>
      </c>
      <c r="I95" s="750" t="s">
        <v>3312</v>
      </c>
      <c r="J95" s="750">
        <v>20</v>
      </c>
      <c r="K95" s="1012"/>
      <c r="L95" s="1257"/>
    </row>
    <row r="96" spans="1:12" s="1039" customFormat="1" ht="31" customHeight="1">
      <c r="A96" s="750">
        <f t="shared" si="3"/>
        <v>90</v>
      </c>
      <c r="B96" s="751" t="s">
        <v>1117</v>
      </c>
      <c r="C96" s="750" t="s">
        <v>62</v>
      </c>
      <c r="D96" s="1123">
        <v>19.442</v>
      </c>
      <c r="E96" s="782"/>
      <c r="F96" s="752">
        <v>46189</v>
      </c>
      <c r="G96" s="752">
        <v>46195</v>
      </c>
      <c r="H96" s="750" t="s">
        <v>631</v>
      </c>
      <c r="I96" s="750" t="s">
        <v>3292</v>
      </c>
      <c r="J96" s="750">
        <v>22</v>
      </c>
      <c r="K96" s="1012"/>
      <c r="L96" s="1257"/>
    </row>
    <row r="97" spans="1:12" s="1039" customFormat="1" ht="31" customHeight="1">
      <c r="A97" s="750">
        <f>A96+1</f>
        <v>91</v>
      </c>
      <c r="B97" s="751" t="s">
        <v>962</v>
      </c>
      <c r="C97" s="750" t="s">
        <v>53</v>
      </c>
      <c r="D97" s="1123">
        <v>22.678999999999998</v>
      </c>
      <c r="E97" s="782"/>
      <c r="F97" s="752">
        <v>46192</v>
      </c>
      <c r="G97" s="752">
        <v>46197</v>
      </c>
      <c r="H97" s="750" t="s">
        <v>631</v>
      </c>
      <c r="I97" s="750" t="s">
        <v>3641</v>
      </c>
      <c r="J97" s="750">
        <v>20</v>
      </c>
      <c r="K97" s="1012"/>
      <c r="L97" s="1257"/>
    </row>
    <row r="98" spans="1:12" s="1039" customFormat="1" ht="31" customHeight="1">
      <c r="A98" s="750">
        <f t="shared" si="3"/>
        <v>92</v>
      </c>
      <c r="B98" s="751" t="s">
        <v>1641</v>
      </c>
      <c r="C98" s="750" t="s">
        <v>76</v>
      </c>
      <c r="D98" s="1123">
        <v>18.338999999999999</v>
      </c>
      <c r="E98" s="782"/>
      <c r="F98" s="752">
        <v>46195</v>
      </c>
      <c r="G98" s="752">
        <v>46200</v>
      </c>
      <c r="H98" s="750" t="s">
        <v>631</v>
      </c>
      <c r="I98" s="750" t="s">
        <v>3292</v>
      </c>
      <c r="J98" s="750">
        <v>22</v>
      </c>
      <c r="K98" s="1012"/>
      <c r="L98" s="1257"/>
    </row>
    <row r="99" spans="1:12" s="1039" customFormat="1" ht="31" customHeight="1">
      <c r="A99" s="750">
        <f t="shared" si="3"/>
        <v>93</v>
      </c>
      <c r="B99" s="751" t="s">
        <v>3055</v>
      </c>
      <c r="C99" s="750" t="s">
        <v>1319</v>
      </c>
      <c r="D99" s="1123">
        <v>42.225999999999999</v>
      </c>
      <c r="E99" s="782"/>
      <c r="F99" s="752">
        <v>46197</v>
      </c>
      <c r="G99" s="752">
        <v>46208</v>
      </c>
      <c r="H99" s="750" t="s">
        <v>631</v>
      </c>
      <c r="I99" s="750" t="s">
        <v>3641</v>
      </c>
      <c r="J99" s="750">
        <v>20</v>
      </c>
      <c r="K99" s="1012"/>
      <c r="L99" s="1257"/>
    </row>
    <row r="100" spans="1:12" s="1039" customFormat="1" ht="31" customHeight="1">
      <c r="A100" s="750">
        <f t="shared" si="3"/>
        <v>94</v>
      </c>
      <c r="B100" s="751" t="s">
        <v>3036</v>
      </c>
      <c r="C100" s="750" t="s">
        <v>2197</v>
      </c>
      <c r="D100" s="1123"/>
      <c r="E100" s="782"/>
      <c r="F100" s="752">
        <v>46199</v>
      </c>
      <c r="G100" s="752">
        <v>46215</v>
      </c>
      <c r="H100" s="750" t="s">
        <v>631</v>
      </c>
      <c r="I100" s="750" t="s">
        <v>3284</v>
      </c>
      <c r="J100" s="750">
        <v>25</v>
      </c>
      <c r="K100" s="1012"/>
      <c r="L100" s="1257"/>
    </row>
    <row r="101" spans="1:12" s="1039" customFormat="1" ht="31" customHeight="1">
      <c r="A101" s="1012">
        <f t="shared" si="3"/>
        <v>95</v>
      </c>
      <c r="B101" s="1013" t="s">
        <v>3025</v>
      </c>
      <c r="C101" s="1012" t="s">
        <v>2023</v>
      </c>
      <c r="D101" s="1120"/>
      <c r="E101" s="1014"/>
      <c r="F101" s="1015">
        <v>46205</v>
      </c>
      <c r="G101" s="1015"/>
      <c r="H101" s="1012" t="s">
        <v>3710</v>
      </c>
      <c r="I101" s="1012" t="s">
        <v>3662</v>
      </c>
      <c r="J101" s="1012">
        <v>35</v>
      </c>
      <c r="K101" s="1012"/>
      <c r="L101" s="1257"/>
    </row>
    <row r="102" spans="1:12" s="1039" customFormat="1" ht="31" customHeight="1">
      <c r="A102" s="750">
        <f t="shared" si="3"/>
        <v>96</v>
      </c>
      <c r="B102" s="751" t="s">
        <v>2044</v>
      </c>
      <c r="C102" s="750" t="s">
        <v>1934</v>
      </c>
      <c r="D102" s="1123"/>
      <c r="E102" s="782"/>
      <c r="F102" s="752">
        <v>46210</v>
      </c>
      <c r="G102" s="752">
        <v>46219</v>
      </c>
      <c r="H102" s="750" t="s">
        <v>631</v>
      </c>
      <c r="I102" s="750" t="s">
        <v>3641</v>
      </c>
      <c r="J102" s="750">
        <v>20</v>
      </c>
      <c r="K102" s="1012"/>
      <c r="L102" s="1257"/>
    </row>
    <row r="103" spans="1:12" s="1039" customFormat="1" ht="31" customHeight="1">
      <c r="A103" s="750">
        <f t="shared" si="3"/>
        <v>97</v>
      </c>
      <c r="B103" s="751" t="s">
        <v>3029</v>
      </c>
      <c r="C103" s="750" t="s">
        <v>2212</v>
      </c>
      <c r="D103" s="1123"/>
      <c r="E103" s="782"/>
      <c r="F103" s="752">
        <v>46209</v>
      </c>
      <c r="G103" s="752">
        <v>46215</v>
      </c>
      <c r="H103" s="750" t="s">
        <v>631</v>
      </c>
      <c r="I103" s="750" t="s">
        <v>3683</v>
      </c>
      <c r="J103" s="750">
        <v>35</v>
      </c>
      <c r="K103" s="1012"/>
      <c r="L103" s="1257"/>
    </row>
    <row r="104" spans="1:12" s="1039" customFormat="1" ht="31" customHeight="1">
      <c r="A104" s="1012">
        <f t="shared" si="3"/>
        <v>98</v>
      </c>
      <c r="B104" s="1013" t="s">
        <v>3071</v>
      </c>
      <c r="C104" s="1012" t="s">
        <v>1277</v>
      </c>
      <c r="D104" s="1120"/>
      <c r="E104" s="1014"/>
      <c r="F104" s="1015">
        <v>46215</v>
      </c>
      <c r="G104" s="1015"/>
      <c r="H104" s="1012" t="s">
        <v>3663</v>
      </c>
      <c r="I104" s="1012" t="s">
        <v>3524</v>
      </c>
      <c r="J104" s="1012">
        <v>20</v>
      </c>
      <c r="K104" s="1012"/>
      <c r="L104" s="1257"/>
    </row>
    <row r="105" spans="1:12" s="1039" customFormat="1" ht="31" customHeight="1">
      <c r="A105" s="1012">
        <f t="shared" si="3"/>
        <v>99</v>
      </c>
      <c r="B105" s="1013" t="s">
        <v>3031</v>
      </c>
      <c r="C105" s="1012" t="s">
        <v>2023</v>
      </c>
      <c r="D105" s="1120"/>
      <c r="E105" s="1014"/>
      <c r="F105" s="1015">
        <v>46217</v>
      </c>
      <c r="G105" s="1015"/>
      <c r="H105" s="1012" t="s">
        <v>3663</v>
      </c>
      <c r="I105" s="1012" t="s">
        <v>3683</v>
      </c>
      <c r="J105" s="1012">
        <v>35</v>
      </c>
      <c r="K105" s="1012"/>
      <c r="L105" s="1257"/>
    </row>
    <row r="106" spans="1:12" s="1039" customFormat="1" ht="31" customHeight="1">
      <c r="A106" s="1012">
        <f t="shared" si="3"/>
        <v>100</v>
      </c>
      <c r="B106" s="1013" t="s">
        <v>2042</v>
      </c>
      <c r="C106" s="1012" t="s">
        <v>76</v>
      </c>
      <c r="D106" s="1120"/>
      <c r="E106" s="1014"/>
      <c r="F106" s="1015">
        <v>46219</v>
      </c>
      <c r="G106" s="1015"/>
      <c r="H106" s="1012" t="s">
        <v>3663</v>
      </c>
      <c r="I106" s="1012" t="s">
        <v>3641</v>
      </c>
      <c r="J106" s="1012">
        <v>20</v>
      </c>
      <c r="K106" s="1012"/>
      <c r="L106" s="1257"/>
    </row>
  </sheetData>
  <autoFilter ref="A6:O90" xr:uid="{00000000-0001-0000-0100-000000000000}"/>
  <mergeCells count="11">
    <mergeCell ref="K5:K6"/>
    <mergeCell ref="H5:H6"/>
    <mergeCell ref="G5:G6"/>
    <mergeCell ref="I5:I6"/>
    <mergeCell ref="J5:J6"/>
    <mergeCell ref="F5:F6"/>
    <mergeCell ref="A5:A6"/>
    <mergeCell ref="B5:B6"/>
    <mergeCell ref="C5:C6"/>
    <mergeCell ref="D5:D6"/>
    <mergeCell ref="E5:E6"/>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FFFF00"/>
  </sheetPr>
  <dimension ref="A1:R263"/>
  <sheetViews>
    <sheetView showZeros="0" zoomScale="50" zoomScaleNormal="50" zoomScaleSheetLayoutView="55" workbookViewId="0">
      <pane ySplit="7" topLeftCell="A13" activePane="bottomLeft" state="frozen"/>
      <selection activeCell="H9" sqref="H9"/>
      <selection pane="bottomLeft" activeCell="C142" sqref="C142"/>
    </sheetView>
  </sheetViews>
  <sheetFormatPr defaultColWidth="9.08984375" defaultRowHeight="20"/>
  <cols>
    <col min="1" max="1" width="9.36328125" style="960" customWidth="1"/>
    <col min="2" max="2" width="14.1796875" style="1011" customWidth="1"/>
    <col min="3" max="3" width="11.90625" style="1011" customWidth="1"/>
    <col min="4" max="4" width="17.90625" style="961" hidden="1" customWidth="1"/>
    <col min="5" max="5" width="15.26953125" style="960" bestFit="1" customWidth="1"/>
    <col min="6" max="8" width="13.54296875" style="960" customWidth="1"/>
    <col min="9" max="9" width="22.81640625" style="960" customWidth="1"/>
    <col min="10" max="10" width="21.08984375" style="962" customWidth="1"/>
    <col min="11" max="11" width="16.36328125" style="962" hidden="1" customWidth="1"/>
    <col min="12" max="12" width="16.36328125" style="962" customWidth="1"/>
    <col min="13" max="13" width="18.1796875" style="962" customWidth="1"/>
    <col min="14" max="17" width="16.36328125" style="962" customWidth="1"/>
    <col min="18" max="18" width="68.7265625"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c r="E1" s="1007"/>
    </row>
    <row r="2" spans="1:18" ht="25" customHeight="1">
      <c r="A2" s="963" t="s">
        <v>2739</v>
      </c>
    </row>
    <row r="3" spans="1:18">
      <c r="A3" s="963" t="s">
        <v>2876</v>
      </c>
    </row>
    <row r="4" spans="1:18" ht="25.5" customHeight="1">
      <c r="J4" s="964" t="s">
        <v>60</v>
      </c>
      <c r="K4" s="965"/>
      <c r="L4" s="966">
        <f>COUNTIF($L$8:$L$256,"Clear")</f>
        <v>95</v>
      </c>
      <c r="M4" s="966">
        <f>COUNTIF($M$8:$M$256,"C")</f>
        <v>83</v>
      </c>
      <c r="N4" s="966">
        <f>COUNTIF($N$8:$N$256,"C")</f>
        <v>73</v>
      </c>
      <c r="O4" s="966">
        <f>COUNTIF($O$8:$O$256,"C")</f>
        <v>59</v>
      </c>
      <c r="P4" s="966">
        <f>COUNTIF($P$8:$P$256,"C")</f>
        <v>0</v>
      </c>
    </row>
    <row r="5" spans="1:18" ht="25.5" customHeight="1">
      <c r="J5" s="964" t="s">
        <v>22</v>
      </c>
      <c r="K5" s="965"/>
      <c r="L5" s="966"/>
      <c r="M5" s="966">
        <f>COUNTIF($M$8:$M$256,"WIP")</f>
        <v>9</v>
      </c>
      <c r="N5" s="966">
        <f>COUNTIF($N$8:$N$256,"WIP")</f>
        <v>0</v>
      </c>
      <c r="O5" s="966">
        <f>COUNTIF($O$8:$O$256,"WIP")</f>
        <v>3</v>
      </c>
      <c r="P5" s="966">
        <f>COUNTIF($P$8:$P$256,"WIP")</f>
        <v>0</v>
      </c>
    </row>
    <row r="6" spans="1:18" s="960" customFormat="1" ht="46.75" customHeight="1">
      <c r="A6" s="1568" t="s">
        <v>1782</v>
      </c>
      <c r="B6" s="1569" t="s">
        <v>2877</v>
      </c>
      <c r="C6" s="1569" t="s">
        <v>1405</v>
      </c>
      <c r="D6" s="1568" t="s">
        <v>1923</v>
      </c>
      <c r="E6" s="1568" t="s">
        <v>1000</v>
      </c>
      <c r="F6" s="1568"/>
      <c r="G6" s="1568"/>
      <c r="H6" s="1568"/>
      <c r="I6" s="1565" t="s">
        <v>2878</v>
      </c>
      <c r="J6" s="1565" t="s">
        <v>2879</v>
      </c>
      <c r="K6" s="1565" t="s">
        <v>1922</v>
      </c>
      <c r="L6" s="1565" t="s">
        <v>1658</v>
      </c>
      <c r="M6" s="1565" t="s">
        <v>28</v>
      </c>
      <c r="N6" s="1565" t="s">
        <v>609</v>
      </c>
      <c r="O6" s="1565" t="s">
        <v>610</v>
      </c>
      <c r="P6" s="1565" t="s">
        <v>1254</v>
      </c>
      <c r="Q6" s="1565" t="s">
        <v>614</v>
      </c>
      <c r="R6" s="1565" t="s">
        <v>19</v>
      </c>
    </row>
    <row r="7" spans="1:18" s="960" customFormat="1" ht="43.25" customHeight="1">
      <c r="A7" s="1568"/>
      <c r="B7" s="1569"/>
      <c r="C7" s="1569"/>
      <c r="D7" s="1568"/>
      <c r="E7" s="968" t="s">
        <v>1930</v>
      </c>
      <c r="F7" s="968" t="s">
        <v>1931</v>
      </c>
      <c r="G7" s="968" t="s">
        <v>1932</v>
      </c>
      <c r="H7" s="968" t="s">
        <v>1933</v>
      </c>
      <c r="I7" s="1565"/>
      <c r="J7" s="1565"/>
      <c r="K7" s="1565"/>
      <c r="L7" s="1565"/>
      <c r="M7" s="1565"/>
      <c r="N7" s="1565"/>
      <c r="O7" s="1565"/>
      <c r="P7" s="1565"/>
      <c r="Q7" s="1565"/>
      <c r="R7" s="1565"/>
    </row>
    <row r="8" spans="1:18" s="960" customFormat="1" ht="30" customHeight="1">
      <c r="A8" s="969">
        <v>1</v>
      </c>
      <c r="B8" s="972" t="s">
        <v>3023</v>
      </c>
      <c r="C8" s="972" t="s">
        <v>1319</v>
      </c>
      <c r="D8" s="970" t="s">
        <v>2773</v>
      </c>
      <c r="E8" s="970">
        <v>0</v>
      </c>
      <c r="F8" s="970">
        <v>0</v>
      </c>
      <c r="G8" s="970">
        <v>0</v>
      </c>
      <c r="H8" s="970">
        <v>0</v>
      </c>
      <c r="I8" s="970"/>
      <c r="J8" s="970"/>
      <c r="K8" s="970">
        <v>0</v>
      </c>
      <c r="L8" s="970"/>
      <c r="M8" s="970"/>
      <c r="N8" s="970"/>
      <c r="O8" s="970"/>
      <c r="P8" s="970"/>
      <c r="Q8" s="970"/>
      <c r="R8" s="974"/>
    </row>
    <row r="9" spans="1:18" s="960" customFormat="1" ht="30" customHeight="1">
      <c r="A9" s="969"/>
      <c r="B9" s="972"/>
      <c r="C9" s="972"/>
      <c r="D9" s="970"/>
      <c r="E9" s="970"/>
      <c r="F9" s="970"/>
      <c r="G9" s="970"/>
      <c r="H9" s="970"/>
      <c r="I9" s="970"/>
      <c r="J9" s="977">
        <v>119.059</v>
      </c>
      <c r="K9" s="970"/>
      <c r="L9" s="970"/>
      <c r="M9" s="970"/>
      <c r="N9" s="970"/>
      <c r="O9" s="970"/>
      <c r="P9" s="970"/>
      <c r="Q9" s="970"/>
      <c r="R9" s="974"/>
    </row>
    <row r="10" spans="1:18" s="960" customFormat="1" ht="30" customHeight="1">
      <c r="A10" s="969">
        <f>A8+1</f>
        <v>2</v>
      </c>
      <c r="B10" s="972" t="s">
        <v>3024</v>
      </c>
      <c r="C10" s="972" t="s">
        <v>2212</v>
      </c>
      <c r="D10" s="970" t="s">
        <v>2775</v>
      </c>
      <c r="E10" s="970">
        <v>0</v>
      </c>
      <c r="F10" s="970">
        <v>0</v>
      </c>
      <c r="G10" s="970">
        <v>0</v>
      </c>
      <c r="H10" s="970">
        <v>0</v>
      </c>
      <c r="I10" s="970"/>
      <c r="J10" s="977"/>
      <c r="K10" s="970">
        <f>J9</f>
        <v>119.059</v>
      </c>
      <c r="L10" s="970" t="s">
        <v>2919</v>
      </c>
      <c r="M10" s="970" t="s">
        <v>22</v>
      </c>
      <c r="N10" s="970"/>
      <c r="O10" s="970"/>
      <c r="P10" s="970"/>
      <c r="Q10" s="970"/>
      <c r="R10" s="974"/>
    </row>
    <row r="11" spans="1:18" s="960" customFormat="1" ht="30" customHeight="1">
      <c r="A11" s="969"/>
      <c r="B11" s="972"/>
      <c r="C11" s="972"/>
      <c r="D11" s="970"/>
      <c r="E11" s="970"/>
      <c r="F11" s="970"/>
      <c r="G11" s="970"/>
      <c r="H11" s="970"/>
      <c r="I11" s="970"/>
      <c r="J11" s="977">
        <v>92.495999999999995</v>
      </c>
      <c r="K11" s="970"/>
      <c r="L11" s="970"/>
      <c r="M11" s="970"/>
      <c r="N11" s="970"/>
      <c r="O11" s="970"/>
      <c r="P11" s="970"/>
      <c r="Q11" s="970"/>
      <c r="R11" s="974"/>
    </row>
    <row r="12" spans="1:18" s="960" customFormat="1" ht="30" customHeight="1">
      <c r="A12" s="969">
        <f>A10+1</f>
        <v>3</v>
      </c>
      <c r="B12" s="972" t="s">
        <v>3025</v>
      </c>
      <c r="C12" s="985" t="s">
        <v>2023</v>
      </c>
      <c r="D12" s="970" t="s">
        <v>2776</v>
      </c>
      <c r="E12" s="970">
        <v>4</v>
      </c>
      <c r="F12" s="970">
        <v>5</v>
      </c>
      <c r="G12" s="970">
        <v>4</v>
      </c>
      <c r="H12" s="970">
        <v>3</v>
      </c>
      <c r="I12" s="970" t="s">
        <v>1765</v>
      </c>
      <c r="J12" s="977"/>
      <c r="K12" s="970">
        <f>J11</f>
        <v>92.495999999999995</v>
      </c>
      <c r="L12" s="970" t="s">
        <v>2919</v>
      </c>
      <c r="M12" s="970" t="s">
        <v>22</v>
      </c>
      <c r="N12" s="970"/>
      <c r="O12" s="970"/>
      <c r="P12" s="970"/>
      <c r="Q12" s="970"/>
      <c r="R12" s="974"/>
    </row>
    <row r="13" spans="1:18" s="960" customFormat="1" ht="30" customHeight="1">
      <c r="A13" s="969"/>
      <c r="B13" s="972"/>
      <c r="C13" s="972"/>
      <c r="D13" s="970"/>
      <c r="E13" s="970"/>
      <c r="F13" s="970"/>
      <c r="G13" s="970"/>
      <c r="H13" s="970"/>
      <c r="I13" s="970"/>
      <c r="J13" s="977">
        <v>134.988</v>
      </c>
      <c r="K13" s="970"/>
      <c r="L13" s="970"/>
      <c r="M13" s="970"/>
      <c r="N13" s="970"/>
      <c r="O13" s="970"/>
      <c r="P13" s="970"/>
      <c r="Q13" s="970"/>
      <c r="R13" s="980" t="s">
        <v>3026</v>
      </c>
    </row>
    <row r="14" spans="1:18" s="960" customFormat="1" ht="30" customHeight="1">
      <c r="A14" s="969">
        <f>A12+1</f>
        <v>4</v>
      </c>
      <c r="B14" s="972" t="s">
        <v>2392</v>
      </c>
      <c r="C14" s="985" t="s">
        <v>2023</v>
      </c>
      <c r="D14" s="970" t="s">
        <v>2778</v>
      </c>
      <c r="E14" s="970">
        <v>4</v>
      </c>
      <c r="F14" s="970">
        <v>5</v>
      </c>
      <c r="G14" s="970">
        <v>4</v>
      </c>
      <c r="H14" s="970">
        <v>3</v>
      </c>
      <c r="I14" s="970"/>
      <c r="J14" s="977"/>
      <c r="K14" s="970">
        <f>J13</f>
        <v>134.988</v>
      </c>
      <c r="L14" s="970"/>
      <c r="M14" s="970"/>
      <c r="N14" s="970"/>
      <c r="O14" s="970"/>
      <c r="P14" s="970"/>
      <c r="Q14" s="970"/>
      <c r="R14" s="974"/>
    </row>
    <row r="15" spans="1:18" s="960" customFormat="1" ht="30" customHeight="1">
      <c r="A15" s="969"/>
      <c r="B15" s="972"/>
      <c r="C15" s="972"/>
      <c r="D15" s="970"/>
      <c r="E15" s="970"/>
      <c r="F15" s="970"/>
      <c r="G15" s="970"/>
      <c r="H15" s="970"/>
      <c r="I15" s="970"/>
      <c r="J15" s="977">
        <v>365.17599999999999</v>
      </c>
      <c r="K15" s="970"/>
      <c r="L15" s="970"/>
      <c r="M15" s="970"/>
      <c r="N15" s="970"/>
      <c r="O15" s="970"/>
      <c r="P15" s="970"/>
      <c r="Q15" s="970"/>
      <c r="R15" s="974"/>
    </row>
    <row r="16" spans="1:18" s="960" customFormat="1" ht="30" customHeight="1">
      <c r="A16" s="969">
        <f>A14+1</f>
        <v>5</v>
      </c>
      <c r="B16" s="972" t="s">
        <v>3027</v>
      </c>
      <c r="C16" s="972" t="s">
        <v>2212</v>
      </c>
      <c r="D16" s="970" t="s">
        <v>2779</v>
      </c>
      <c r="E16" s="970">
        <v>0</v>
      </c>
      <c r="F16" s="970">
        <v>0</v>
      </c>
      <c r="G16" s="970">
        <v>0</v>
      </c>
      <c r="H16" s="970">
        <v>0</v>
      </c>
      <c r="I16" s="970"/>
      <c r="J16" s="977"/>
      <c r="K16" s="970">
        <f t="shared" ref="K16:K28" si="0">J15</f>
        <v>365.17599999999999</v>
      </c>
      <c r="L16" s="970"/>
      <c r="M16" s="970"/>
      <c r="N16" s="970"/>
      <c r="O16" s="970"/>
      <c r="P16" s="970"/>
      <c r="Q16" s="970"/>
      <c r="R16" s="974"/>
    </row>
    <row r="17" spans="1:18" s="960" customFormat="1" ht="30" customHeight="1">
      <c r="A17" s="969"/>
      <c r="B17" s="972"/>
      <c r="C17" s="972"/>
      <c r="D17" s="970"/>
      <c r="E17" s="970"/>
      <c r="F17" s="970"/>
      <c r="G17" s="970"/>
      <c r="H17" s="970"/>
      <c r="I17" s="970"/>
      <c r="J17" s="977">
        <v>236.697</v>
      </c>
      <c r="K17" s="970"/>
      <c r="L17" s="970"/>
      <c r="M17" s="970"/>
      <c r="N17" s="970"/>
      <c r="O17" s="970"/>
      <c r="P17" s="970"/>
      <c r="Q17" s="970"/>
      <c r="R17" s="980" t="s">
        <v>3028</v>
      </c>
    </row>
    <row r="18" spans="1:18" s="960" customFormat="1" ht="30" customHeight="1">
      <c r="A18" s="969">
        <f>A16+1</f>
        <v>6</v>
      </c>
      <c r="B18" s="972" t="s">
        <v>3029</v>
      </c>
      <c r="C18" s="972" t="s">
        <v>2212</v>
      </c>
      <c r="D18" s="970" t="s">
        <v>2781</v>
      </c>
      <c r="E18" s="970">
        <v>0</v>
      </c>
      <c r="F18" s="970">
        <v>0</v>
      </c>
      <c r="G18" s="970">
        <v>0</v>
      </c>
      <c r="H18" s="970">
        <v>0</v>
      </c>
      <c r="I18" s="970"/>
      <c r="J18" s="977"/>
      <c r="K18" s="970">
        <f t="shared" si="0"/>
        <v>236.697</v>
      </c>
      <c r="L18" s="970"/>
      <c r="M18" s="970"/>
      <c r="N18" s="970"/>
      <c r="O18" s="970"/>
      <c r="P18" s="970"/>
      <c r="Q18" s="970"/>
      <c r="R18" s="974"/>
    </row>
    <row r="19" spans="1:18" s="960" customFormat="1" ht="30" customHeight="1">
      <c r="A19" s="969"/>
      <c r="B19" s="972"/>
      <c r="C19" s="972"/>
      <c r="D19" s="970"/>
      <c r="E19" s="970"/>
      <c r="F19" s="970"/>
      <c r="G19" s="970"/>
      <c r="H19" s="970"/>
      <c r="I19" s="970"/>
      <c r="J19" s="977">
        <v>213.25200000000001</v>
      </c>
      <c r="K19" s="970"/>
      <c r="L19" s="970"/>
      <c r="M19" s="970"/>
      <c r="N19" s="970"/>
      <c r="O19" s="970"/>
      <c r="P19" s="970"/>
      <c r="Q19" s="970"/>
      <c r="R19" s="974"/>
    </row>
    <row r="20" spans="1:18" s="960" customFormat="1" ht="30" customHeight="1">
      <c r="A20" s="969">
        <f>A18+1</f>
        <v>7</v>
      </c>
      <c r="B20" s="972" t="s">
        <v>3030</v>
      </c>
      <c r="C20" s="972" t="s">
        <v>1988</v>
      </c>
      <c r="D20" s="970" t="s">
        <v>2782</v>
      </c>
      <c r="E20" s="970">
        <v>0</v>
      </c>
      <c r="F20" s="970">
        <v>0</v>
      </c>
      <c r="G20" s="970">
        <v>0</v>
      </c>
      <c r="H20" s="970">
        <v>0</v>
      </c>
      <c r="I20" s="970"/>
      <c r="J20" s="977"/>
      <c r="K20" s="970">
        <f t="shared" si="0"/>
        <v>213.25200000000001</v>
      </c>
      <c r="L20" s="970"/>
      <c r="M20" s="970"/>
      <c r="N20" s="970"/>
      <c r="O20" s="970"/>
      <c r="P20" s="970"/>
      <c r="Q20" s="970"/>
      <c r="R20" s="974"/>
    </row>
    <row r="21" spans="1:18" s="960" customFormat="1" ht="30" customHeight="1">
      <c r="A21" s="969"/>
      <c r="B21" s="972"/>
      <c r="C21" s="972"/>
      <c r="D21" s="970"/>
      <c r="E21" s="970"/>
      <c r="F21" s="970"/>
      <c r="G21" s="970"/>
      <c r="H21" s="970"/>
      <c r="I21" s="970"/>
      <c r="J21" s="977">
        <v>206.59299999999999</v>
      </c>
      <c r="K21" s="970"/>
      <c r="L21" s="970"/>
      <c r="M21" s="970"/>
      <c r="N21" s="970"/>
      <c r="O21" s="970"/>
      <c r="P21" s="970"/>
      <c r="Q21" s="970"/>
      <c r="R21" s="980" t="s">
        <v>3026</v>
      </c>
    </row>
    <row r="22" spans="1:18" s="960" customFormat="1" ht="30" customHeight="1">
      <c r="A22" s="969">
        <f>A20+1</f>
        <v>8</v>
      </c>
      <c r="B22" s="972" t="s">
        <v>3031</v>
      </c>
      <c r="C22" s="972" t="s">
        <v>2023</v>
      </c>
      <c r="D22" s="970" t="s">
        <v>2784</v>
      </c>
      <c r="E22" s="970">
        <v>0</v>
      </c>
      <c r="F22" s="970">
        <v>0</v>
      </c>
      <c r="G22" s="970">
        <v>0</v>
      </c>
      <c r="H22" s="970">
        <v>0</v>
      </c>
      <c r="I22" s="970" t="s">
        <v>3311</v>
      </c>
      <c r="J22" s="977"/>
      <c r="K22" s="970">
        <f t="shared" si="0"/>
        <v>206.59299999999999</v>
      </c>
      <c r="L22" s="970" t="s">
        <v>2919</v>
      </c>
      <c r="M22" s="970" t="s">
        <v>1009</v>
      </c>
      <c r="N22" s="970"/>
      <c r="O22" s="970"/>
      <c r="P22" s="970"/>
      <c r="Q22" s="970"/>
      <c r="R22" s="974"/>
    </row>
    <row r="23" spans="1:18" s="960" customFormat="1" ht="30" customHeight="1">
      <c r="A23" s="969"/>
      <c r="B23" s="972"/>
      <c r="C23" s="972"/>
      <c r="D23" s="970"/>
      <c r="E23" s="970"/>
      <c r="F23" s="970"/>
      <c r="G23" s="970"/>
      <c r="H23" s="970"/>
      <c r="I23" s="970"/>
      <c r="J23" s="977">
        <v>289.86200000000002</v>
      </c>
      <c r="K23" s="970"/>
      <c r="L23" s="970"/>
      <c r="M23" s="970"/>
      <c r="N23" s="970"/>
      <c r="O23" s="970"/>
      <c r="P23" s="970"/>
      <c r="Q23" s="970"/>
      <c r="R23" s="980" t="s">
        <v>3032</v>
      </c>
    </row>
    <row r="24" spans="1:18" s="960" customFormat="1" ht="30" customHeight="1">
      <c r="A24" s="969">
        <f>A22+1</f>
        <v>9</v>
      </c>
      <c r="B24" s="972" t="s">
        <v>3033</v>
      </c>
      <c r="C24" s="972" t="s">
        <v>1988</v>
      </c>
      <c r="D24" s="970" t="s">
        <v>2786</v>
      </c>
      <c r="E24" s="1004">
        <v>1.5</v>
      </c>
      <c r="F24" s="1004">
        <v>1.5</v>
      </c>
      <c r="G24" s="970">
        <v>0</v>
      </c>
      <c r="H24" s="970">
        <v>0</v>
      </c>
      <c r="I24" s="970"/>
      <c r="J24" s="977"/>
      <c r="K24" s="970">
        <f t="shared" si="0"/>
        <v>289.86200000000002</v>
      </c>
      <c r="L24" s="970"/>
      <c r="M24" s="970"/>
      <c r="N24" s="970"/>
      <c r="O24" s="970"/>
      <c r="P24" s="970"/>
      <c r="Q24" s="970"/>
      <c r="R24" s="974"/>
    </row>
    <row r="25" spans="1:18" s="960" customFormat="1" ht="30" customHeight="1">
      <c r="A25" s="969"/>
      <c r="B25" s="972"/>
      <c r="C25" s="972"/>
      <c r="D25" s="970"/>
      <c r="E25" s="970"/>
      <c r="F25" s="970"/>
      <c r="G25" s="970"/>
      <c r="H25" s="970"/>
      <c r="I25" s="970"/>
      <c r="J25" s="977">
        <v>402.93799999999999</v>
      </c>
      <c r="K25" s="970"/>
      <c r="L25" s="970"/>
      <c r="M25" s="970"/>
      <c r="N25" s="970"/>
      <c r="O25" s="970"/>
      <c r="P25" s="970"/>
      <c r="Q25" s="970"/>
      <c r="R25" s="974"/>
    </row>
    <row r="26" spans="1:18" s="960" customFormat="1" ht="30" customHeight="1">
      <c r="A26" s="969">
        <f>A24+1</f>
        <v>10</v>
      </c>
      <c r="B26" s="972" t="s">
        <v>3034</v>
      </c>
      <c r="C26" s="972" t="s">
        <v>1977</v>
      </c>
      <c r="D26" s="970" t="s">
        <v>2788</v>
      </c>
      <c r="E26" s="970">
        <v>0</v>
      </c>
      <c r="F26" s="970">
        <v>0</v>
      </c>
      <c r="G26" s="1004">
        <v>2</v>
      </c>
      <c r="H26" s="970">
        <v>0</v>
      </c>
      <c r="I26" s="970" t="s">
        <v>92</v>
      </c>
      <c r="J26" s="977"/>
      <c r="K26" s="970">
        <f t="shared" si="0"/>
        <v>402.93799999999999</v>
      </c>
      <c r="L26" s="970" t="s">
        <v>2919</v>
      </c>
      <c r="M26" s="970" t="s">
        <v>1009</v>
      </c>
      <c r="N26" s="970" t="s">
        <v>1009</v>
      </c>
      <c r="O26" s="970"/>
      <c r="P26" s="970"/>
      <c r="Q26" s="970"/>
      <c r="R26" s="974"/>
    </row>
    <row r="27" spans="1:18" s="960" customFormat="1" ht="30" customHeight="1">
      <c r="A27" s="969"/>
      <c r="B27" s="972"/>
      <c r="C27" s="972"/>
      <c r="D27" s="970"/>
      <c r="E27" s="970"/>
      <c r="F27" s="970"/>
      <c r="G27" s="970"/>
      <c r="H27" s="970"/>
      <c r="I27" s="970"/>
      <c r="J27" s="977">
        <v>284.88299999999998</v>
      </c>
      <c r="K27" s="970"/>
      <c r="L27" s="970"/>
      <c r="M27" s="970"/>
      <c r="N27" s="970"/>
      <c r="O27" s="970"/>
      <c r="P27" s="970"/>
      <c r="Q27" s="970"/>
      <c r="R27" s="980" t="s">
        <v>3035</v>
      </c>
    </row>
    <row r="28" spans="1:18" s="1011" customFormat="1" ht="30" customHeight="1">
      <c r="A28" s="1016">
        <f>A26+1</f>
        <v>11</v>
      </c>
      <c r="B28" s="972" t="s">
        <v>3036</v>
      </c>
      <c r="C28" s="972" t="s">
        <v>2197</v>
      </c>
      <c r="D28" s="972" t="s">
        <v>2444</v>
      </c>
      <c r="E28" s="972">
        <v>1.5</v>
      </c>
      <c r="F28" s="972">
        <v>0</v>
      </c>
      <c r="G28" s="972">
        <v>0</v>
      </c>
      <c r="H28" s="972">
        <v>0</v>
      </c>
      <c r="I28" s="972" t="s">
        <v>1765</v>
      </c>
      <c r="J28" s="976"/>
      <c r="K28" s="972">
        <f t="shared" si="0"/>
        <v>284.88299999999998</v>
      </c>
      <c r="L28" s="972" t="s">
        <v>2919</v>
      </c>
      <c r="M28" s="972" t="s">
        <v>1009</v>
      </c>
      <c r="N28" s="972" t="s">
        <v>1009</v>
      </c>
      <c r="O28" s="972"/>
      <c r="P28" s="972"/>
      <c r="Q28" s="972"/>
      <c r="R28" s="1042"/>
    </row>
    <row r="29" spans="1:18" s="1011" customFormat="1" ht="30" customHeight="1">
      <c r="A29" s="1016"/>
      <c r="B29" s="972"/>
      <c r="C29" s="972"/>
      <c r="D29" s="972"/>
      <c r="E29" s="972"/>
      <c r="F29" s="972"/>
      <c r="G29" s="972"/>
      <c r="H29" s="972"/>
      <c r="I29" s="972"/>
      <c r="J29" s="976">
        <v>412.19900000000001</v>
      </c>
      <c r="K29" s="972"/>
      <c r="L29" s="972"/>
      <c r="M29" s="972"/>
      <c r="N29" s="972"/>
      <c r="O29" s="972"/>
      <c r="P29" s="972"/>
      <c r="Q29" s="1564"/>
      <c r="R29" s="1042"/>
    </row>
    <row r="30" spans="1:18" s="1011" customFormat="1" ht="30" customHeight="1">
      <c r="A30" s="1016">
        <f>A28+1</f>
        <v>12</v>
      </c>
      <c r="B30" s="972" t="s">
        <v>1630</v>
      </c>
      <c r="C30" s="972" t="s">
        <v>76</v>
      </c>
      <c r="D30" s="972"/>
      <c r="E30" s="972">
        <v>0</v>
      </c>
      <c r="F30" s="972">
        <v>0</v>
      </c>
      <c r="G30" s="972">
        <v>0</v>
      </c>
      <c r="H30" s="972">
        <v>0</v>
      </c>
      <c r="I30" s="972" t="s">
        <v>2736</v>
      </c>
      <c r="J30" s="976"/>
      <c r="K30" s="972"/>
      <c r="L30" s="972" t="s">
        <v>2919</v>
      </c>
      <c r="M30" s="972" t="s">
        <v>1009</v>
      </c>
      <c r="N30" s="972" t="s">
        <v>1009</v>
      </c>
      <c r="O30" s="972" t="s">
        <v>1009</v>
      </c>
      <c r="P30" s="972"/>
      <c r="Q30" s="1564"/>
      <c r="R30" s="1042"/>
    </row>
    <row r="31" spans="1:18" s="1011" customFormat="1" ht="30" customHeight="1">
      <c r="A31" s="1016"/>
      <c r="B31" s="972"/>
      <c r="C31" s="972"/>
      <c r="D31" s="972"/>
      <c r="E31" s="972"/>
      <c r="F31" s="972"/>
      <c r="G31" s="972"/>
      <c r="H31" s="972"/>
      <c r="I31" s="972"/>
      <c r="J31" s="976">
        <v>428.12799999999999</v>
      </c>
      <c r="K31" s="972"/>
      <c r="L31" s="972"/>
      <c r="M31" s="972"/>
      <c r="N31" s="972"/>
      <c r="O31" s="972"/>
      <c r="P31" s="972"/>
      <c r="Q31" s="1564"/>
      <c r="R31" s="1042"/>
    </row>
    <row r="32" spans="1:18" s="1011" customFormat="1" ht="30" customHeight="1">
      <c r="A32" s="1016">
        <f>A30+1</f>
        <v>13</v>
      </c>
      <c r="B32" s="972" t="s">
        <v>1631</v>
      </c>
      <c r="C32" s="972" t="s">
        <v>76</v>
      </c>
      <c r="D32" s="972"/>
      <c r="E32" s="972">
        <v>0</v>
      </c>
      <c r="F32" s="972">
        <v>0</v>
      </c>
      <c r="G32" s="972">
        <v>0</v>
      </c>
      <c r="H32" s="972">
        <v>0</v>
      </c>
      <c r="I32" s="972" t="s">
        <v>897</v>
      </c>
      <c r="J32" s="976"/>
      <c r="K32" s="972"/>
      <c r="L32" s="972" t="s">
        <v>2919</v>
      </c>
      <c r="M32" s="972" t="s">
        <v>1009</v>
      </c>
      <c r="N32" s="972" t="s">
        <v>1009</v>
      </c>
      <c r="O32" s="972" t="s">
        <v>1009</v>
      </c>
      <c r="P32" s="972"/>
      <c r="Q32" s="1564"/>
      <c r="R32" s="1042"/>
    </row>
    <row r="33" spans="1:18" s="1011" customFormat="1" ht="30" customHeight="1">
      <c r="A33" s="1016"/>
      <c r="B33" s="972"/>
      <c r="C33" s="972"/>
      <c r="D33" s="972"/>
      <c r="E33" s="972"/>
      <c r="F33" s="972"/>
      <c r="G33" s="972"/>
      <c r="H33" s="972"/>
      <c r="I33" s="972"/>
      <c r="J33" s="976">
        <v>405.15199999999999</v>
      </c>
      <c r="K33" s="972"/>
      <c r="L33" s="972"/>
      <c r="M33" s="972"/>
      <c r="N33" s="972"/>
      <c r="O33" s="972"/>
      <c r="P33" s="972"/>
      <c r="Q33" s="1564"/>
      <c r="R33" s="1042"/>
    </row>
    <row r="34" spans="1:18" s="1011" customFormat="1" ht="30" customHeight="1">
      <c r="A34" s="1016">
        <f>A32+1</f>
        <v>14</v>
      </c>
      <c r="B34" s="972" t="s">
        <v>1632</v>
      </c>
      <c r="C34" s="972" t="s">
        <v>249</v>
      </c>
      <c r="D34" s="972"/>
      <c r="E34" s="972">
        <v>0</v>
      </c>
      <c r="F34" s="972">
        <v>0</v>
      </c>
      <c r="G34" s="972">
        <v>0</v>
      </c>
      <c r="H34" s="972">
        <v>0</v>
      </c>
      <c r="I34" s="972" t="s">
        <v>897</v>
      </c>
      <c r="J34" s="976"/>
      <c r="K34" s="972"/>
      <c r="L34" s="972" t="s">
        <v>2919</v>
      </c>
      <c r="M34" s="972" t="s">
        <v>1009</v>
      </c>
      <c r="N34" s="972"/>
      <c r="O34" s="972" t="s">
        <v>1009</v>
      </c>
      <c r="P34" s="972"/>
      <c r="Q34" s="1564"/>
      <c r="R34" s="1042"/>
    </row>
    <row r="35" spans="1:18" s="1011" customFormat="1" ht="30" customHeight="1">
      <c r="A35" s="1016"/>
      <c r="B35" s="972"/>
      <c r="C35" s="972"/>
      <c r="D35" s="972"/>
      <c r="E35" s="972"/>
      <c r="F35" s="972"/>
      <c r="G35" s="972"/>
      <c r="H35" s="972"/>
      <c r="I35" s="972"/>
      <c r="J35" s="976">
        <v>427.96</v>
      </c>
      <c r="K35" s="972"/>
      <c r="L35" s="972"/>
      <c r="M35" s="972"/>
      <c r="N35" s="972"/>
      <c r="O35" s="972"/>
      <c r="P35" s="972"/>
      <c r="Q35" s="1564"/>
      <c r="R35" s="1042"/>
    </row>
    <row r="36" spans="1:18" s="1011" customFormat="1" ht="30" customHeight="1">
      <c r="A36" s="1016">
        <f>A34+1</f>
        <v>15</v>
      </c>
      <c r="B36" s="972" t="s">
        <v>3037</v>
      </c>
      <c r="C36" s="972" t="s">
        <v>1277</v>
      </c>
      <c r="D36" s="972" t="s">
        <v>2432</v>
      </c>
      <c r="E36" s="972">
        <v>0</v>
      </c>
      <c r="F36" s="972">
        <v>0</v>
      </c>
      <c r="G36" s="972">
        <v>0</v>
      </c>
      <c r="H36" s="972">
        <v>0</v>
      </c>
      <c r="I36" s="972" t="s">
        <v>897</v>
      </c>
      <c r="J36" s="976"/>
      <c r="K36" s="972">
        <f>J29+J31+J33+J35</f>
        <v>1673.4390000000001</v>
      </c>
      <c r="L36" s="972" t="s">
        <v>2919</v>
      </c>
      <c r="M36" s="972" t="s">
        <v>1009</v>
      </c>
      <c r="N36" s="972"/>
      <c r="O36" s="972" t="s">
        <v>1009</v>
      </c>
      <c r="P36" s="972"/>
      <c r="Q36" s="972"/>
      <c r="R36" s="1042"/>
    </row>
    <row r="37" spans="1:18" s="1011" customFormat="1" ht="30" customHeight="1">
      <c r="A37" s="1016"/>
      <c r="B37" s="972"/>
      <c r="C37" s="972"/>
      <c r="D37" s="972"/>
      <c r="E37" s="972"/>
      <c r="F37" s="972"/>
      <c r="G37" s="972"/>
      <c r="H37" s="972"/>
      <c r="I37" s="972"/>
      <c r="J37" s="976">
        <v>285.94799999999998</v>
      </c>
      <c r="K37" s="972"/>
      <c r="L37" s="972"/>
      <c r="M37" s="972"/>
      <c r="N37" s="972"/>
      <c r="O37" s="972"/>
      <c r="P37" s="972"/>
      <c r="Q37" s="972"/>
      <c r="R37" s="1042"/>
    </row>
    <row r="38" spans="1:18" s="1011" customFormat="1" ht="30" customHeight="1">
      <c r="A38" s="1016">
        <f>A36+1</f>
        <v>16</v>
      </c>
      <c r="B38" s="972" t="s">
        <v>2373</v>
      </c>
      <c r="C38" s="972" t="s">
        <v>1361</v>
      </c>
      <c r="D38" s="972" t="s">
        <v>2435</v>
      </c>
      <c r="E38" s="972">
        <v>0</v>
      </c>
      <c r="F38" s="972">
        <v>0</v>
      </c>
      <c r="G38" s="972">
        <v>0</v>
      </c>
      <c r="H38" s="972">
        <v>0</v>
      </c>
      <c r="I38" s="972" t="s">
        <v>897</v>
      </c>
      <c r="J38" s="976"/>
      <c r="K38" s="972">
        <f>J37</f>
        <v>285.94799999999998</v>
      </c>
      <c r="L38" s="972" t="s">
        <v>2919</v>
      </c>
      <c r="M38" s="972" t="s">
        <v>1009</v>
      </c>
      <c r="N38" s="972" t="s">
        <v>1009</v>
      </c>
      <c r="O38" s="972" t="s">
        <v>1009</v>
      </c>
      <c r="P38" s="972"/>
      <c r="Q38" s="972"/>
      <c r="R38" s="1042"/>
    </row>
    <row r="39" spans="1:18" s="1011" customFormat="1" ht="30" customHeight="1">
      <c r="A39" s="1016"/>
      <c r="B39" s="972"/>
      <c r="C39" s="972"/>
      <c r="D39" s="972"/>
      <c r="E39" s="972"/>
      <c r="F39" s="972"/>
      <c r="G39" s="972"/>
      <c r="H39" s="972"/>
      <c r="I39" s="972"/>
      <c r="J39" s="976">
        <v>401.15899999999999</v>
      </c>
      <c r="K39" s="972"/>
      <c r="L39" s="972"/>
      <c r="M39" s="972"/>
      <c r="N39" s="972"/>
      <c r="O39" s="972"/>
      <c r="P39" s="972"/>
      <c r="Q39" s="972"/>
      <c r="R39" s="1042" t="s">
        <v>3038</v>
      </c>
    </row>
    <row r="40" spans="1:18" s="1011" customFormat="1" ht="30" customHeight="1">
      <c r="A40" s="1016">
        <f>A38+1</f>
        <v>17</v>
      </c>
      <c r="B40" s="972" t="s">
        <v>2374</v>
      </c>
      <c r="C40" s="972" t="s">
        <v>1277</v>
      </c>
      <c r="D40" s="972" t="s">
        <v>2439</v>
      </c>
      <c r="E40" s="972">
        <v>0</v>
      </c>
      <c r="F40" s="972">
        <v>0</v>
      </c>
      <c r="G40" s="972">
        <v>0</v>
      </c>
      <c r="H40" s="972">
        <v>0</v>
      </c>
      <c r="I40" s="972" t="s">
        <v>897</v>
      </c>
      <c r="J40" s="976"/>
      <c r="K40" s="972">
        <f>J39</f>
        <v>401.15899999999999</v>
      </c>
      <c r="L40" s="972" t="s">
        <v>2919</v>
      </c>
      <c r="M40" s="972" t="s">
        <v>1009</v>
      </c>
      <c r="N40" s="972" t="s">
        <v>1009</v>
      </c>
      <c r="O40" s="972" t="s">
        <v>1009</v>
      </c>
      <c r="P40" s="972"/>
      <c r="Q40" s="972"/>
      <c r="R40" s="1042"/>
    </row>
    <row r="41" spans="1:18" s="1011" customFormat="1" ht="30" customHeight="1">
      <c r="A41" s="1016"/>
      <c r="B41" s="972"/>
      <c r="C41" s="972"/>
      <c r="D41" s="972"/>
      <c r="E41" s="972"/>
      <c r="F41" s="972"/>
      <c r="G41" s="972"/>
      <c r="H41" s="972"/>
      <c r="I41" s="972"/>
      <c r="J41" s="976">
        <v>345</v>
      </c>
      <c r="K41" s="972"/>
      <c r="L41" s="972"/>
      <c r="M41" s="972"/>
      <c r="N41" s="972"/>
      <c r="O41" s="972"/>
      <c r="P41" s="972"/>
      <c r="Q41" s="1564"/>
      <c r="R41" s="1042"/>
    </row>
    <row r="42" spans="1:18" s="1011" customFormat="1" ht="30" customHeight="1">
      <c r="A42" s="1016">
        <f>A40+1</f>
        <v>18</v>
      </c>
      <c r="B42" s="972" t="s">
        <v>1635</v>
      </c>
      <c r="C42" s="972" t="s">
        <v>76</v>
      </c>
      <c r="D42" s="972"/>
      <c r="E42" s="972">
        <v>0</v>
      </c>
      <c r="F42" s="972">
        <v>0</v>
      </c>
      <c r="G42" s="972">
        <v>0</v>
      </c>
      <c r="H42" s="972">
        <v>0</v>
      </c>
      <c r="I42" s="972" t="s">
        <v>2736</v>
      </c>
      <c r="J42" s="976"/>
      <c r="K42" s="972"/>
      <c r="L42" s="972" t="s">
        <v>2919</v>
      </c>
      <c r="M42" s="972" t="s">
        <v>1009</v>
      </c>
      <c r="N42" s="972" t="s">
        <v>1009</v>
      </c>
      <c r="O42" s="972" t="s">
        <v>1009</v>
      </c>
      <c r="P42" s="972"/>
      <c r="Q42" s="1564"/>
      <c r="R42" s="1042"/>
    </row>
    <row r="43" spans="1:18" s="1011" customFormat="1" ht="30" customHeight="1">
      <c r="A43" s="1016"/>
      <c r="B43" s="972"/>
      <c r="C43" s="972"/>
      <c r="D43" s="972"/>
      <c r="E43" s="972"/>
      <c r="F43" s="972"/>
      <c r="G43" s="972"/>
      <c r="H43" s="972"/>
      <c r="I43" s="972"/>
      <c r="J43" s="976">
        <v>360.00099999999998</v>
      </c>
      <c r="K43" s="972"/>
      <c r="L43" s="972"/>
      <c r="M43" s="972"/>
      <c r="N43" s="972"/>
      <c r="O43" s="972"/>
      <c r="P43" s="972"/>
      <c r="Q43" s="1564"/>
      <c r="R43" s="1042"/>
    </row>
    <row r="44" spans="1:18" s="1011" customFormat="1" ht="30" customHeight="1">
      <c r="A44" s="1016">
        <f>A42+1</f>
        <v>19</v>
      </c>
      <c r="B44" s="972" t="s">
        <v>1636</v>
      </c>
      <c r="C44" s="1062" t="s">
        <v>53</v>
      </c>
      <c r="D44" s="972"/>
      <c r="E44" s="972">
        <v>0</v>
      </c>
      <c r="F44" s="972">
        <v>0</v>
      </c>
      <c r="G44" s="972">
        <v>0</v>
      </c>
      <c r="H44" s="972">
        <v>0</v>
      </c>
      <c r="I44" s="972" t="s">
        <v>897</v>
      </c>
      <c r="J44" s="976"/>
      <c r="K44" s="972"/>
      <c r="L44" s="972" t="s">
        <v>2919</v>
      </c>
      <c r="M44" s="972" t="s">
        <v>1009</v>
      </c>
      <c r="N44" s="972" t="s">
        <v>1009</v>
      </c>
      <c r="O44" s="972" t="s">
        <v>1009</v>
      </c>
      <c r="P44" s="972"/>
      <c r="Q44" s="1564"/>
      <c r="R44" s="1042"/>
    </row>
    <row r="45" spans="1:18" s="1011" customFormat="1" ht="30" customHeight="1">
      <c r="A45" s="1016"/>
      <c r="B45" s="972"/>
      <c r="C45" s="972"/>
      <c r="D45" s="972"/>
      <c r="E45" s="972"/>
      <c r="F45" s="972"/>
      <c r="G45" s="972"/>
      <c r="H45" s="972"/>
      <c r="I45" s="972"/>
      <c r="J45" s="976">
        <v>350.21699999999998</v>
      </c>
      <c r="K45" s="972"/>
      <c r="L45" s="972"/>
      <c r="M45" s="972"/>
      <c r="N45" s="972"/>
      <c r="O45" s="972"/>
      <c r="P45" s="972"/>
      <c r="Q45" s="1564"/>
      <c r="R45" s="1042"/>
    </row>
    <row r="46" spans="1:18" s="1011" customFormat="1" ht="30" customHeight="1">
      <c r="A46" s="1016">
        <f>A44+1</f>
        <v>20</v>
      </c>
      <c r="B46" s="972" t="s">
        <v>3039</v>
      </c>
      <c r="C46" s="972" t="s">
        <v>1277</v>
      </c>
      <c r="D46" s="972" t="s">
        <v>2441</v>
      </c>
      <c r="E46" s="972">
        <v>0</v>
      </c>
      <c r="F46" s="972">
        <v>0</v>
      </c>
      <c r="G46" s="972">
        <v>0</v>
      </c>
      <c r="H46" s="972">
        <v>0</v>
      </c>
      <c r="I46" s="972" t="s">
        <v>897</v>
      </c>
      <c r="J46" s="976"/>
      <c r="K46" s="972">
        <f>J41+J43+J45</f>
        <v>1055.2179999999998</v>
      </c>
      <c r="L46" s="972" t="s">
        <v>2919</v>
      </c>
      <c r="M46" s="972" t="s">
        <v>1009</v>
      </c>
      <c r="N46" s="972" t="s">
        <v>1009</v>
      </c>
      <c r="O46" s="972" t="s">
        <v>1009</v>
      </c>
      <c r="P46" s="972"/>
      <c r="Q46" s="972"/>
      <c r="R46" s="1042"/>
    </row>
    <row r="47" spans="1:18" s="1011" customFormat="1" ht="30" customHeight="1">
      <c r="A47" s="1016"/>
      <c r="B47" s="972"/>
      <c r="C47" s="972"/>
      <c r="D47" s="972"/>
      <c r="E47" s="972"/>
      <c r="F47" s="972"/>
      <c r="G47" s="972"/>
      <c r="H47" s="972"/>
      <c r="I47" s="972"/>
      <c r="J47" s="976">
        <v>369.99900000000002</v>
      </c>
      <c r="K47" s="972"/>
      <c r="L47" s="972"/>
      <c r="M47" s="972"/>
      <c r="N47" s="972"/>
      <c r="O47" s="972"/>
      <c r="P47" s="972"/>
      <c r="Q47" s="1564"/>
      <c r="R47" s="1042"/>
    </row>
    <row r="48" spans="1:18" s="1011" customFormat="1" ht="30" customHeight="1">
      <c r="A48" s="1016">
        <f>A46+1</f>
        <v>21</v>
      </c>
      <c r="B48" s="972" t="s">
        <v>1637</v>
      </c>
      <c r="C48" s="972" t="s">
        <v>76</v>
      </c>
      <c r="D48" s="972"/>
      <c r="E48" s="972">
        <v>0</v>
      </c>
      <c r="F48" s="972">
        <v>0</v>
      </c>
      <c r="G48" s="972">
        <v>0</v>
      </c>
      <c r="H48" s="972">
        <v>0</v>
      </c>
      <c r="I48" s="972" t="s">
        <v>2736</v>
      </c>
      <c r="J48" s="976"/>
      <c r="K48" s="972"/>
      <c r="L48" s="972" t="s">
        <v>2919</v>
      </c>
      <c r="M48" s="972" t="s">
        <v>1009</v>
      </c>
      <c r="N48" s="972" t="s">
        <v>1009</v>
      </c>
      <c r="O48" s="972" t="s">
        <v>1009</v>
      </c>
      <c r="P48" s="972"/>
      <c r="Q48" s="1564"/>
      <c r="R48" s="1042"/>
    </row>
    <row r="49" spans="1:18" s="1011" customFormat="1" ht="30" customHeight="1">
      <c r="A49" s="1016"/>
      <c r="B49" s="972"/>
      <c r="C49" s="972"/>
      <c r="D49" s="972"/>
      <c r="E49" s="972"/>
      <c r="F49" s="972"/>
      <c r="G49" s="972"/>
      <c r="H49" s="972"/>
      <c r="I49" s="972"/>
      <c r="J49" s="976">
        <v>360</v>
      </c>
      <c r="K49" s="972"/>
      <c r="L49" s="972"/>
      <c r="M49" s="972"/>
      <c r="N49" s="972"/>
      <c r="O49" s="972"/>
      <c r="P49" s="972"/>
      <c r="Q49" s="1564"/>
      <c r="R49" s="1042"/>
    </row>
    <row r="50" spans="1:18" s="1011" customFormat="1" ht="30" customHeight="1">
      <c r="A50" s="1016">
        <f>A48+1</f>
        <v>22</v>
      </c>
      <c r="B50" s="972" t="s">
        <v>1638</v>
      </c>
      <c r="C50" s="972" t="s">
        <v>76</v>
      </c>
      <c r="D50" s="972"/>
      <c r="E50" s="972">
        <v>0</v>
      </c>
      <c r="F50" s="972">
        <v>0</v>
      </c>
      <c r="G50" s="972">
        <v>0</v>
      </c>
      <c r="H50" s="972">
        <v>0</v>
      </c>
      <c r="I50" s="972" t="s">
        <v>897</v>
      </c>
      <c r="J50" s="976"/>
      <c r="K50" s="972"/>
      <c r="L50" s="972" t="s">
        <v>2919</v>
      </c>
      <c r="M50" s="972" t="s">
        <v>1009</v>
      </c>
      <c r="N50" s="972" t="s">
        <v>1009</v>
      </c>
      <c r="O50" s="972" t="s">
        <v>1009</v>
      </c>
      <c r="P50" s="972"/>
      <c r="Q50" s="1564"/>
      <c r="R50" s="1042"/>
    </row>
    <row r="51" spans="1:18" s="1011" customFormat="1" ht="30" customHeight="1">
      <c r="A51" s="1016"/>
      <c r="B51" s="972"/>
      <c r="C51" s="972"/>
      <c r="D51" s="972"/>
      <c r="E51" s="972"/>
      <c r="F51" s="972"/>
      <c r="G51" s="972"/>
      <c r="H51" s="972"/>
      <c r="I51" s="972"/>
      <c r="J51" s="976">
        <v>358.74799999999999</v>
      </c>
      <c r="K51" s="972"/>
      <c r="L51" s="972"/>
      <c r="M51" s="972"/>
      <c r="N51" s="972"/>
      <c r="O51" s="972"/>
      <c r="P51" s="972"/>
      <c r="Q51" s="1564"/>
      <c r="R51" s="1042"/>
    </row>
    <row r="52" spans="1:18" s="1011" customFormat="1" ht="30" customHeight="1">
      <c r="A52" s="1016">
        <f>A50+1</f>
        <v>23</v>
      </c>
      <c r="B52" s="972" t="s">
        <v>3040</v>
      </c>
      <c r="C52" s="972" t="s">
        <v>1934</v>
      </c>
      <c r="D52" s="972" t="s">
        <v>3041</v>
      </c>
      <c r="E52" s="972">
        <v>1.5</v>
      </c>
      <c r="F52" s="972">
        <v>1.5</v>
      </c>
      <c r="G52" s="972">
        <v>1.5</v>
      </c>
      <c r="H52" s="972">
        <v>1.5</v>
      </c>
      <c r="I52" s="972" t="s">
        <v>1765</v>
      </c>
      <c r="J52" s="976"/>
      <c r="K52" s="972">
        <f>J47+J49+J51</f>
        <v>1088.7470000000001</v>
      </c>
      <c r="L52" s="972" t="s">
        <v>2919</v>
      </c>
      <c r="M52" s="972" t="s">
        <v>1009</v>
      </c>
      <c r="N52" s="972" t="s">
        <v>1009</v>
      </c>
      <c r="O52" s="972" t="s">
        <v>1009</v>
      </c>
      <c r="P52" s="972"/>
      <c r="Q52" s="972"/>
      <c r="R52" s="1042"/>
    </row>
    <row r="53" spans="1:18" s="1011" customFormat="1" ht="30" customHeight="1">
      <c r="A53" s="1016"/>
      <c r="B53" s="972"/>
      <c r="C53" s="972"/>
      <c r="D53" s="972"/>
      <c r="E53" s="972"/>
      <c r="F53" s="972"/>
      <c r="G53" s="972"/>
      <c r="H53" s="972"/>
      <c r="I53" s="972"/>
      <c r="J53" s="976">
        <v>485.93</v>
      </c>
      <c r="K53" s="1040"/>
      <c r="L53" s="1040"/>
      <c r="M53" s="1040"/>
      <c r="N53" s="1040"/>
      <c r="O53" s="1040"/>
      <c r="P53" s="1040"/>
      <c r="Q53" s="1040"/>
      <c r="R53" s="1041"/>
    </row>
    <row r="54" spans="1:18" s="1010" customFormat="1" ht="30" customHeight="1">
      <c r="A54" s="1016">
        <f>A52+1</f>
        <v>24</v>
      </c>
      <c r="B54" s="972" t="s">
        <v>3042</v>
      </c>
      <c r="C54" s="972" t="s">
        <v>1935</v>
      </c>
      <c r="D54" s="972" t="s">
        <v>1937</v>
      </c>
      <c r="E54" s="972">
        <v>1.5</v>
      </c>
      <c r="F54" s="972">
        <v>1.5</v>
      </c>
      <c r="G54" s="972">
        <v>1.5</v>
      </c>
      <c r="H54" s="972">
        <v>1.5</v>
      </c>
      <c r="I54" s="972" t="s">
        <v>1765</v>
      </c>
      <c r="J54" s="976"/>
      <c r="K54" s="1040">
        <f>J53</f>
        <v>485.93</v>
      </c>
      <c r="L54" s="1040" t="s">
        <v>2919</v>
      </c>
      <c r="M54" s="1040" t="s">
        <v>1009</v>
      </c>
      <c r="N54" s="1040"/>
      <c r="O54" s="1040"/>
      <c r="P54" s="1040"/>
      <c r="Q54" s="1078"/>
      <c r="R54" s="1041"/>
    </row>
    <row r="55" spans="1:18" s="1010" customFormat="1" ht="30" customHeight="1">
      <c r="A55" s="1016"/>
      <c r="B55" s="972"/>
      <c r="C55" s="972"/>
      <c r="D55" s="972"/>
      <c r="E55" s="972"/>
      <c r="F55" s="972"/>
      <c r="G55" s="972"/>
      <c r="H55" s="972"/>
      <c r="I55" s="972"/>
      <c r="J55" s="976">
        <v>325</v>
      </c>
      <c r="K55" s="1040"/>
      <c r="L55" s="1040"/>
      <c r="M55" s="1040"/>
      <c r="N55" s="1040"/>
      <c r="O55" s="1040"/>
      <c r="P55" s="1040"/>
      <c r="Q55" s="1043"/>
      <c r="R55" s="1041"/>
    </row>
    <row r="56" spans="1:18" s="1011" customFormat="1" ht="30" customHeight="1">
      <c r="A56" s="1016">
        <f>A54+1</f>
        <v>25</v>
      </c>
      <c r="B56" s="972" t="s">
        <v>1641</v>
      </c>
      <c r="C56" s="972" t="s">
        <v>76</v>
      </c>
      <c r="D56" s="972" t="s">
        <v>1938</v>
      </c>
      <c r="E56" s="972">
        <v>0</v>
      </c>
      <c r="F56" s="972">
        <v>0</v>
      </c>
      <c r="G56" s="972">
        <v>0</v>
      </c>
      <c r="H56" s="972">
        <v>0</v>
      </c>
      <c r="I56" s="972" t="s">
        <v>1765</v>
      </c>
      <c r="J56" s="976"/>
      <c r="K56" s="1040"/>
      <c r="L56" s="972" t="s">
        <v>2919</v>
      </c>
      <c r="M56" s="1040" t="s">
        <v>1009</v>
      </c>
      <c r="N56" s="972" t="s">
        <v>1009</v>
      </c>
      <c r="O56" s="1040"/>
      <c r="P56" s="1040"/>
      <c r="Q56" s="1043"/>
      <c r="R56" s="1041"/>
    </row>
    <row r="57" spans="1:18" s="1011" customFormat="1" ht="30" customHeight="1">
      <c r="A57" s="1016"/>
      <c r="B57" s="972"/>
      <c r="C57" s="972"/>
      <c r="D57" s="972"/>
      <c r="E57" s="972"/>
      <c r="F57" s="972"/>
      <c r="G57" s="972"/>
      <c r="H57" s="972"/>
      <c r="I57" s="972"/>
      <c r="J57" s="976">
        <v>387.33699999999999</v>
      </c>
      <c r="K57" s="1040"/>
      <c r="L57" s="1040"/>
      <c r="M57" s="1040"/>
      <c r="N57" s="1040"/>
      <c r="O57" s="1040"/>
      <c r="P57" s="1040"/>
      <c r="Q57" s="1043"/>
      <c r="R57" s="1041"/>
    </row>
    <row r="58" spans="1:18" s="1011" customFormat="1" ht="30" customHeight="1">
      <c r="A58" s="1016">
        <f>A56+1</f>
        <v>26</v>
      </c>
      <c r="B58" s="972" t="s">
        <v>3043</v>
      </c>
      <c r="C58" s="972" t="s">
        <v>1361</v>
      </c>
      <c r="D58" s="972" t="s">
        <v>1940</v>
      </c>
      <c r="E58" s="972">
        <v>0</v>
      </c>
      <c r="F58" s="972">
        <v>0</v>
      </c>
      <c r="G58" s="972">
        <v>0</v>
      </c>
      <c r="H58" s="972">
        <v>0</v>
      </c>
      <c r="I58" s="972" t="s">
        <v>1765</v>
      </c>
      <c r="J58" s="976"/>
      <c r="K58" s="1040">
        <f>J55+J57</f>
        <v>712.33699999999999</v>
      </c>
      <c r="L58" s="972" t="s">
        <v>2919</v>
      </c>
      <c r="M58" s="1040" t="s">
        <v>1009</v>
      </c>
      <c r="N58" s="972" t="s">
        <v>1009</v>
      </c>
      <c r="O58" s="1040"/>
      <c r="P58" s="1040"/>
      <c r="Q58" s="1040"/>
      <c r="R58" s="1041"/>
    </row>
    <row r="59" spans="1:18" s="1011" customFormat="1" ht="30" customHeight="1">
      <c r="A59" s="1016"/>
      <c r="B59" s="972"/>
      <c r="C59" s="972"/>
      <c r="D59" s="972"/>
      <c r="E59" s="972"/>
      <c r="F59" s="972"/>
      <c r="G59" s="972"/>
      <c r="H59" s="972"/>
      <c r="I59" s="972"/>
      <c r="J59" s="976">
        <v>390</v>
      </c>
      <c r="K59" s="1040"/>
      <c r="L59" s="1040"/>
      <c r="M59" s="1040"/>
      <c r="N59" s="1040"/>
      <c r="O59" s="1040"/>
      <c r="P59" s="1040"/>
      <c r="Q59" s="1566"/>
      <c r="R59" s="1041"/>
    </row>
    <row r="60" spans="1:18" s="1011" customFormat="1" ht="30" customHeight="1">
      <c r="A60" s="1016">
        <f>A58+1</f>
        <v>27</v>
      </c>
      <c r="B60" s="972" t="s">
        <v>1643</v>
      </c>
      <c r="C60" s="972" t="s">
        <v>62</v>
      </c>
      <c r="D60" s="972" t="s">
        <v>1938</v>
      </c>
      <c r="E60" s="972">
        <v>0</v>
      </c>
      <c r="F60" s="972">
        <v>0</v>
      </c>
      <c r="G60" s="972">
        <v>0</v>
      </c>
      <c r="H60" s="972">
        <v>0</v>
      </c>
      <c r="I60" s="972" t="s">
        <v>1765</v>
      </c>
      <c r="J60" s="976"/>
      <c r="K60" s="1040"/>
      <c r="L60" s="972" t="s">
        <v>2919</v>
      </c>
      <c r="M60" s="1040" t="s">
        <v>1009</v>
      </c>
      <c r="N60" s="972" t="s">
        <v>1009</v>
      </c>
      <c r="O60" s="1040"/>
      <c r="P60" s="1040"/>
      <c r="Q60" s="1567"/>
      <c r="R60" s="1041"/>
    </row>
    <row r="61" spans="1:18" s="1011" customFormat="1" ht="30" customHeight="1">
      <c r="A61" s="1016"/>
      <c r="B61" s="972"/>
      <c r="C61" s="972"/>
      <c r="D61" s="972"/>
      <c r="E61" s="972"/>
      <c r="F61" s="972"/>
      <c r="G61" s="972"/>
      <c r="H61" s="972"/>
      <c r="I61" s="972"/>
      <c r="J61" s="976">
        <v>388.62900000000002</v>
      </c>
      <c r="K61" s="1040"/>
      <c r="L61" s="1040"/>
      <c r="M61" s="1040"/>
      <c r="N61" s="1040"/>
      <c r="O61" s="1040"/>
      <c r="P61" s="1040"/>
      <c r="Q61" s="1567"/>
      <c r="R61" s="1041"/>
    </row>
    <row r="62" spans="1:18" s="1011" customFormat="1" ht="30" customHeight="1">
      <c r="A62" s="1016">
        <v>28</v>
      </c>
      <c r="B62" s="972" t="s">
        <v>1644</v>
      </c>
      <c r="C62" s="972" t="s">
        <v>62</v>
      </c>
      <c r="D62" s="972" t="s">
        <v>1938</v>
      </c>
      <c r="E62" s="972">
        <v>0</v>
      </c>
      <c r="F62" s="972">
        <v>0</v>
      </c>
      <c r="G62" s="972">
        <v>0</v>
      </c>
      <c r="H62" s="972">
        <v>0</v>
      </c>
      <c r="I62" s="972" t="s">
        <v>1765</v>
      </c>
      <c r="J62" s="976"/>
      <c r="K62" s="1040"/>
      <c r="L62" s="972" t="s">
        <v>2919</v>
      </c>
      <c r="M62" s="1040" t="s">
        <v>1009</v>
      </c>
      <c r="N62" s="972" t="s">
        <v>1009</v>
      </c>
      <c r="O62" s="1040"/>
      <c r="P62" s="1040"/>
      <c r="Q62" s="1567"/>
      <c r="R62" s="1041"/>
    </row>
    <row r="63" spans="1:18" s="1011" customFormat="1" ht="30" customHeight="1">
      <c r="A63" s="1016"/>
      <c r="B63" s="972"/>
      <c r="C63" s="972"/>
      <c r="D63" s="972"/>
      <c r="E63" s="972"/>
      <c r="F63" s="972"/>
      <c r="G63" s="972"/>
      <c r="H63" s="972"/>
      <c r="I63" s="972"/>
      <c r="J63" s="976">
        <v>398.45</v>
      </c>
      <c r="K63" s="1040"/>
      <c r="L63" s="1040"/>
      <c r="M63" s="1040"/>
      <c r="N63" s="1040"/>
      <c r="O63" s="1040"/>
      <c r="P63" s="1040"/>
      <c r="Q63" s="1567"/>
      <c r="R63" s="1041"/>
    </row>
    <row r="64" spans="1:18" s="1011" customFormat="1" ht="30" customHeight="1">
      <c r="A64" s="1016">
        <v>29</v>
      </c>
      <c r="B64" s="972" t="s">
        <v>3044</v>
      </c>
      <c r="C64" s="972" t="s">
        <v>1269</v>
      </c>
      <c r="D64" s="972" t="s">
        <v>1941</v>
      </c>
      <c r="E64" s="972">
        <v>0</v>
      </c>
      <c r="F64" s="972">
        <v>0</v>
      </c>
      <c r="G64" s="972">
        <v>0</v>
      </c>
      <c r="H64" s="972">
        <v>0</v>
      </c>
      <c r="I64" s="972" t="s">
        <v>897</v>
      </c>
      <c r="J64" s="976"/>
      <c r="K64" s="1040">
        <f>J59+J61+J63</f>
        <v>1177.079</v>
      </c>
      <c r="L64" s="972" t="s">
        <v>2919</v>
      </c>
      <c r="M64" s="1040" t="s">
        <v>1009</v>
      </c>
      <c r="N64" s="972" t="s">
        <v>1009</v>
      </c>
      <c r="O64" s="1040" t="s">
        <v>1009</v>
      </c>
      <c r="P64" s="1040"/>
      <c r="Q64" s="1040"/>
      <c r="R64" s="1041"/>
    </row>
    <row r="65" spans="1:18" s="1011" customFormat="1" ht="30" customHeight="1">
      <c r="A65" s="1016"/>
      <c r="B65" s="972"/>
      <c r="C65" s="972"/>
      <c r="D65" s="972"/>
      <c r="E65" s="972"/>
      <c r="F65" s="972"/>
      <c r="G65" s="972"/>
      <c r="H65" s="972"/>
      <c r="I65" s="972"/>
      <c r="J65" s="976">
        <v>435.99900000000002</v>
      </c>
      <c r="K65" s="1040"/>
      <c r="L65" s="1040"/>
      <c r="M65" s="1040"/>
      <c r="N65" s="1040"/>
      <c r="O65" s="1040"/>
      <c r="P65" s="1040"/>
      <c r="Q65" s="1567"/>
      <c r="R65" s="1041"/>
    </row>
    <row r="66" spans="1:18" s="1011" customFormat="1" ht="30" customHeight="1">
      <c r="A66" s="1016">
        <v>30</v>
      </c>
      <c r="B66" s="972" t="s">
        <v>1116</v>
      </c>
      <c r="C66" s="972" t="s">
        <v>53</v>
      </c>
      <c r="D66" s="972" t="s">
        <v>1938</v>
      </c>
      <c r="E66" s="972">
        <v>0</v>
      </c>
      <c r="F66" s="972">
        <v>0</v>
      </c>
      <c r="G66" s="972">
        <v>0</v>
      </c>
      <c r="H66" s="972">
        <v>0</v>
      </c>
      <c r="I66" s="972" t="s">
        <v>1765</v>
      </c>
      <c r="J66" s="976"/>
      <c r="K66" s="1040"/>
      <c r="L66" s="972" t="s">
        <v>2919</v>
      </c>
      <c r="M66" s="1040" t="s">
        <v>1009</v>
      </c>
      <c r="N66" s="972" t="s">
        <v>1009</v>
      </c>
      <c r="O66" s="1040" t="s">
        <v>1009</v>
      </c>
      <c r="P66" s="1040"/>
      <c r="Q66" s="1567"/>
      <c r="R66" s="1041"/>
    </row>
    <row r="67" spans="1:18" s="1011" customFormat="1" ht="30" customHeight="1">
      <c r="A67" s="1016"/>
      <c r="B67" s="972"/>
      <c r="C67" s="972"/>
      <c r="D67" s="972"/>
      <c r="E67" s="972"/>
      <c r="F67" s="972"/>
      <c r="G67" s="972"/>
      <c r="H67" s="972"/>
      <c r="I67" s="972"/>
      <c r="J67" s="976">
        <v>384</v>
      </c>
      <c r="K67" s="1040"/>
      <c r="L67" s="1040"/>
      <c r="M67" s="1040"/>
      <c r="N67" s="1040"/>
      <c r="O67" s="1040"/>
      <c r="P67" s="1040"/>
      <c r="Q67" s="1567"/>
      <c r="R67" s="1041"/>
    </row>
    <row r="68" spans="1:18" s="1011" customFormat="1" ht="30" customHeight="1">
      <c r="A68" s="1016">
        <v>31</v>
      </c>
      <c r="B68" s="972" t="s">
        <v>1645</v>
      </c>
      <c r="C68" s="972" t="s">
        <v>62</v>
      </c>
      <c r="D68" s="972"/>
      <c r="E68" s="972">
        <v>0</v>
      </c>
      <c r="F68" s="972">
        <v>0</v>
      </c>
      <c r="G68" s="972">
        <v>0</v>
      </c>
      <c r="H68" s="972">
        <v>0</v>
      </c>
      <c r="I68" s="972"/>
      <c r="J68" s="976"/>
      <c r="K68" s="1040"/>
      <c r="L68" s="1040" t="s">
        <v>2919</v>
      </c>
      <c r="M68" s="1040" t="s">
        <v>22</v>
      </c>
      <c r="N68" s="1040"/>
      <c r="O68" s="1040"/>
      <c r="P68" s="1040"/>
      <c r="Q68" s="1567"/>
      <c r="R68" s="1041"/>
    </row>
    <row r="69" spans="1:18" s="1011" customFormat="1" ht="30" customHeight="1">
      <c r="A69" s="1016"/>
      <c r="B69" s="972"/>
      <c r="C69" s="972"/>
      <c r="D69" s="972"/>
      <c r="E69" s="972"/>
      <c r="F69" s="972"/>
      <c r="G69" s="972"/>
      <c r="H69" s="972"/>
      <c r="I69" s="972"/>
      <c r="J69" s="976">
        <v>420</v>
      </c>
      <c r="K69" s="1040"/>
      <c r="L69" s="1040"/>
      <c r="M69" s="1040"/>
      <c r="N69" s="1040"/>
      <c r="O69" s="1040"/>
      <c r="P69" s="1040"/>
      <c r="Q69" s="1567"/>
      <c r="R69" s="1041"/>
    </row>
    <row r="70" spans="1:18" s="1011" customFormat="1" ht="30" customHeight="1">
      <c r="A70" s="1016">
        <v>32</v>
      </c>
      <c r="B70" s="972" t="s">
        <v>1117</v>
      </c>
      <c r="C70" s="972" t="s">
        <v>62</v>
      </c>
      <c r="D70" s="972"/>
      <c r="E70" s="972">
        <v>0</v>
      </c>
      <c r="F70" s="972">
        <v>0</v>
      </c>
      <c r="G70" s="972">
        <v>0</v>
      </c>
      <c r="H70" s="972">
        <v>0</v>
      </c>
      <c r="I70" s="972"/>
      <c r="J70" s="976"/>
      <c r="K70" s="1040"/>
      <c r="L70" s="972" t="s">
        <v>2919</v>
      </c>
      <c r="M70" s="1040"/>
      <c r="N70" s="1040"/>
      <c r="O70" s="1040"/>
      <c r="P70" s="1040"/>
      <c r="Q70" s="1567"/>
      <c r="R70" s="1041"/>
    </row>
    <row r="71" spans="1:18" s="1011" customFormat="1" ht="30" customHeight="1">
      <c r="A71" s="1016"/>
      <c r="B71" s="972"/>
      <c r="C71" s="972"/>
      <c r="D71" s="972"/>
      <c r="E71" s="972"/>
      <c r="F71" s="972"/>
      <c r="G71" s="972"/>
      <c r="H71" s="972"/>
      <c r="I71" s="972"/>
      <c r="J71" s="976">
        <v>410</v>
      </c>
      <c r="K71" s="1040"/>
      <c r="L71" s="1040"/>
      <c r="M71" s="1040"/>
      <c r="N71" s="1040"/>
      <c r="O71" s="1040"/>
      <c r="P71" s="1040"/>
      <c r="Q71" s="1567"/>
      <c r="R71" s="1041"/>
    </row>
    <row r="72" spans="1:18" s="1011" customFormat="1" ht="30" customHeight="1">
      <c r="A72" s="1016">
        <v>33</v>
      </c>
      <c r="B72" s="972" t="s">
        <v>1646</v>
      </c>
      <c r="C72" s="972" t="s">
        <v>62</v>
      </c>
      <c r="D72" s="972"/>
      <c r="E72" s="972">
        <v>0</v>
      </c>
      <c r="F72" s="972">
        <v>0</v>
      </c>
      <c r="G72" s="972">
        <v>0</v>
      </c>
      <c r="H72" s="972">
        <v>0</v>
      </c>
      <c r="I72" s="972" t="s">
        <v>897</v>
      </c>
      <c r="J72" s="976"/>
      <c r="K72" s="1040"/>
      <c r="L72" s="972" t="s">
        <v>2919</v>
      </c>
      <c r="M72" s="1040" t="s">
        <v>1009</v>
      </c>
      <c r="N72" s="972" t="s">
        <v>1009</v>
      </c>
      <c r="O72" s="1040" t="s">
        <v>1009</v>
      </c>
      <c r="P72" s="1040"/>
      <c r="Q72" s="1567"/>
      <c r="R72" s="1041"/>
    </row>
    <row r="73" spans="1:18" s="1011" customFormat="1" ht="30" customHeight="1">
      <c r="A73" s="1016"/>
      <c r="B73" s="972"/>
      <c r="C73" s="972"/>
      <c r="D73" s="972"/>
      <c r="E73" s="972"/>
      <c r="F73" s="972"/>
      <c r="G73" s="972"/>
      <c r="H73" s="972"/>
      <c r="I73" s="972"/>
      <c r="J73" s="976">
        <v>407.25</v>
      </c>
      <c r="K73" s="1040"/>
      <c r="L73" s="1040"/>
      <c r="M73" s="1040"/>
      <c r="N73" s="1040"/>
      <c r="O73" s="1040"/>
      <c r="P73" s="1040"/>
      <c r="Q73" s="1567"/>
      <c r="R73" s="1041"/>
    </row>
    <row r="74" spans="1:18" s="1011" customFormat="1" ht="30" customHeight="1">
      <c r="A74" s="1016">
        <v>34</v>
      </c>
      <c r="B74" s="972" t="s">
        <v>1647</v>
      </c>
      <c r="C74" s="972" t="s">
        <v>62</v>
      </c>
      <c r="D74" s="972"/>
      <c r="E74" s="972">
        <v>0</v>
      </c>
      <c r="F74" s="972">
        <v>0</v>
      </c>
      <c r="G74" s="972">
        <v>0</v>
      </c>
      <c r="H74" s="972">
        <v>0</v>
      </c>
      <c r="I74" s="972" t="s">
        <v>897</v>
      </c>
      <c r="J74" s="976"/>
      <c r="K74" s="1040"/>
      <c r="L74" s="1040" t="s">
        <v>2919</v>
      </c>
      <c r="M74" s="1040" t="s">
        <v>1009</v>
      </c>
      <c r="N74" s="1040" t="s">
        <v>1009</v>
      </c>
      <c r="O74" s="1040" t="s">
        <v>1009</v>
      </c>
      <c r="P74" s="1040"/>
      <c r="Q74" s="1567"/>
      <c r="R74" s="1041"/>
    </row>
    <row r="75" spans="1:18" s="1011" customFormat="1" ht="30" customHeight="1">
      <c r="A75" s="1016"/>
      <c r="B75" s="972"/>
      <c r="C75" s="972"/>
      <c r="D75" s="972"/>
      <c r="E75" s="972"/>
      <c r="F75" s="972"/>
      <c r="G75" s="972"/>
      <c r="H75" s="972"/>
      <c r="I75" s="972"/>
      <c r="J75" s="976">
        <v>397.702</v>
      </c>
      <c r="K75" s="1040"/>
      <c r="L75" s="1040"/>
      <c r="M75" s="1040"/>
      <c r="N75" s="1040"/>
      <c r="O75" s="1040"/>
      <c r="P75" s="1040"/>
      <c r="Q75" s="1567"/>
      <c r="R75" s="1041"/>
    </row>
    <row r="76" spans="1:18" s="1011" customFormat="1" ht="30" customHeight="1">
      <c r="A76" s="1016">
        <v>35</v>
      </c>
      <c r="B76" s="972" t="s">
        <v>3045</v>
      </c>
      <c r="C76" s="972" t="s">
        <v>1361</v>
      </c>
      <c r="D76" s="972" t="s">
        <v>1943</v>
      </c>
      <c r="E76" s="972">
        <v>0</v>
      </c>
      <c r="F76" s="972">
        <v>0</v>
      </c>
      <c r="G76" s="972">
        <v>0</v>
      </c>
      <c r="H76" s="972">
        <v>0</v>
      </c>
      <c r="I76" s="972" t="s">
        <v>2736</v>
      </c>
      <c r="J76" s="976"/>
      <c r="K76" s="1040">
        <f>J65+J67+J69+J71+J73+J75</f>
        <v>2454.951</v>
      </c>
      <c r="L76" s="1040" t="s">
        <v>2919</v>
      </c>
      <c r="M76" s="1040" t="s">
        <v>1009</v>
      </c>
      <c r="N76" s="1040" t="s">
        <v>1009</v>
      </c>
      <c r="O76" s="1040" t="s">
        <v>1009</v>
      </c>
      <c r="P76" s="1040"/>
      <c r="Q76" s="1040"/>
      <c r="R76" s="1041"/>
    </row>
    <row r="77" spans="1:18" s="1011" customFormat="1" ht="30" customHeight="1">
      <c r="A77" s="1016"/>
      <c r="B77" s="972"/>
      <c r="C77" s="972"/>
      <c r="D77" s="972"/>
      <c r="E77" s="972"/>
      <c r="F77" s="972"/>
      <c r="G77" s="972"/>
      <c r="H77" s="972"/>
      <c r="I77" s="972"/>
      <c r="J77" s="976">
        <v>366.00400000000002</v>
      </c>
      <c r="K77" s="1040"/>
      <c r="L77" s="1040"/>
      <c r="M77" s="1040"/>
      <c r="N77" s="1040"/>
      <c r="O77" s="1040"/>
      <c r="P77" s="1040"/>
      <c r="Q77" s="1040"/>
      <c r="R77" s="1041"/>
    </row>
    <row r="78" spans="1:18" s="1011" customFormat="1" ht="30" customHeight="1">
      <c r="A78" s="1016">
        <v>36</v>
      </c>
      <c r="B78" s="972" t="s">
        <v>3046</v>
      </c>
      <c r="C78" s="972" t="s">
        <v>1319</v>
      </c>
      <c r="D78" s="972" t="s">
        <v>1945</v>
      </c>
      <c r="E78" s="972">
        <v>0</v>
      </c>
      <c r="F78" s="972">
        <v>0</v>
      </c>
      <c r="G78" s="972">
        <v>0</v>
      </c>
      <c r="H78" s="972">
        <v>0</v>
      </c>
      <c r="I78" s="972" t="s">
        <v>897</v>
      </c>
      <c r="J78" s="976"/>
      <c r="K78" s="1040">
        <f>J77</f>
        <v>366.00400000000002</v>
      </c>
      <c r="L78" s="1040" t="s">
        <v>2919</v>
      </c>
      <c r="M78" s="1040" t="s">
        <v>1009</v>
      </c>
      <c r="N78" s="972" t="s">
        <v>1009</v>
      </c>
      <c r="O78" s="1040" t="s">
        <v>1009</v>
      </c>
      <c r="P78" s="1040"/>
      <c r="Q78" s="1040"/>
      <c r="R78" s="1041"/>
    </row>
    <row r="79" spans="1:18" s="1011" customFormat="1" ht="30" customHeight="1">
      <c r="A79" s="1016"/>
      <c r="B79" s="972"/>
      <c r="C79" s="972"/>
      <c r="D79" s="972"/>
      <c r="E79" s="972"/>
      <c r="F79" s="972"/>
      <c r="G79" s="972"/>
      <c r="H79" s="972"/>
      <c r="I79" s="972"/>
      <c r="J79" s="976">
        <v>372.4</v>
      </c>
      <c r="K79" s="1040"/>
      <c r="L79" s="1040"/>
      <c r="M79" s="1040"/>
      <c r="N79" s="1040"/>
      <c r="O79" s="1040"/>
      <c r="P79" s="1040"/>
      <c r="Q79" s="1567"/>
      <c r="R79" s="1041"/>
    </row>
    <row r="80" spans="1:18" s="1011" customFormat="1" ht="30" customHeight="1">
      <c r="A80" s="1016">
        <v>37</v>
      </c>
      <c r="B80" s="972" t="s">
        <v>1648</v>
      </c>
      <c r="C80" s="972" t="s">
        <v>76</v>
      </c>
      <c r="D80" s="972"/>
      <c r="E80" s="972">
        <v>0</v>
      </c>
      <c r="F80" s="972">
        <v>0</v>
      </c>
      <c r="G80" s="972">
        <v>0</v>
      </c>
      <c r="H80" s="972">
        <v>0</v>
      </c>
      <c r="I80" s="972" t="s">
        <v>2736</v>
      </c>
      <c r="J80" s="976"/>
      <c r="K80" s="1040"/>
      <c r="L80" s="1040" t="s">
        <v>2919</v>
      </c>
      <c r="M80" s="1040" t="s">
        <v>1009</v>
      </c>
      <c r="N80" s="972" t="s">
        <v>1009</v>
      </c>
      <c r="O80" s="1040" t="s">
        <v>1009</v>
      </c>
      <c r="P80" s="1040"/>
      <c r="Q80" s="1567"/>
      <c r="R80" s="1041"/>
    </row>
    <row r="81" spans="1:18" s="1011" customFormat="1" ht="30" customHeight="1">
      <c r="A81" s="1016"/>
      <c r="B81" s="972"/>
      <c r="C81" s="972"/>
      <c r="D81" s="972"/>
      <c r="E81" s="972"/>
      <c r="F81" s="972"/>
      <c r="G81" s="972"/>
      <c r="H81" s="972"/>
      <c r="I81" s="972"/>
      <c r="J81" s="976">
        <v>311.86599999999999</v>
      </c>
      <c r="K81" s="1040"/>
      <c r="L81" s="1040"/>
      <c r="M81" s="1040"/>
      <c r="N81" s="1040"/>
      <c r="O81" s="1040"/>
      <c r="P81" s="1040"/>
      <c r="Q81" s="1567"/>
      <c r="R81" s="1041"/>
    </row>
    <row r="82" spans="1:18" s="1011" customFormat="1" ht="30" customHeight="1">
      <c r="A82" s="1016">
        <v>38</v>
      </c>
      <c r="B82" s="972" t="s">
        <v>1125</v>
      </c>
      <c r="C82" s="972" t="s">
        <v>76</v>
      </c>
      <c r="D82" s="972"/>
      <c r="E82" s="972">
        <v>0</v>
      </c>
      <c r="F82" s="972">
        <v>0</v>
      </c>
      <c r="G82" s="972">
        <v>0</v>
      </c>
      <c r="H82" s="972">
        <v>0</v>
      </c>
      <c r="I82" s="972" t="s">
        <v>897</v>
      </c>
      <c r="J82" s="976"/>
      <c r="K82" s="1040"/>
      <c r="L82" s="1040" t="s">
        <v>2919</v>
      </c>
      <c r="M82" s="1040" t="s">
        <v>1009</v>
      </c>
      <c r="N82" s="972" t="s">
        <v>1009</v>
      </c>
      <c r="O82" s="1040" t="s">
        <v>1009</v>
      </c>
      <c r="P82" s="1040"/>
      <c r="Q82" s="1567"/>
      <c r="R82" s="1041"/>
    </row>
    <row r="83" spans="1:18" s="1011" customFormat="1" ht="30" customHeight="1">
      <c r="A83" s="1016"/>
      <c r="B83" s="972"/>
      <c r="C83" s="972"/>
      <c r="D83" s="972"/>
      <c r="E83" s="972"/>
      <c r="F83" s="972"/>
      <c r="G83" s="972"/>
      <c r="H83" s="972"/>
      <c r="I83" s="972"/>
      <c r="J83" s="976">
        <v>343.76299999999998</v>
      </c>
      <c r="K83" s="1040"/>
      <c r="L83" s="1040"/>
      <c r="M83" s="1040"/>
      <c r="N83" s="1040"/>
      <c r="O83" s="1040"/>
      <c r="P83" s="1040"/>
      <c r="Q83" s="1567"/>
      <c r="R83" s="1041"/>
    </row>
    <row r="84" spans="1:18" s="1011" customFormat="1" ht="30" customHeight="1">
      <c r="A84" s="1016">
        <v>39</v>
      </c>
      <c r="B84" s="972" t="s">
        <v>3047</v>
      </c>
      <c r="C84" s="972" t="s">
        <v>1319</v>
      </c>
      <c r="D84" s="972" t="s">
        <v>1947</v>
      </c>
      <c r="E84" s="972">
        <v>0</v>
      </c>
      <c r="F84" s="972">
        <v>0</v>
      </c>
      <c r="G84" s="972">
        <v>0</v>
      </c>
      <c r="H84" s="972">
        <v>0</v>
      </c>
      <c r="I84" s="972" t="s">
        <v>897</v>
      </c>
      <c r="J84" s="976"/>
      <c r="K84" s="1040">
        <f>J79+J81+J83</f>
        <v>1028.029</v>
      </c>
      <c r="L84" s="972" t="s">
        <v>2919</v>
      </c>
      <c r="M84" s="1040" t="s">
        <v>1009</v>
      </c>
      <c r="N84" s="972" t="s">
        <v>1009</v>
      </c>
      <c r="O84" s="1040" t="s">
        <v>1009</v>
      </c>
      <c r="P84" s="1040"/>
      <c r="Q84" s="1040"/>
      <c r="R84" s="1041"/>
    </row>
    <row r="85" spans="1:18" s="1011" customFormat="1" ht="30" customHeight="1">
      <c r="A85" s="1016"/>
      <c r="B85" s="972"/>
      <c r="C85" s="972"/>
      <c r="D85" s="972"/>
      <c r="E85" s="972"/>
      <c r="F85" s="972"/>
      <c r="G85" s="972"/>
      <c r="H85" s="972"/>
      <c r="I85" s="972"/>
      <c r="J85" s="976">
        <v>442.37099999999998</v>
      </c>
      <c r="K85" s="1040"/>
      <c r="L85" s="1040"/>
      <c r="M85" s="1040"/>
      <c r="N85" s="1040"/>
      <c r="O85" s="1040"/>
      <c r="P85" s="1040"/>
      <c r="Q85" s="1040"/>
      <c r="R85" s="1041"/>
    </row>
    <row r="86" spans="1:18" s="1011" customFormat="1" ht="30" customHeight="1">
      <c r="A86" s="1016">
        <v>40</v>
      </c>
      <c r="B86" s="972" t="s">
        <v>2423</v>
      </c>
      <c r="C86" s="972" t="s">
        <v>1269</v>
      </c>
      <c r="D86" s="972" t="s">
        <v>1949</v>
      </c>
      <c r="E86" s="972">
        <v>0</v>
      </c>
      <c r="F86" s="972">
        <v>0</v>
      </c>
      <c r="G86" s="972">
        <v>0</v>
      </c>
      <c r="H86" s="972">
        <v>0</v>
      </c>
      <c r="I86" s="972" t="s">
        <v>1765</v>
      </c>
      <c r="J86" s="1044"/>
      <c r="K86" s="1040">
        <f>J85</f>
        <v>442.37099999999998</v>
      </c>
      <c r="L86" s="972" t="s">
        <v>2919</v>
      </c>
      <c r="M86" s="1040" t="s">
        <v>1009</v>
      </c>
      <c r="N86" s="972" t="s">
        <v>1009</v>
      </c>
      <c r="O86" s="1040" t="s">
        <v>1009</v>
      </c>
      <c r="P86" s="1040"/>
      <c r="Q86" s="1040"/>
      <c r="R86" s="1041"/>
    </row>
    <row r="87" spans="1:18" s="1011" customFormat="1" ht="30" customHeight="1">
      <c r="A87" s="1016"/>
      <c r="B87" s="972"/>
      <c r="C87" s="972"/>
      <c r="D87" s="972"/>
      <c r="E87" s="972"/>
      <c r="F87" s="972"/>
      <c r="G87" s="972"/>
      <c r="H87" s="972"/>
      <c r="I87" s="972"/>
      <c r="J87" s="976">
        <v>360</v>
      </c>
      <c r="K87" s="1040"/>
      <c r="L87" s="1040"/>
      <c r="M87" s="1040"/>
      <c r="N87" s="1040"/>
      <c r="O87" s="1040"/>
      <c r="P87" s="1040"/>
      <c r="Q87" s="1567"/>
      <c r="R87" s="1041"/>
    </row>
    <row r="88" spans="1:18" s="1011" customFormat="1" ht="30" customHeight="1">
      <c r="A88" s="1016">
        <v>41</v>
      </c>
      <c r="B88" s="972" t="s">
        <v>1140</v>
      </c>
      <c r="C88" s="972" t="s">
        <v>62</v>
      </c>
      <c r="D88" s="972"/>
      <c r="E88" s="972">
        <v>1.5</v>
      </c>
      <c r="F88" s="972"/>
      <c r="G88" s="972">
        <v>1.5</v>
      </c>
      <c r="H88" s="972">
        <v>2.5</v>
      </c>
      <c r="I88" s="972" t="s">
        <v>1765</v>
      </c>
      <c r="J88" s="976"/>
      <c r="K88" s="1040"/>
      <c r="L88" s="1040" t="s">
        <v>2919</v>
      </c>
      <c r="M88" s="1040" t="s">
        <v>1009</v>
      </c>
      <c r="N88" s="972" t="s">
        <v>1009</v>
      </c>
      <c r="O88" s="1040"/>
      <c r="P88" s="1040"/>
      <c r="Q88" s="1567"/>
      <c r="R88" s="1041"/>
    </row>
    <row r="89" spans="1:18" s="1011" customFormat="1" ht="30" customHeight="1">
      <c r="A89" s="1016"/>
      <c r="B89" s="972"/>
      <c r="C89" s="972"/>
      <c r="D89" s="972"/>
      <c r="E89" s="972"/>
      <c r="F89" s="972"/>
      <c r="G89" s="972"/>
      <c r="H89" s="972"/>
      <c r="I89" s="972"/>
      <c r="J89" s="976">
        <v>379.73899999999998</v>
      </c>
      <c r="K89" s="1040"/>
      <c r="L89" s="1040"/>
      <c r="M89" s="1040"/>
      <c r="N89" s="1040"/>
      <c r="O89" s="1040"/>
      <c r="P89" s="1040"/>
      <c r="Q89" s="1567"/>
      <c r="R89" s="1041"/>
    </row>
    <row r="90" spans="1:18" s="1011" customFormat="1" ht="30" customHeight="1">
      <c r="A90" s="1016">
        <v>42</v>
      </c>
      <c r="B90" s="972" t="s">
        <v>3048</v>
      </c>
      <c r="C90" s="972" t="s">
        <v>1402</v>
      </c>
      <c r="D90" s="972" t="s">
        <v>1952</v>
      </c>
      <c r="E90" s="972">
        <v>1.5</v>
      </c>
      <c r="F90" s="972">
        <v>2.5</v>
      </c>
      <c r="G90" s="972">
        <v>1.5</v>
      </c>
      <c r="H90" s="972">
        <v>1.5</v>
      </c>
      <c r="I90" s="972" t="s">
        <v>1765</v>
      </c>
      <c r="J90" s="976"/>
      <c r="K90" s="1040">
        <f>J87+J89</f>
        <v>739.73900000000003</v>
      </c>
      <c r="L90" s="1040" t="s">
        <v>2919</v>
      </c>
      <c r="M90" s="1040" t="s">
        <v>1009</v>
      </c>
      <c r="N90" s="972" t="s">
        <v>1009</v>
      </c>
      <c r="O90" s="1040"/>
      <c r="P90" s="1040"/>
      <c r="Q90" s="1040"/>
      <c r="R90" s="1041"/>
    </row>
    <row r="91" spans="1:18" s="1011" customFormat="1" ht="30" customHeight="1">
      <c r="A91" s="1016"/>
      <c r="B91" s="972"/>
      <c r="C91" s="972"/>
      <c r="D91" s="972"/>
      <c r="E91" s="972"/>
      <c r="F91" s="972"/>
      <c r="G91" s="972"/>
      <c r="H91" s="972"/>
      <c r="I91" s="972"/>
      <c r="J91" s="976">
        <v>445.99099999999999</v>
      </c>
      <c r="K91" s="1040"/>
      <c r="L91" s="1040"/>
      <c r="M91" s="1040"/>
      <c r="N91" s="1040"/>
      <c r="O91" s="1040"/>
      <c r="P91" s="1040"/>
      <c r="Q91" s="1040"/>
      <c r="R91" s="1041"/>
    </row>
    <row r="92" spans="1:18" s="1011" customFormat="1" ht="30" customHeight="1">
      <c r="A92" s="1016">
        <v>43</v>
      </c>
      <c r="B92" s="972" t="s">
        <v>3049</v>
      </c>
      <c r="C92" s="972" t="s">
        <v>1953</v>
      </c>
      <c r="D92" s="972" t="s">
        <v>1955</v>
      </c>
      <c r="E92" s="972">
        <v>1.5</v>
      </c>
      <c r="F92" s="972">
        <v>3</v>
      </c>
      <c r="G92" s="972">
        <v>3</v>
      </c>
      <c r="H92" s="972">
        <v>1.5</v>
      </c>
      <c r="I92" s="972" t="s">
        <v>1765</v>
      </c>
      <c r="J92" s="976"/>
      <c r="K92" s="1040">
        <f>J91</f>
        <v>445.99099999999999</v>
      </c>
      <c r="L92" s="1040" t="s">
        <v>2919</v>
      </c>
      <c r="M92" s="1040" t="s">
        <v>1009</v>
      </c>
      <c r="N92" s="972" t="s">
        <v>1009</v>
      </c>
      <c r="O92" s="1040"/>
      <c r="P92" s="1040"/>
      <c r="Q92" s="1040"/>
      <c r="R92" s="1041"/>
    </row>
    <row r="93" spans="1:18" s="1011" customFormat="1" ht="30" customHeight="1">
      <c r="A93" s="1016"/>
      <c r="B93" s="972"/>
      <c r="C93" s="972"/>
      <c r="D93" s="972"/>
      <c r="E93" s="972"/>
      <c r="F93" s="972"/>
      <c r="G93" s="972"/>
      <c r="H93" s="972"/>
      <c r="I93" s="972"/>
      <c r="J93" s="976">
        <v>373</v>
      </c>
      <c r="K93" s="1040"/>
      <c r="L93" s="1040"/>
      <c r="M93" s="1040"/>
      <c r="N93" s="1040"/>
      <c r="O93" s="1040"/>
      <c r="P93" s="1040"/>
      <c r="Q93" s="1567"/>
      <c r="R93" s="1041"/>
    </row>
    <row r="94" spans="1:18" s="1011" customFormat="1" ht="30" customHeight="1">
      <c r="A94" s="1016">
        <v>44</v>
      </c>
      <c r="B94" s="972" t="s">
        <v>1652</v>
      </c>
      <c r="C94" s="972" t="s">
        <v>76</v>
      </c>
      <c r="D94" s="972"/>
      <c r="E94" s="972">
        <v>1.5</v>
      </c>
      <c r="F94" s="972">
        <v>1.5</v>
      </c>
      <c r="G94" s="972">
        <v>0</v>
      </c>
      <c r="H94" s="972">
        <v>0</v>
      </c>
      <c r="I94" s="972" t="s">
        <v>1765</v>
      </c>
      <c r="J94" s="976"/>
      <c r="K94" s="1040"/>
      <c r="L94" s="972" t="s">
        <v>2919</v>
      </c>
      <c r="M94" s="1040" t="s">
        <v>1009</v>
      </c>
      <c r="N94" s="972" t="s">
        <v>1009</v>
      </c>
      <c r="O94" s="1040" t="s">
        <v>1009</v>
      </c>
      <c r="P94" s="1040"/>
      <c r="Q94" s="1567"/>
      <c r="R94" s="1041"/>
    </row>
    <row r="95" spans="1:18" s="1011" customFormat="1" ht="30" customHeight="1">
      <c r="A95" s="1016"/>
      <c r="B95" s="972"/>
      <c r="C95" s="972"/>
      <c r="D95" s="972"/>
      <c r="E95" s="972"/>
      <c r="F95" s="972"/>
      <c r="G95" s="972"/>
      <c r="H95" s="972"/>
      <c r="I95" s="972"/>
      <c r="J95" s="976">
        <v>374</v>
      </c>
      <c r="K95" s="1040"/>
      <c r="L95" s="1040"/>
      <c r="M95" s="1040"/>
      <c r="N95" s="1040"/>
      <c r="O95" s="1040"/>
      <c r="P95" s="1040"/>
      <c r="Q95" s="1567"/>
      <c r="R95" s="1041"/>
    </row>
    <row r="96" spans="1:18" s="1011" customFormat="1" ht="30" customHeight="1">
      <c r="A96" s="1016">
        <v>45</v>
      </c>
      <c r="B96" s="972" t="s">
        <v>1653</v>
      </c>
      <c r="C96" s="972" t="s">
        <v>62</v>
      </c>
      <c r="D96" s="972"/>
      <c r="E96" s="972">
        <v>1</v>
      </c>
      <c r="F96" s="972">
        <v>1</v>
      </c>
      <c r="G96" s="972">
        <v>1</v>
      </c>
      <c r="H96" s="972">
        <v>1</v>
      </c>
      <c r="I96" s="972" t="s">
        <v>3287</v>
      </c>
      <c r="J96" s="976"/>
      <c r="K96" s="1040"/>
      <c r="L96" s="972" t="s">
        <v>2919</v>
      </c>
      <c r="M96" s="1040" t="s">
        <v>1009</v>
      </c>
      <c r="N96" s="972" t="s">
        <v>1009</v>
      </c>
      <c r="O96" s="1040" t="s">
        <v>22</v>
      </c>
      <c r="P96" s="1040"/>
      <c r="Q96" s="1567"/>
      <c r="R96" s="1041"/>
    </row>
    <row r="97" spans="1:18" s="1011" customFormat="1" ht="30" customHeight="1">
      <c r="A97" s="1016"/>
      <c r="B97" s="972"/>
      <c r="C97" s="972"/>
      <c r="D97" s="972"/>
      <c r="E97" s="972"/>
      <c r="F97" s="972"/>
      <c r="G97" s="972"/>
      <c r="H97" s="972"/>
      <c r="I97" s="972"/>
      <c r="J97" s="976">
        <v>352</v>
      </c>
      <c r="K97" s="1040"/>
      <c r="L97" s="1040"/>
      <c r="M97" s="1040"/>
      <c r="N97" s="1040"/>
      <c r="O97" s="1040"/>
      <c r="P97" s="1040"/>
      <c r="Q97" s="1567"/>
      <c r="R97" s="1041"/>
    </row>
    <row r="98" spans="1:18" s="1011" customFormat="1" ht="30" customHeight="1">
      <c r="A98" s="1016">
        <v>46</v>
      </c>
      <c r="B98" s="972" t="s">
        <v>1654</v>
      </c>
      <c r="C98" s="972" t="s">
        <v>76</v>
      </c>
      <c r="D98" s="972"/>
      <c r="E98" s="972">
        <v>1.5</v>
      </c>
      <c r="F98" s="972">
        <v>0</v>
      </c>
      <c r="G98" s="972">
        <v>0</v>
      </c>
      <c r="H98" s="972">
        <v>0</v>
      </c>
      <c r="I98" s="972" t="s">
        <v>54</v>
      </c>
      <c r="J98" s="976"/>
      <c r="K98" s="1040"/>
      <c r="L98" s="972" t="s">
        <v>2919</v>
      </c>
      <c r="M98" s="1040" t="s">
        <v>1009</v>
      </c>
      <c r="N98" s="1040"/>
      <c r="O98" s="1040"/>
      <c r="P98" s="1040"/>
      <c r="Q98" s="1567"/>
      <c r="R98" s="1041"/>
    </row>
    <row r="99" spans="1:18" s="1011" customFormat="1" ht="30" customHeight="1">
      <c r="A99" s="1016"/>
      <c r="B99" s="972"/>
      <c r="C99" s="972"/>
      <c r="D99" s="972"/>
      <c r="E99" s="972"/>
      <c r="F99" s="972"/>
      <c r="G99" s="972"/>
      <c r="H99" s="972"/>
      <c r="I99" s="972"/>
      <c r="J99" s="976">
        <v>406</v>
      </c>
      <c r="K99" s="1040"/>
      <c r="L99" s="1040"/>
      <c r="M99" s="1040"/>
      <c r="N99" s="1040"/>
      <c r="O99" s="1040"/>
      <c r="P99" s="1040"/>
      <c r="Q99" s="1567"/>
      <c r="R99" s="1041"/>
    </row>
    <row r="100" spans="1:18" s="1011" customFormat="1" ht="30" customHeight="1">
      <c r="A100" s="1016">
        <v>47</v>
      </c>
      <c r="B100" s="972" t="s">
        <v>1655</v>
      </c>
      <c r="C100" s="972" t="s">
        <v>76</v>
      </c>
      <c r="D100" s="972"/>
      <c r="E100" s="972">
        <v>0</v>
      </c>
      <c r="F100" s="972">
        <v>0</v>
      </c>
      <c r="G100" s="972">
        <v>0</v>
      </c>
      <c r="H100" s="972">
        <v>0</v>
      </c>
      <c r="I100" s="972" t="s">
        <v>54</v>
      </c>
      <c r="J100" s="976"/>
      <c r="K100" s="1040"/>
      <c r="L100" s="972" t="s">
        <v>2919</v>
      </c>
      <c r="M100" s="1040" t="s">
        <v>1009</v>
      </c>
      <c r="N100" s="972" t="s">
        <v>1009</v>
      </c>
      <c r="O100" s="1040" t="s">
        <v>1009</v>
      </c>
      <c r="P100" s="1040"/>
      <c r="Q100" s="1567"/>
      <c r="R100" s="1041"/>
    </row>
    <row r="101" spans="1:18" s="1011" customFormat="1" ht="30" customHeight="1">
      <c r="A101" s="1016"/>
      <c r="B101" s="972"/>
      <c r="C101" s="972"/>
      <c r="D101" s="972"/>
      <c r="E101" s="972"/>
      <c r="F101" s="972"/>
      <c r="G101" s="972"/>
      <c r="H101" s="972"/>
      <c r="I101" s="972"/>
      <c r="J101" s="976">
        <v>352</v>
      </c>
      <c r="K101" s="1040"/>
      <c r="L101" s="1040"/>
      <c r="M101" s="1040"/>
      <c r="N101" s="1040"/>
      <c r="O101" s="1040"/>
      <c r="P101" s="1040"/>
      <c r="Q101" s="1567"/>
      <c r="R101" s="1041"/>
    </row>
    <row r="102" spans="1:18" s="1011" customFormat="1" ht="30" customHeight="1">
      <c r="A102" s="1016">
        <v>48</v>
      </c>
      <c r="B102" s="972" t="s">
        <v>1656</v>
      </c>
      <c r="C102" s="972" t="s">
        <v>76</v>
      </c>
      <c r="D102" s="972"/>
      <c r="E102" s="972">
        <v>0</v>
      </c>
      <c r="F102" s="972">
        <v>0</v>
      </c>
      <c r="G102" s="972">
        <v>0</v>
      </c>
      <c r="H102" s="972">
        <v>0</v>
      </c>
      <c r="I102" s="972" t="s">
        <v>1765</v>
      </c>
      <c r="J102" s="976"/>
      <c r="K102" s="1040"/>
      <c r="L102" s="972" t="s">
        <v>2919</v>
      </c>
      <c r="M102" s="1040" t="s">
        <v>1009</v>
      </c>
      <c r="N102" s="972" t="s">
        <v>1009</v>
      </c>
      <c r="O102" s="1040" t="s">
        <v>1009</v>
      </c>
      <c r="P102" s="1040"/>
      <c r="Q102" s="1567"/>
      <c r="R102" s="1041"/>
    </row>
    <row r="103" spans="1:18" s="1011" customFormat="1" ht="30" customHeight="1">
      <c r="A103" s="1016"/>
      <c r="B103" s="972"/>
      <c r="C103" s="972"/>
      <c r="D103" s="972"/>
      <c r="E103" s="972"/>
      <c r="F103" s="972"/>
      <c r="G103" s="972"/>
      <c r="H103" s="972"/>
      <c r="I103" s="972"/>
      <c r="J103" s="976">
        <v>340</v>
      </c>
      <c r="K103" s="1040"/>
      <c r="L103" s="1040"/>
      <c r="M103" s="1040"/>
      <c r="N103" s="1040"/>
      <c r="O103" s="1040"/>
      <c r="P103" s="1040"/>
      <c r="Q103" s="1567"/>
      <c r="R103" s="1041"/>
    </row>
    <row r="104" spans="1:18" s="1011" customFormat="1" ht="30" customHeight="1">
      <c r="A104" s="1016">
        <v>49</v>
      </c>
      <c r="B104" s="972" t="s">
        <v>1657</v>
      </c>
      <c r="C104" s="972" t="s">
        <v>62</v>
      </c>
      <c r="D104" s="972"/>
      <c r="E104" s="972">
        <v>0</v>
      </c>
      <c r="F104" s="972">
        <v>0</v>
      </c>
      <c r="G104" s="972">
        <v>0</v>
      </c>
      <c r="H104" s="972">
        <v>0</v>
      </c>
      <c r="I104" s="972" t="s">
        <v>1765</v>
      </c>
      <c r="J104" s="976"/>
      <c r="K104" s="1040"/>
      <c r="L104" s="972" t="s">
        <v>2919</v>
      </c>
      <c r="M104" s="1040" t="s">
        <v>1009</v>
      </c>
      <c r="N104" s="972" t="s">
        <v>1009</v>
      </c>
      <c r="O104" s="1040" t="s">
        <v>1009</v>
      </c>
      <c r="P104" s="1040"/>
      <c r="Q104" s="1567"/>
      <c r="R104" s="1041"/>
    </row>
    <row r="105" spans="1:18" s="1011" customFormat="1" ht="30" customHeight="1">
      <c r="A105" s="1016"/>
      <c r="B105" s="972"/>
      <c r="C105" s="972"/>
      <c r="D105" s="972"/>
      <c r="E105" s="972"/>
      <c r="F105" s="972"/>
      <c r="G105" s="972"/>
      <c r="H105" s="972"/>
      <c r="I105" s="972"/>
      <c r="J105" s="976">
        <v>376.62900000000002</v>
      </c>
      <c r="K105" s="1040"/>
      <c r="L105" s="1040"/>
      <c r="M105" s="1040"/>
      <c r="N105" s="1040"/>
      <c r="O105" s="1040"/>
      <c r="P105" s="1040"/>
      <c r="Q105" s="1567"/>
      <c r="R105" s="1041"/>
    </row>
    <row r="106" spans="1:18" s="1011" customFormat="1" ht="30" customHeight="1">
      <c r="A106" s="1016">
        <v>50</v>
      </c>
      <c r="B106" s="972" t="s">
        <v>3050</v>
      </c>
      <c r="C106" s="972" t="s">
        <v>1269</v>
      </c>
      <c r="D106" s="972" t="s">
        <v>1958</v>
      </c>
      <c r="E106" s="972">
        <v>0</v>
      </c>
      <c r="F106" s="972">
        <v>0</v>
      </c>
      <c r="G106" s="972">
        <v>0</v>
      </c>
      <c r="H106" s="972">
        <v>0</v>
      </c>
      <c r="I106" s="972" t="s">
        <v>897</v>
      </c>
      <c r="J106" s="976"/>
      <c r="K106" s="1040">
        <f>J93+J95+J97+J99+J101+J103+J105</f>
        <v>2573.6289999999999</v>
      </c>
      <c r="L106" s="972" t="s">
        <v>2919</v>
      </c>
      <c r="M106" s="1040" t="s">
        <v>1009</v>
      </c>
      <c r="N106" s="1040" t="s">
        <v>1009</v>
      </c>
      <c r="O106" s="1040" t="s">
        <v>1009</v>
      </c>
      <c r="P106" s="1040"/>
      <c r="Q106" s="1040"/>
      <c r="R106" s="1041"/>
    </row>
    <row r="107" spans="1:18" s="1011" customFormat="1" ht="30" customHeight="1">
      <c r="A107" s="1016"/>
      <c r="B107" s="972"/>
      <c r="C107" s="972"/>
      <c r="D107" s="972"/>
      <c r="E107" s="972"/>
      <c r="F107" s="972"/>
      <c r="G107" s="972"/>
      <c r="H107" s="972"/>
      <c r="I107" s="972"/>
      <c r="J107" s="976">
        <v>423</v>
      </c>
      <c r="K107" s="972"/>
      <c r="L107" s="972"/>
      <c r="M107" s="972"/>
      <c r="N107" s="972"/>
      <c r="O107" s="972"/>
      <c r="P107" s="972"/>
      <c r="Q107" s="1564"/>
      <c r="R107" s="1042"/>
    </row>
    <row r="108" spans="1:18" s="1011" customFormat="1" ht="30" customHeight="1">
      <c r="A108" s="1016">
        <v>51</v>
      </c>
      <c r="B108" s="972" t="s">
        <v>1659</v>
      </c>
      <c r="C108" s="972" t="s">
        <v>53</v>
      </c>
      <c r="D108" s="972"/>
      <c r="E108" s="972">
        <v>0</v>
      </c>
      <c r="F108" s="972">
        <v>0</v>
      </c>
      <c r="G108" s="972">
        <v>0</v>
      </c>
      <c r="H108" s="972">
        <v>0</v>
      </c>
      <c r="I108" s="972" t="s">
        <v>3325</v>
      </c>
      <c r="J108" s="976"/>
      <c r="K108" s="972"/>
      <c r="L108" s="972" t="s">
        <v>2919</v>
      </c>
      <c r="M108" s="972" t="s">
        <v>22</v>
      </c>
      <c r="N108" s="972"/>
      <c r="O108" s="972"/>
      <c r="P108" s="972"/>
      <c r="Q108" s="1564"/>
      <c r="R108" s="1042"/>
    </row>
    <row r="109" spans="1:18" s="1011" customFormat="1" ht="30" customHeight="1">
      <c r="A109" s="1016"/>
      <c r="B109" s="972"/>
      <c r="C109" s="972"/>
      <c r="D109" s="972"/>
      <c r="E109" s="972"/>
      <c r="F109" s="972"/>
      <c r="G109" s="972"/>
      <c r="H109" s="972"/>
      <c r="I109" s="972"/>
      <c r="J109" s="976">
        <v>417</v>
      </c>
      <c r="K109" s="972"/>
      <c r="L109" s="972"/>
      <c r="M109" s="972"/>
      <c r="N109" s="972"/>
      <c r="O109" s="972"/>
      <c r="P109" s="972"/>
      <c r="Q109" s="1564"/>
      <c r="R109" s="1042"/>
    </row>
    <row r="110" spans="1:18" s="1011" customFormat="1" ht="30" customHeight="1">
      <c r="A110" s="1016">
        <v>52</v>
      </c>
      <c r="B110" s="972" t="s">
        <v>658</v>
      </c>
      <c r="C110" s="972" t="s">
        <v>76</v>
      </c>
      <c r="D110" s="972"/>
      <c r="E110" s="972">
        <v>0</v>
      </c>
      <c r="F110" s="972">
        <v>0</v>
      </c>
      <c r="G110" s="972">
        <v>0</v>
      </c>
      <c r="H110" s="972">
        <v>0</v>
      </c>
      <c r="I110" s="972" t="s">
        <v>2736</v>
      </c>
      <c r="J110" s="976"/>
      <c r="K110" s="972"/>
      <c r="L110" s="972" t="s">
        <v>2919</v>
      </c>
      <c r="M110" s="972" t="s">
        <v>1009</v>
      </c>
      <c r="N110" s="972" t="s">
        <v>1009</v>
      </c>
      <c r="O110" s="972"/>
      <c r="P110" s="972"/>
      <c r="Q110" s="1564"/>
      <c r="R110" s="1042"/>
    </row>
    <row r="111" spans="1:18" s="1011" customFormat="1" ht="30" customHeight="1">
      <c r="A111" s="1016"/>
      <c r="B111" s="972"/>
      <c r="C111" s="972"/>
      <c r="D111" s="972"/>
      <c r="E111" s="972"/>
      <c r="F111" s="972"/>
      <c r="G111" s="972"/>
      <c r="H111" s="972"/>
      <c r="I111" s="972"/>
      <c r="J111" s="976">
        <v>415</v>
      </c>
      <c r="K111" s="972"/>
      <c r="L111" s="972"/>
      <c r="M111" s="972"/>
      <c r="N111" s="972"/>
      <c r="O111" s="972"/>
      <c r="P111" s="972"/>
      <c r="Q111" s="1564"/>
      <c r="R111" s="1042"/>
    </row>
    <row r="112" spans="1:18" s="1011" customFormat="1" ht="30" customHeight="1">
      <c r="A112" s="1016">
        <v>53</v>
      </c>
      <c r="B112" s="972" t="s">
        <v>1660</v>
      </c>
      <c r="C112" s="972" t="s">
        <v>53</v>
      </c>
      <c r="D112" s="972"/>
      <c r="E112" s="972">
        <v>0</v>
      </c>
      <c r="F112" s="972">
        <v>0</v>
      </c>
      <c r="G112" s="972">
        <v>0</v>
      </c>
      <c r="H112" s="972">
        <v>0</v>
      </c>
      <c r="I112" s="972" t="s">
        <v>2736</v>
      </c>
      <c r="J112" s="976"/>
      <c r="K112" s="972"/>
      <c r="L112" s="972" t="s">
        <v>2919</v>
      </c>
      <c r="M112" s="972" t="s">
        <v>1009</v>
      </c>
      <c r="N112" s="972" t="s">
        <v>1009</v>
      </c>
      <c r="O112" s="972" t="s">
        <v>1009</v>
      </c>
      <c r="P112" s="972"/>
      <c r="Q112" s="1564"/>
      <c r="R112" s="1042"/>
    </row>
    <row r="113" spans="1:18" s="1011" customFormat="1" ht="30" customHeight="1">
      <c r="A113" s="1016"/>
      <c r="B113" s="972"/>
      <c r="C113" s="972"/>
      <c r="D113" s="972"/>
      <c r="E113" s="972"/>
      <c r="F113" s="972"/>
      <c r="G113" s="972"/>
      <c r="H113" s="972"/>
      <c r="I113" s="972"/>
      <c r="J113" s="976">
        <v>421</v>
      </c>
      <c r="K113" s="972"/>
      <c r="L113" s="972"/>
      <c r="M113" s="972"/>
      <c r="N113" s="972"/>
      <c r="O113" s="972"/>
      <c r="P113" s="972"/>
      <c r="Q113" s="1564"/>
      <c r="R113" s="1042"/>
    </row>
    <row r="114" spans="1:18" s="1011" customFormat="1" ht="30" customHeight="1">
      <c r="A114" s="1016">
        <v>54</v>
      </c>
      <c r="B114" s="972" t="s">
        <v>1959</v>
      </c>
      <c r="C114" s="972" t="s">
        <v>76</v>
      </c>
      <c r="D114" s="972"/>
      <c r="E114" s="972">
        <v>0</v>
      </c>
      <c r="F114" s="972">
        <v>0</v>
      </c>
      <c r="G114" s="972">
        <v>0</v>
      </c>
      <c r="H114" s="972">
        <v>0</v>
      </c>
      <c r="I114" s="972" t="s">
        <v>897</v>
      </c>
      <c r="J114" s="976"/>
      <c r="K114" s="972"/>
      <c r="L114" s="972" t="s">
        <v>2919</v>
      </c>
      <c r="M114" s="972" t="s">
        <v>1009</v>
      </c>
      <c r="N114" s="972" t="s">
        <v>1009</v>
      </c>
      <c r="O114" s="972" t="s">
        <v>1009</v>
      </c>
      <c r="P114" s="972"/>
      <c r="Q114" s="1564"/>
      <c r="R114" s="1042"/>
    </row>
    <row r="115" spans="1:18" s="1011" customFormat="1" ht="30" customHeight="1">
      <c r="A115" s="1016"/>
      <c r="B115" s="972"/>
      <c r="C115" s="972"/>
      <c r="D115" s="972"/>
      <c r="E115" s="972"/>
      <c r="F115" s="972"/>
      <c r="G115" s="972"/>
      <c r="H115" s="972"/>
      <c r="I115" s="972"/>
      <c r="J115" s="976">
        <v>404</v>
      </c>
      <c r="K115" s="972"/>
      <c r="L115" s="972"/>
      <c r="M115" s="972"/>
      <c r="N115" s="972"/>
      <c r="O115" s="972"/>
      <c r="P115" s="972"/>
      <c r="Q115" s="1564"/>
      <c r="R115" s="1042"/>
    </row>
    <row r="116" spans="1:18" s="1011" customFormat="1" ht="30" customHeight="1">
      <c r="A116" s="1016">
        <v>55</v>
      </c>
      <c r="B116" s="972" t="s">
        <v>1960</v>
      </c>
      <c r="C116" s="972" t="s">
        <v>249</v>
      </c>
      <c r="D116" s="972"/>
      <c r="E116" s="972">
        <v>0</v>
      </c>
      <c r="F116" s="972">
        <v>0</v>
      </c>
      <c r="G116" s="972">
        <v>0</v>
      </c>
      <c r="H116" s="972">
        <v>0</v>
      </c>
      <c r="I116" s="972" t="s">
        <v>2736</v>
      </c>
      <c r="J116" s="976"/>
      <c r="K116" s="972"/>
      <c r="L116" s="972" t="s">
        <v>2919</v>
      </c>
      <c r="M116" s="972" t="s">
        <v>1009</v>
      </c>
      <c r="N116" s="972" t="s">
        <v>1009</v>
      </c>
      <c r="O116" s="972" t="s">
        <v>1009</v>
      </c>
      <c r="P116" s="972"/>
      <c r="Q116" s="1564"/>
      <c r="R116" s="1042"/>
    </row>
    <row r="117" spans="1:18" s="1011" customFormat="1" ht="30" customHeight="1">
      <c r="A117" s="1016"/>
      <c r="B117" s="972"/>
      <c r="C117" s="972"/>
      <c r="D117" s="972"/>
      <c r="E117" s="972"/>
      <c r="F117" s="972"/>
      <c r="G117" s="972"/>
      <c r="H117" s="972"/>
      <c r="I117" s="972"/>
      <c r="J117" s="976">
        <v>434.73</v>
      </c>
      <c r="K117" s="972"/>
      <c r="L117" s="972"/>
      <c r="M117" s="972"/>
      <c r="N117" s="972"/>
      <c r="O117" s="972"/>
      <c r="P117" s="972"/>
      <c r="Q117" s="1564"/>
      <c r="R117" s="1042"/>
    </row>
    <row r="118" spans="1:18" s="1011" customFormat="1" ht="30" customHeight="1">
      <c r="A118" s="1016">
        <v>56</v>
      </c>
      <c r="B118" s="972" t="s">
        <v>3051</v>
      </c>
      <c r="C118" s="972" t="s">
        <v>1269</v>
      </c>
      <c r="D118" s="972" t="s">
        <v>1962</v>
      </c>
      <c r="E118" s="972">
        <v>0</v>
      </c>
      <c r="F118" s="972">
        <v>0</v>
      </c>
      <c r="G118" s="972">
        <v>0</v>
      </c>
      <c r="H118" s="972">
        <v>0</v>
      </c>
      <c r="I118" s="972" t="s">
        <v>897</v>
      </c>
      <c r="J118" s="976"/>
      <c r="K118" s="972">
        <f>J107+J109+J111+J113+J115+J117</f>
        <v>2514.73</v>
      </c>
      <c r="L118" s="972" t="s">
        <v>2919</v>
      </c>
      <c r="M118" s="972" t="s">
        <v>1009</v>
      </c>
      <c r="N118" s="972" t="s">
        <v>1009</v>
      </c>
      <c r="O118" s="972" t="s">
        <v>1009</v>
      </c>
      <c r="P118" s="972"/>
      <c r="Q118" s="972"/>
      <c r="R118" s="1042"/>
    </row>
    <row r="119" spans="1:18" s="1011" customFormat="1" ht="30" customHeight="1">
      <c r="A119" s="1016"/>
      <c r="B119" s="972"/>
      <c r="C119" s="972"/>
      <c r="D119" s="972"/>
      <c r="E119" s="972"/>
      <c r="F119" s="972"/>
      <c r="G119" s="972"/>
      <c r="H119" s="972"/>
      <c r="I119" s="972"/>
      <c r="J119" s="976">
        <v>395</v>
      </c>
      <c r="K119" s="972"/>
      <c r="L119" s="972"/>
      <c r="M119" s="972"/>
      <c r="N119" s="972"/>
      <c r="O119" s="972"/>
      <c r="P119" s="972"/>
      <c r="Q119" s="1564"/>
      <c r="R119" s="1042"/>
    </row>
    <row r="120" spans="1:18" s="1011" customFormat="1" ht="30" customHeight="1">
      <c r="A120" s="1016">
        <v>57</v>
      </c>
      <c r="B120" s="972" t="s">
        <v>1661</v>
      </c>
      <c r="C120" s="972" t="s">
        <v>62</v>
      </c>
      <c r="D120" s="972"/>
      <c r="E120" s="972">
        <v>0</v>
      </c>
      <c r="F120" s="972">
        <v>0</v>
      </c>
      <c r="G120" s="972">
        <v>0</v>
      </c>
      <c r="H120" s="972">
        <v>0</v>
      </c>
      <c r="I120" s="972" t="s">
        <v>2736</v>
      </c>
      <c r="J120" s="976"/>
      <c r="K120" s="972"/>
      <c r="L120" s="972" t="s">
        <v>2919</v>
      </c>
      <c r="M120" s="972" t="s">
        <v>1009</v>
      </c>
      <c r="N120" s="972" t="s">
        <v>1009</v>
      </c>
      <c r="O120" s="972" t="s">
        <v>1009</v>
      </c>
      <c r="P120" s="972"/>
      <c r="Q120" s="1564"/>
      <c r="R120" s="1042"/>
    </row>
    <row r="121" spans="1:18" s="1011" customFormat="1" ht="30" customHeight="1">
      <c r="A121" s="1016"/>
      <c r="B121" s="972"/>
      <c r="C121" s="972"/>
      <c r="D121" s="972"/>
      <c r="E121" s="972"/>
      <c r="F121" s="972"/>
      <c r="G121" s="972"/>
      <c r="H121" s="972"/>
      <c r="I121" s="972"/>
      <c r="J121" s="976">
        <v>385</v>
      </c>
      <c r="K121" s="972"/>
      <c r="L121" s="972"/>
      <c r="M121" s="972"/>
      <c r="N121" s="972"/>
      <c r="O121" s="972"/>
      <c r="P121" s="972"/>
      <c r="Q121" s="1564"/>
      <c r="R121" s="1042"/>
    </row>
    <row r="122" spans="1:18" s="1011" customFormat="1" ht="30" customHeight="1">
      <c r="A122" s="1016">
        <v>58</v>
      </c>
      <c r="B122" s="972" t="s">
        <v>1662</v>
      </c>
      <c r="C122" s="972" t="s">
        <v>76</v>
      </c>
      <c r="D122" s="972"/>
      <c r="E122" s="972">
        <v>0</v>
      </c>
      <c r="F122" s="972">
        <v>0</v>
      </c>
      <c r="G122" s="972">
        <v>0</v>
      </c>
      <c r="H122" s="972">
        <v>0</v>
      </c>
      <c r="I122" s="972" t="s">
        <v>897</v>
      </c>
      <c r="J122" s="976"/>
      <c r="K122" s="972"/>
      <c r="L122" s="972" t="s">
        <v>2919</v>
      </c>
      <c r="M122" s="972" t="s">
        <v>1009</v>
      </c>
      <c r="N122" s="972" t="s">
        <v>1009</v>
      </c>
      <c r="O122" s="972" t="s">
        <v>1009</v>
      </c>
      <c r="P122" s="972"/>
      <c r="Q122" s="1564"/>
      <c r="R122" s="1042"/>
    </row>
    <row r="123" spans="1:18" s="1011" customFormat="1" ht="30" customHeight="1">
      <c r="A123" s="1016"/>
      <c r="B123" s="972"/>
      <c r="C123" s="972"/>
      <c r="D123" s="972"/>
      <c r="E123" s="972"/>
      <c r="F123" s="972"/>
      <c r="G123" s="972"/>
      <c r="H123" s="972"/>
      <c r="I123" s="972"/>
      <c r="J123" s="976">
        <v>395</v>
      </c>
      <c r="K123" s="972"/>
      <c r="L123" s="972"/>
      <c r="M123" s="972"/>
      <c r="N123" s="972"/>
      <c r="O123" s="972"/>
      <c r="P123" s="972"/>
      <c r="Q123" s="1564"/>
      <c r="R123" s="1042"/>
    </row>
    <row r="124" spans="1:18" s="1011" customFormat="1" ht="30" customHeight="1">
      <c r="A124" s="1016">
        <v>59</v>
      </c>
      <c r="B124" s="972" t="s">
        <v>668</v>
      </c>
      <c r="C124" s="972" t="s">
        <v>76</v>
      </c>
      <c r="D124" s="972"/>
      <c r="E124" s="972">
        <v>0</v>
      </c>
      <c r="F124" s="972">
        <v>0</v>
      </c>
      <c r="G124" s="972">
        <v>0</v>
      </c>
      <c r="H124" s="972">
        <v>0</v>
      </c>
      <c r="I124" s="972" t="s">
        <v>2736</v>
      </c>
      <c r="J124" s="976"/>
      <c r="K124" s="972"/>
      <c r="L124" s="972" t="s">
        <v>2919</v>
      </c>
      <c r="M124" s="972" t="s">
        <v>1009</v>
      </c>
      <c r="N124" s="972" t="s">
        <v>1009</v>
      </c>
      <c r="O124" s="972" t="s">
        <v>1009</v>
      </c>
      <c r="P124" s="972"/>
      <c r="Q124" s="1564"/>
      <c r="R124" s="1042"/>
    </row>
    <row r="125" spans="1:18" s="1011" customFormat="1" ht="30" customHeight="1">
      <c r="A125" s="1016"/>
      <c r="B125" s="972"/>
      <c r="C125" s="972"/>
      <c r="D125" s="972"/>
      <c r="E125" s="972"/>
      <c r="F125" s="972"/>
      <c r="G125" s="972"/>
      <c r="H125" s="972"/>
      <c r="I125" s="972"/>
      <c r="J125" s="976">
        <v>390</v>
      </c>
      <c r="K125" s="972"/>
      <c r="L125" s="972"/>
      <c r="M125" s="972"/>
      <c r="N125" s="972"/>
      <c r="O125" s="972"/>
      <c r="P125" s="972"/>
      <c r="Q125" s="1564"/>
      <c r="R125" s="1042"/>
    </row>
    <row r="126" spans="1:18" s="1011" customFormat="1" ht="30" customHeight="1">
      <c r="A126" s="1016">
        <v>60</v>
      </c>
      <c r="B126" s="972" t="s">
        <v>1663</v>
      </c>
      <c r="C126" s="972" t="s">
        <v>62</v>
      </c>
      <c r="D126" s="972"/>
      <c r="E126" s="972">
        <v>0</v>
      </c>
      <c r="F126" s="972">
        <v>0</v>
      </c>
      <c r="G126" s="972">
        <v>0</v>
      </c>
      <c r="H126" s="972">
        <v>0</v>
      </c>
      <c r="I126" s="972" t="s">
        <v>897</v>
      </c>
      <c r="J126" s="976"/>
      <c r="K126" s="972"/>
      <c r="L126" s="972" t="s">
        <v>2919</v>
      </c>
      <c r="M126" s="972" t="s">
        <v>1009</v>
      </c>
      <c r="N126" s="972" t="s">
        <v>1009</v>
      </c>
      <c r="O126" s="972" t="s">
        <v>1009</v>
      </c>
      <c r="P126" s="972"/>
      <c r="Q126" s="1564"/>
      <c r="R126" s="1042"/>
    </row>
    <row r="127" spans="1:18" s="1011" customFormat="1" ht="30" customHeight="1">
      <c r="A127" s="1016"/>
      <c r="B127" s="972"/>
      <c r="C127" s="972"/>
      <c r="D127" s="972"/>
      <c r="E127" s="972"/>
      <c r="F127" s="972"/>
      <c r="G127" s="972"/>
      <c r="H127" s="972"/>
      <c r="I127" s="972"/>
      <c r="J127" s="976">
        <v>420</v>
      </c>
      <c r="K127" s="972"/>
      <c r="L127" s="972"/>
      <c r="M127" s="972"/>
      <c r="N127" s="972"/>
      <c r="O127" s="972"/>
      <c r="P127" s="972"/>
      <c r="Q127" s="1564"/>
      <c r="R127" s="1042"/>
    </row>
    <row r="128" spans="1:18" s="1011" customFormat="1" ht="30" customHeight="1">
      <c r="A128" s="1016">
        <v>61</v>
      </c>
      <c r="B128" s="972" t="s">
        <v>1963</v>
      </c>
      <c r="C128" s="972" t="s">
        <v>62</v>
      </c>
      <c r="D128" s="972"/>
      <c r="E128" s="972">
        <v>0</v>
      </c>
      <c r="F128" s="972">
        <v>0</v>
      </c>
      <c r="G128" s="972">
        <v>0</v>
      </c>
      <c r="H128" s="972">
        <v>0</v>
      </c>
      <c r="I128" s="972" t="s">
        <v>897</v>
      </c>
      <c r="J128" s="976"/>
      <c r="K128" s="972"/>
      <c r="L128" s="972" t="s">
        <v>2919</v>
      </c>
      <c r="M128" s="972" t="s">
        <v>1009</v>
      </c>
      <c r="N128" s="972" t="s">
        <v>1009</v>
      </c>
      <c r="O128" s="972" t="s">
        <v>1009</v>
      </c>
      <c r="P128" s="972"/>
      <c r="Q128" s="1564"/>
      <c r="R128" s="1042"/>
    </row>
    <row r="129" spans="1:18" s="1011" customFormat="1" ht="30" customHeight="1">
      <c r="A129" s="1016"/>
      <c r="B129" s="972"/>
      <c r="C129" s="972"/>
      <c r="D129" s="972"/>
      <c r="E129" s="972"/>
      <c r="F129" s="972"/>
      <c r="G129" s="972"/>
      <c r="H129" s="972"/>
      <c r="I129" s="972"/>
      <c r="J129" s="976">
        <v>389.48</v>
      </c>
      <c r="K129" s="972"/>
      <c r="L129" s="972"/>
      <c r="M129" s="972"/>
      <c r="N129" s="972"/>
      <c r="O129" s="972"/>
      <c r="P129" s="972"/>
      <c r="Q129" s="1564"/>
      <c r="R129" s="1042"/>
    </row>
    <row r="130" spans="1:18" s="1011" customFormat="1" ht="30" customHeight="1">
      <c r="A130" s="1016">
        <v>62</v>
      </c>
      <c r="B130" s="972" t="s">
        <v>3052</v>
      </c>
      <c r="C130" s="972" t="s">
        <v>1269</v>
      </c>
      <c r="D130" s="972" t="s">
        <v>1965</v>
      </c>
      <c r="E130" s="972">
        <v>0</v>
      </c>
      <c r="F130" s="972">
        <v>0</v>
      </c>
      <c r="G130" s="972">
        <v>0</v>
      </c>
      <c r="H130" s="972">
        <v>0</v>
      </c>
      <c r="I130" s="972" t="s">
        <v>897</v>
      </c>
      <c r="J130" s="976"/>
      <c r="K130" s="972">
        <f>J119+J121+J123+J125+J127+J129</f>
        <v>2374.48</v>
      </c>
      <c r="L130" s="972" t="s">
        <v>2919</v>
      </c>
      <c r="M130" s="972" t="s">
        <v>1009</v>
      </c>
      <c r="N130" s="972" t="s">
        <v>1009</v>
      </c>
      <c r="O130" s="972" t="s">
        <v>1009</v>
      </c>
      <c r="P130" s="972"/>
      <c r="Q130" s="972"/>
      <c r="R130" s="1042"/>
    </row>
    <row r="131" spans="1:18" s="1011" customFormat="1" ht="30" customHeight="1">
      <c r="A131" s="1016"/>
      <c r="B131" s="972"/>
      <c r="C131" s="972"/>
      <c r="D131" s="972"/>
      <c r="E131" s="972"/>
      <c r="F131" s="972"/>
      <c r="G131" s="972"/>
      <c r="H131" s="972"/>
      <c r="I131" s="972"/>
      <c r="J131" s="976">
        <v>410</v>
      </c>
      <c r="K131" s="972"/>
      <c r="L131" s="972"/>
      <c r="M131" s="972"/>
      <c r="N131" s="972"/>
      <c r="O131" s="972"/>
      <c r="P131" s="972"/>
      <c r="Q131" s="1564"/>
      <c r="R131" s="1042"/>
    </row>
    <row r="132" spans="1:18" s="1011" customFormat="1" ht="30" customHeight="1">
      <c r="A132" s="1016">
        <v>63</v>
      </c>
      <c r="B132" s="972" t="s">
        <v>654</v>
      </c>
      <c r="C132" s="972" t="s">
        <v>53</v>
      </c>
      <c r="D132" s="972"/>
      <c r="E132" s="972">
        <v>0</v>
      </c>
      <c r="F132" s="972">
        <v>0</v>
      </c>
      <c r="G132" s="972">
        <v>0</v>
      </c>
      <c r="H132" s="972">
        <v>0</v>
      </c>
      <c r="I132" s="972" t="s">
        <v>897</v>
      </c>
      <c r="J132" s="976"/>
      <c r="K132" s="972"/>
      <c r="L132" s="972" t="s">
        <v>2919</v>
      </c>
      <c r="M132" s="972" t="s">
        <v>1009</v>
      </c>
      <c r="N132" s="972" t="s">
        <v>1009</v>
      </c>
      <c r="O132" s="972" t="s">
        <v>1009</v>
      </c>
      <c r="P132" s="972"/>
      <c r="Q132" s="1564"/>
      <c r="R132" s="1042"/>
    </row>
    <row r="133" spans="1:18" s="1011" customFormat="1" ht="30" customHeight="1">
      <c r="A133" s="1016"/>
      <c r="B133" s="972"/>
      <c r="C133" s="972"/>
      <c r="D133" s="972"/>
      <c r="E133" s="972"/>
      <c r="F133" s="972"/>
      <c r="G133" s="972"/>
      <c r="H133" s="972"/>
      <c r="I133" s="972"/>
      <c r="J133" s="976">
        <v>426.98399999999998</v>
      </c>
      <c r="K133" s="972"/>
      <c r="L133" s="972"/>
      <c r="M133" s="972"/>
      <c r="N133" s="972"/>
      <c r="O133" s="972"/>
      <c r="P133" s="972"/>
      <c r="Q133" s="1564"/>
      <c r="R133" s="1042"/>
    </row>
    <row r="134" spans="1:18" s="1011" customFormat="1" ht="30" customHeight="1">
      <c r="A134" s="1016">
        <v>64</v>
      </c>
      <c r="B134" s="972" t="s">
        <v>3053</v>
      </c>
      <c r="C134" s="972" t="s">
        <v>1277</v>
      </c>
      <c r="D134" s="972" t="s">
        <v>1967</v>
      </c>
      <c r="E134" s="972">
        <v>0</v>
      </c>
      <c r="F134" s="972">
        <v>0</v>
      </c>
      <c r="G134" s="972">
        <v>0</v>
      </c>
      <c r="H134" s="972">
        <v>0</v>
      </c>
      <c r="I134" s="972" t="s">
        <v>897</v>
      </c>
      <c r="J134" s="976"/>
      <c r="K134" s="972">
        <f>J131+J133</f>
        <v>836.98399999999992</v>
      </c>
      <c r="L134" s="972" t="s">
        <v>2919</v>
      </c>
      <c r="M134" s="972" t="s">
        <v>1009</v>
      </c>
      <c r="N134" s="972" t="s">
        <v>1009</v>
      </c>
      <c r="O134" s="972" t="s">
        <v>1009</v>
      </c>
      <c r="P134" s="972"/>
      <c r="Q134" s="972"/>
      <c r="R134" s="1042"/>
    </row>
    <row r="135" spans="1:18" s="1011" customFormat="1" ht="30" customHeight="1">
      <c r="A135" s="1016"/>
      <c r="B135" s="972"/>
      <c r="C135" s="972"/>
      <c r="D135" s="972"/>
      <c r="E135" s="972"/>
      <c r="F135" s="972"/>
      <c r="G135" s="972"/>
      <c r="H135" s="972"/>
      <c r="I135" s="972"/>
      <c r="J135" s="976">
        <v>290</v>
      </c>
      <c r="K135" s="972"/>
      <c r="L135" s="972"/>
      <c r="M135" s="972"/>
      <c r="N135" s="972"/>
      <c r="O135" s="972"/>
      <c r="P135" s="972"/>
      <c r="Q135" s="1564"/>
      <c r="R135" s="1042"/>
    </row>
    <row r="136" spans="1:18" s="1011" customFormat="1" ht="30" customHeight="1">
      <c r="A136" s="1016">
        <v>65</v>
      </c>
      <c r="B136" s="972" t="s">
        <v>770</v>
      </c>
      <c r="C136" s="972" t="s">
        <v>76</v>
      </c>
      <c r="D136" s="972"/>
      <c r="E136" s="972">
        <v>0</v>
      </c>
      <c r="F136" s="972">
        <v>0</v>
      </c>
      <c r="G136" s="972">
        <v>0</v>
      </c>
      <c r="H136" s="972">
        <v>0</v>
      </c>
      <c r="I136" s="972" t="s">
        <v>897</v>
      </c>
      <c r="J136" s="976"/>
      <c r="K136" s="972"/>
      <c r="L136" s="972" t="s">
        <v>2919</v>
      </c>
      <c r="M136" s="972"/>
      <c r="N136" s="972"/>
      <c r="O136" s="972"/>
      <c r="P136" s="972"/>
      <c r="Q136" s="1564"/>
      <c r="R136" s="1042" t="s">
        <v>3350</v>
      </c>
    </row>
    <row r="137" spans="1:18" s="1011" customFormat="1" ht="30" customHeight="1">
      <c r="A137" s="1016"/>
      <c r="B137" s="972"/>
      <c r="C137" s="972"/>
      <c r="D137" s="972"/>
      <c r="E137" s="972"/>
      <c r="F137" s="972"/>
      <c r="G137" s="972"/>
      <c r="H137" s="972"/>
      <c r="I137" s="972"/>
      <c r="J137" s="976">
        <v>360</v>
      </c>
      <c r="K137" s="972"/>
      <c r="L137" s="972"/>
      <c r="M137" s="972"/>
      <c r="N137" s="972"/>
      <c r="O137" s="972"/>
      <c r="P137" s="972"/>
      <c r="Q137" s="1564"/>
      <c r="R137" s="1042"/>
    </row>
    <row r="138" spans="1:18" s="1011" customFormat="1" ht="30" customHeight="1">
      <c r="A138" s="1016">
        <v>66</v>
      </c>
      <c r="B138" s="972" t="s">
        <v>984</v>
      </c>
      <c r="C138" s="972" t="s">
        <v>76</v>
      </c>
      <c r="D138" s="972"/>
      <c r="E138" s="972">
        <v>0</v>
      </c>
      <c r="F138" s="972">
        <v>0</v>
      </c>
      <c r="G138" s="972">
        <v>0</v>
      </c>
      <c r="H138" s="972">
        <v>0</v>
      </c>
      <c r="I138" s="972" t="s">
        <v>897</v>
      </c>
      <c r="J138" s="976"/>
      <c r="K138" s="972"/>
      <c r="L138" s="972" t="s">
        <v>2919</v>
      </c>
      <c r="M138" s="972" t="s">
        <v>1009</v>
      </c>
      <c r="N138" s="972"/>
      <c r="O138" s="972" t="s">
        <v>1009</v>
      </c>
      <c r="P138" s="972"/>
      <c r="Q138" s="1564"/>
      <c r="R138" s="1042"/>
    </row>
    <row r="139" spans="1:18" s="1011" customFormat="1" ht="30" customHeight="1">
      <c r="A139" s="1016"/>
      <c r="B139" s="972"/>
      <c r="C139" s="972"/>
      <c r="D139" s="972"/>
      <c r="E139" s="972"/>
      <c r="F139" s="972"/>
      <c r="G139" s="972"/>
      <c r="H139" s="972"/>
      <c r="I139" s="972"/>
      <c r="J139" s="976">
        <v>317.8</v>
      </c>
      <c r="K139" s="972"/>
      <c r="L139" s="972"/>
      <c r="M139" s="972"/>
      <c r="N139" s="972"/>
      <c r="O139" s="972"/>
      <c r="P139" s="972"/>
      <c r="Q139" s="1564"/>
      <c r="R139" s="1042"/>
    </row>
    <row r="140" spans="1:18" s="1011" customFormat="1" ht="30" customHeight="1">
      <c r="A140" s="1016">
        <v>67</v>
      </c>
      <c r="B140" s="972" t="s">
        <v>3054</v>
      </c>
      <c r="C140" s="972" t="s">
        <v>1269</v>
      </c>
      <c r="D140" s="972" t="s">
        <v>1969</v>
      </c>
      <c r="E140" s="972">
        <v>0</v>
      </c>
      <c r="F140" s="972">
        <v>0</v>
      </c>
      <c r="G140" s="972">
        <v>0</v>
      </c>
      <c r="H140" s="972">
        <v>0</v>
      </c>
      <c r="I140" s="972" t="s">
        <v>897</v>
      </c>
      <c r="J140" s="976"/>
      <c r="K140" s="972">
        <f>J135+J137+J139</f>
        <v>967.8</v>
      </c>
      <c r="L140" s="972" t="s">
        <v>2919</v>
      </c>
      <c r="M140" s="972" t="s">
        <v>22</v>
      </c>
      <c r="N140" s="972"/>
      <c r="O140" s="972"/>
      <c r="P140" s="972"/>
      <c r="Q140" s="972"/>
      <c r="R140" s="1042"/>
    </row>
    <row r="141" spans="1:18" s="1011" customFormat="1" ht="30" customHeight="1">
      <c r="A141" s="1016"/>
      <c r="B141" s="972"/>
      <c r="C141" s="972"/>
      <c r="D141" s="972"/>
      <c r="E141" s="972"/>
      <c r="F141" s="972"/>
      <c r="G141" s="972"/>
      <c r="H141" s="972"/>
      <c r="I141" s="972"/>
      <c r="J141" s="976">
        <v>427.154</v>
      </c>
      <c r="K141" s="972"/>
      <c r="L141" s="972"/>
      <c r="M141" s="972"/>
      <c r="N141" s="972"/>
      <c r="O141" s="972"/>
      <c r="P141" s="972"/>
      <c r="Q141" s="1564"/>
      <c r="R141" s="1042"/>
    </row>
    <row r="142" spans="1:18" s="1011" customFormat="1" ht="30" customHeight="1">
      <c r="A142" s="1016">
        <v>68</v>
      </c>
      <c r="B142" s="972" t="s">
        <v>962</v>
      </c>
      <c r="C142" s="972" t="s">
        <v>53</v>
      </c>
      <c r="D142" s="972"/>
      <c r="E142" s="972">
        <v>0</v>
      </c>
      <c r="F142" s="972">
        <v>0</v>
      </c>
      <c r="G142" s="972">
        <v>0</v>
      </c>
      <c r="H142" s="972">
        <v>0</v>
      </c>
      <c r="I142" s="972"/>
      <c r="J142" s="976"/>
      <c r="K142" s="972"/>
      <c r="L142" s="972"/>
      <c r="M142" s="972"/>
      <c r="N142" s="972"/>
      <c r="O142" s="972"/>
      <c r="P142" s="972"/>
      <c r="Q142" s="1564"/>
      <c r="R142" s="1042"/>
    </row>
    <row r="143" spans="1:18" s="1011" customFormat="1" ht="30" customHeight="1">
      <c r="A143" s="1016"/>
      <c r="B143" s="972"/>
      <c r="C143" s="972"/>
      <c r="D143" s="972"/>
      <c r="E143" s="972"/>
      <c r="F143" s="972"/>
      <c r="G143" s="972"/>
      <c r="H143" s="972"/>
      <c r="I143" s="972"/>
      <c r="J143" s="976">
        <v>392.75299999999999</v>
      </c>
      <c r="K143" s="972"/>
      <c r="L143" s="972"/>
      <c r="M143" s="972"/>
      <c r="N143" s="972"/>
      <c r="O143" s="972"/>
      <c r="P143" s="972"/>
      <c r="Q143" s="1564"/>
      <c r="R143" s="1042"/>
    </row>
    <row r="144" spans="1:18" s="1011" customFormat="1" ht="30" customHeight="1">
      <c r="A144" s="1016">
        <v>69</v>
      </c>
      <c r="B144" s="972" t="s">
        <v>3055</v>
      </c>
      <c r="C144" s="972" t="s">
        <v>1319</v>
      </c>
      <c r="D144" s="972" t="s">
        <v>1971</v>
      </c>
      <c r="E144" s="972">
        <v>2</v>
      </c>
      <c r="F144" s="972">
        <v>2</v>
      </c>
      <c r="G144" s="972">
        <v>2</v>
      </c>
      <c r="H144" s="972">
        <v>2</v>
      </c>
      <c r="I144" s="972" t="s">
        <v>897</v>
      </c>
      <c r="J144" s="976"/>
      <c r="K144" s="972">
        <f>J141+J143</f>
        <v>819.90699999999993</v>
      </c>
      <c r="L144" s="972" t="s">
        <v>2919</v>
      </c>
      <c r="M144" s="972" t="s">
        <v>22</v>
      </c>
      <c r="N144" s="972"/>
      <c r="O144" s="972"/>
      <c r="P144" s="972"/>
      <c r="Q144" s="972"/>
      <c r="R144" s="1042"/>
    </row>
    <row r="145" spans="1:18" s="1011" customFormat="1" ht="30" customHeight="1">
      <c r="A145" s="1016"/>
      <c r="B145" s="972"/>
      <c r="C145" s="972"/>
      <c r="D145" s="972"/>
      <c r="E145" s="972"/>
      <c r="F145" s="972"/>
      <c r="G145" s="972"/>
      <c r="H145" s="972"/>
      <c r="I145" s="972"/>
      <c r="J145" s="976">
        <v>415</v>
      </c>
      <c r="K145" s="972"/>
      <c r="L145" s="972"/>
      <c r="M145" s="972"/>
      <c r="N145" s="972"/>
      <c r="O145" s="972"/>
      <c r="P145" s="972"/>
      <c r="Q145" s="1564"/>
      <c r="R145" s="1042"/>
    </row>
    <row r="146" spans="1:18" s="1011" customFormat="1" ht="30" customHeight="1">
      <c r="A146" s="1016">
        <v>70</v>
      </c>
      <c r="B146" s="972" t="s">
        <v>894</v>
      </c>
      <c r="C146" s="972" t="s">
        <v>53</v>
      </c>
      <c r="D146" s="972"/>
      <c r="E146" s="972">
        <v>0</v>
      </c>
      <c r="F146" s="972">
        <v>0</v>
      </c>
      <c r="G146" s="972">
        <v>0</v>
      </c>
      <c r="H146" s="972">
        <v>0</v>
      </c>
      <c r="I146" s="972"/>
      <c r="J146" s="976"/>
      <c r="K146" s="972"/>
      <c r="L146" s="972"/>
      <c r="M146" s="972"/>
      <c r="N146" s="972"/>
      <c r="O146" s="972"/>
      <c r="P146" s="972"/>
      <c r="Q146" s="1564"/>
      <c r="R146" s="1042"/>
    </row>
    <row r="147" spans="1:18" s="1011" customFormat="1" ht="30" customHeight="1">
      <c r="A147" s="1016"/>
      <c r="B147" s="972"/>
      <c r="C147" s="972"/>
      <c r="D147" s="972"/>
      <c r="E147" s="972"/>
      <c r="F147" s="972"/>
      <c r="G147" s="972"/>
      <c r="H147" s="972"/>
      <c r="I147" s="972"/>
      <c r="J147" s="976">
        <v>405.23399999999998</v>
      </c>
      <c r="K147" s="972"/>
      <c r="L147" s="972"/>
      <c r="M147" s="972"/>
      <c r="N147" s="972"/>
      <c r="O147" s="972"/>
      <c r="P147" s="972"/>
      <c r="Q147" s="1564"/>
      <c r="R147" s="1042"/>
    </row>
    <row r="148" spans="1:18" s="1011" customFormat="1" ht="30" customHeight="1">
      <c r="A148" s="1016">
        <v>71</v>
      </c>
      <c r="B148" s="972" t="s">
        <v>3056</v>
      </c>
      <c r="C148" s="972" t="s">
        <v>1277</v>
      </c>
      <c r="D148" s="972" t="s">
        <v>1974</v>
      </c>
      <c r="E148" s="972">
        <v>0</v>
      </c>
      <c r="F148" s="972">
        <v>0</v>
      </c>
      <c r="G148" s="972">
        <v>0</v>
      </c>
      <c r="H148" s="972">
        <v>0</v>
      </c>
      <c r="I148" s="972"/>
      <c r="J148" s="976"/>
      <c r="K148" s="972">
        <f>J145+J147</f>
        <v>820.23399999999992</v>
      </c>
      <c r="L148" s="972"/>
      <c r="M148" s="972"/>
      <c r="N148" s="972"/>
      <c r="O148" s="972"/>
      <c r="P148" s="972"/>
      <c r="Q148" s="972"/>
      <c r="R148" s="1042"/>
    </row>
    <row r="149" spans="1:18" s="1011" customFormat="1" ht="30" customHeight="1">
      <c r="A149" s="1016"/>
      <c r="B149" s="972"/>
      <c r="C149" s="972"/>
      <c r="D149" s="972"/>
      <c r="E149" s="972"/>
      <c r="F149" s="972"/>
      <c r="G149" s="972"/>
      <c r="H149" s="972"/>
      <c r="I149" s="972"/>
      <c r="J149" s="976">
        <v>439.8</v>
      </c>
      <c r="K149" s="972"/>
      <c r="L149" s="972"/>
      <c r="M149" s="972"/>
      <c r="N149" s="972"/>
      <c r="O149" s="972"/>
      <c r="P149" s="972"/>
      <c r="Q149" s="972"/>
      <c r="R149" s="1042"/>
    </row>
    <row r="150" spans="1:18" s="1011" customFormat="1" ht="30" customHeight="1">
      <c r="A150" s="1016">
        <v>72</v>
      </c>
      <c r="B150" s="972" t="s">
        <v>3057</v>
      </c>
      <c r="C150" s="972" t="s">
        <v>1977</v>
      </c>
      <c r="D150" s="972" t="s">
        <v>1978</v>
      </c>
      <c r="E150" s="972">
        <v>0</v>
      </c>
      <c r="F150" s="972">
        <v>0</v>
      </c>
      <c r="G150" s="972">
        <v>0</v>
      </c>
      <c r="H150" s="972">
        <v>0</v>
      </c>
      <c r="I150" s="972"/>
      <c r="J150" s="976"/>
      <c r="K150" s="972">
        <f>J149</f>
        <v>439.8</v>
      </c>
      <c r="L150" s="972"/>
      <c r="M150" s="972"/>
      <c r="N150" s="972"/>
      <c r="O150" s="972"/>
      <c r="P150" s="972"/>
      <c r="Q150" s="972"/>
      <c r="R150" s="1042"/>
    </row>
    <row r="151" spans="1:18" s="1011" customFormat="1" ht="30" customHeight="1">
      <c r="A151" s="1016"/>
      <c r="B151" s="972"/>
      <c r="C151" s="972"/>
      <c r="D151" s="972"/>
      <c r="E151" s="972"/>
      <c r="F151" s="972"/>
      <c r="G151" s="972"/>
      <c r="H151" s="972"/>
      <c r="I151" s="972"/>
      <c r="J151" s="976">
        <v>376</v>
      </c>
      <c r="K151" s="972"/>
      <c r="L151" s="972"/>
      <c r="M151" s="972"/>
      <c r="N151" s="972"/>
      <c r="O151" s="972"/>
      <c r="P151" s="972"/>
      <c r="Q151" s="1564"/>
      <c r="R151" s="1042"/>
    </row>
    <row r="152" spans="1:18" s="1011" customFormat="1" ht="30" customHeight="1">
      <c r="A152" s="1016">
        <v>73</v>
      </c>
      <c r="B152" s="972" t="s">
        <v>974</v>
      </c>
      <c r="C152" s="972" t="s">
        <v>62</v>
      </c>
      <c r="D152" s="972"/>
      <c r="E152" s="972">
        <v>0</v>
      </c>
      <c r="F152" s="972">
        <v>0</v>
      </c>
      <c r="G152" s="972">
        <v>0</v>
      </c>
      <c r="H152" s="972">
        <v>0</v>
      </c>
      <c r="I152" s="972"/>
      <c r="J152" s="976"/>
      <c r="K152" s="972"/>
      <c r="L152" s="972"/>
      <c r="M152" s="972"/>
      <c r="N152" s="972"/>
      <c r="O152" s="972"/>
      <c r="P152" s="972"/>
      <c r="Q152" s="1564"/>
      <c r="R152" s="1042"/>
    </row>
    <row r="153" spans="1:18" s="1011" customFormat="1" ht="30" customHeight="1">
      <c r="A153" s="1016"/>
      <c r="B153" s="972"/>
      <c r="C153" s="972"/>
      <c r="D153" s="972"/>
      <c r="E153" s="972"/>
      <c r="F153" s="972"/>
      <c r="G153" s="972"/>
      <c r="H153" s="972"/>
      <c r="I153" s="972"/>
      <c r="J153" s="976">
        <v>416</v>
      </c>
      <c r="K153" s="972"/>
      <c r="L153" s="972"/>
      <c r="M153" s="972"/>
      <c r="N153" s="972"/>
      <c r="O153" s="972"/>
      <c r="P153" s="972"/>
      <c r="Q153" s="1564"/>
      <c r="R153" s="1042"/>
    </row>
    <row r="154" spans="1:18" s="1011" customFormat="1" ht="30" customHeight="1">
      <c r="A154" s="1016">
        <v>74</v>
      </c>
      <c r="B154" s="972" t="s">
        <v>814</v>
      </c>
      <c r="C154" s="972" t="s">
        <v>62</v>
      </c>
      <c r="D154" s="972"/>
      <c r="E154" s="972">
        <v>0</v>
      </c>
      <c r="F154" s="972">
        <v>0</v>
      </c>
      <c r="G154" s="972">
        <v>0</v>
      </c>
      <c r="H154" s="972">
        <v>0</v>
      </c>
      <c r="I154" s="972"/>
      <c r="J154" s="976"/>
      <c r="K154" s="972"/>
      <c r="L154" s="972"/>
      <c r="M154" s="972"/>
      <c r="N154" s="972"/>
      <c r="O154" s="972"/>
      <c r="P154" s="972"/>
      <c r="Q154" s="1564"/>
      <c r="R154" s="1042"/>
    </row>
    <row r="155" spans="1:18" s="1011" customFormat="1" ht="30" customHeight="1">
      <c r="A155" s="1016"/>
      <c r="B155" s="972"/>
      <c r="C155" s="972"/>
      <c r="D155" s="972"/>
      <c r="E155" s="972"/>
      <c r="F155" s="972"/>
      <c r="G155" s="972"/>
      <c r="H155" s="972"/>
      <c r="I155" s="972"/>
      <c r="J155" s="976">
        <v>411.4</v>
      </c>
      <c r="K155" s="972"/>
      <c r="L155" s="972"/>
      <c r="M155" s="972"/>
      <c r="N155" s="972"/>
      <c r="O155" s="972"/>
      <c r="P155" s="972"/>
      <c r="Q155" s="1564"/>
      <c r="R155" s="1042"/>
    </row>
    <row r="156" spans="1:18" s="1011" customFormat="1" ht="30" customHeight="1">
      <c r="A156" s="1016">
        <v>75</v>
      </c>
      <c r="B156" s="972" t="s">
        <v>3058</v>
      </c>
      <c r="C156" s="972" t="s">
        <v>1269</v>
      </c>
      <c r="D156" s="972" t="s">
        <v>1983</v>
      </c>
      <c r="E156" s="972">
        <v>0</v>
      </c>
      <c r="F156" s="972">
        <v>0</v>
      </c>
      <c r="G156" s="972">
        <v>0</v>
      </c>
      <c r="H156" s="972">
        <v>0</v>
      </c>
      <c r="I156" s="972"/>
      <c r="J156" s="976"/>
      <c r="K156" s="972">
        <f>J151+J153+J155</f>
        <v>1203.4000000000001</v>
      </c>
      <c r="L156" s="972"/>
      <c r="M156" s="972"/>
      <c r="N156" s="972"/>
      <c r="O156" s="972"/>
      <c r="P156" s="972"/>
      <c r="Q156" s="972"/>
      <c r="R156" s="1042"/>
    </row>
    <row r="157" spans="1:18" s="1011" customFormat="1" ht="30" customHeight="1">
      <c r="A157" s="1016"/>
      <c r="B157" s="972"/>
      <c r="C157" s="972"/>
      <c r="D157" s="972"/>
      <c r="E157" s="972"/>
      <c r="F157" s="972"/>
      <c r="G157" s="972"/>
      <c r="H157" s="972"/>
      <c r="I157" s="972"/>
      <c r="J157" s="976">
        <v>390</v>
      </c>
      <c r="K157" s="972"/>
      <c r="L157" s="972"/>
      <c r="M157" s="972"/>
      <c r="N157" s="972"/>
      <c r="O157" s="972"/>
      <c r="P157" s="972"/>
      <c r="Q157" s="1564"/>
      <c r="R157" s="1042"/>
    </row>
    <row r="158" spans="1:18" s="1011" customFormat="1" ht="30" customHeight="1">
      <c r="A158" s="1016">
        <v>76</v>
      </c>
      <c r="B158" s="972" t="s">
        <v>825</v>
      </c>
      <c r="C158" s="972" t="s">
        <v>62</v>
      </c>
      <c r="D158" s="972"/>
      <c r="E158" s="972">
        <v>0</v>
      </c>
      <c r="F158" s="972">
        <v>0</v>
      </c>
      <c r="G158" s="972">
        <v>0</v>
      </c>
      <c r="H158" s="972">
        <v>0</v>
      </c>
      <c r="I158" s="972" t="s">
        <v>897</v>
      </c>
      <c r="J158" s="976"/>
      <c r="K158" s="972"/>
      <c r="L158" s="972" t="s">
        <v>2919</v>
      </c>
      <c r="M158" s="972" t="s">
        <v>1009</v>
      </c>
      <c r="N158" s="972" t="s">
        <v>1009</v>
      </c>
      <c r="O158" s="972"/>
      <c r="P158" s="972"/>
      <c r="Q158" s="1564"/>
      <c r="R158" s="1042"/>
    </row>
    <row r="159" spans="1:18" s="1011" customFormat="1" ht="30" customHeight="1">
      <c r="A159" s="1016"/>
      <c r="B159" s="972"/>
      <c r="C159" s="972"/>
      <c r="D159" s="972"/>
      <c r="E159" s="972"/>
      <c r="F159" s="972"/>
      <c r="G159" s="972"/>
      <c r="H159" s="972"/>
      <c r="I159" s="972"/>
      <c r="J159" s="976">
        <v>385.27199999999999</v>
      </c>
      <c r="K159" s="972"/>
      <c r="L159" s="972"/>
      <c r="M159" s="972"/>
      <c r="N159" s="972"/>
      <c r="O159" s="972"/>
      <c r="P159" s="972"/>
      <c r="Q159" s="1564"/>
      <c r="R159" s="1042"/>
    </row>
    <row r="160" spans="1:18" s="1011" customFormat="1" ht="30" customHeight="1">
      <c r="A160" s="1016">
        <v>77</v>
      </c>
      <c r="B160" s="972" t="s">
        <v>3059</v>
      </c>
      <c r="C160" s="972" t="s">
        <v>1269</v>
      </c>
      <c r="D160" s="972" t="s">
        <v>1984</v>
      </c>
      <c r="E160" s="972">
        <v>0</v>
      </c>
      <c r="F160" s="972">
        <v>0</v>
      </c>
      <c r="G160" s="972">
        <v>0</v>
      </c>
      <c r="H160" s="972">
        <v>0</v>
      </c>
      <c r="I160" s="972"/>
      <c r="J160" s="976"/>
      <c r="K160" s="972">
        <f>J157+J159</f>
        <v>775.27199999999993</v>
      </c>
      <c r="L160" s="972"/>
      <c r="M160" s="972"/>
      <c r="N160" s="972"/>
      <c r="O160" s="972"/>
      <c r="P160" s="972"/>
      <c r="Q160" s="972"/>
      <c r="R160" s="1042"/>
    </row>
    <row r="161" spans="1:18" s="1011" customFormat="1" ht="30" customHeight="1">
      <c r="A161" s="1016"/>
      <c r="B161" s="972"/>
      <c r="C161" s="972"/>
      <c r="D161" s="972"/>
      <c r="E161" s="972"/>
      <c r="F161" s="972"/>
      <c r="G161" s="972"/>
      <c r="H161" s="972"/>
      <c r="I161" s="972"/>
      <c r="J161" s="976">
        <v>399.20600000000002</v>
      </c>
      <c r="K161" s="972"/>
      <c r="L161" s="972"/>
      <c r="M161" s="972"/>
      <c r="N161" s="972"/>
      <c r="O161" s="972"/>
      <c r="P161" s="972"/>
      <c r="Q161" s="1564"/>
      <c r="R161" s="1042"/>
    </row>
    <row r="162" spans="1:18" s="1011" customFormat="1" ht="30" customHeight="1">
      <c r="A162" s="1016">
        <v>78</v>
      </c>
      <c r="B162" s="972" t="s">
        <v>829</v>
      </c>
      <c r="C162" s="972" t="s">
        <v>62</v>
      </c>
      <c r="D162" s="972"/>
      <c r="E162" s="972">
        <v>0</v>
      </c>
      <c r="F162" s="972">
        <v>0</v>
      </c>
      <c r="G162" s="972">
        <v>0</v>
      </c>
      <c r="H162" s="972">
        <v>0</v>
      </c>
      <c r="I162" s="972" t="s">
        <v>1765</v>
      </c>
      <c r="J162" s="976"/>
      <c r="K162" s="972"/>
      <c r="L162" s="972"/>
      <c r="M162" s="972"/>
      <c r="N162" s="972"/>
      <c r="O162" s="972"/>
      <c r="P162" s="972"/>
      <c r="Q162" s="1564"/>
      <c r="R162" s="1042"/>
    </row>
    <row r="163" spans="1:18" s="1011" customFormat="1" ht="30" customHeight="1">
      <c r="A163" s="1016"/>
      <c r="B163" s="972"/>
      <c r="C163" s="972"/>
      <c r="D163" s="972"/>
      <c r="E163" s="972"/>
      <c r="F163" s="972"/>
      <c r="G163" s="972"/>
      <c r="H163" s="972"/>
      <c r="I163" s="972"/>
      <c r="J163" s="976">
        <v>407.48700000000002</v>
      </c>
      <c r="K163" s="972"/>
      <c r="L163" s="972"/>
      <c r="M163" s="972"/>
      <c r="N163" s="972"/>
      <c r="O163" s="972"/>
      <c r="P163" s="972"/>
      <c r="Q163" s="1564"/>
      <c r="R163" s="1042"/>
    </row>
    <row r="164" spans="1:18" s="1011" customFormat="1" ht="30" customHeight="1">
      <c r="A164" s="1016">
        <v>79</v>
      </c>
      <c r="B164" s="972" t="s">
        <v>965</v>
      </c>
      <c r="C164" s="972" t="s">
        <v>76</v>
      </c>
      <c r="D164" s="972"/>
      <c r="E164" s="972">
        <v>0</v>
      </c>
      <c r="F164" s="972">
        <v>0</v>
      </c>
      <c r="G164" s="972">
        <v>0</v>
      </c>
      <c r="H164" s="972">
        <v>0</v>
      </c>
      <c r="I164" s="972" t="s">
        <v>897</v>
      </c>
      <c r="J164" s="976"/>
      <c r="K164" s="972"/>
      <c r="L164" s="972" t="s">
        <v>2919</v>
      </c>
      <c r="M164" s="972" t="s">
        <v>1009</v>
      </c>
      <c r="N164" s="972" t="s">
        <v>1009</v>
      </c>
      <c r="O164" s="972" t="s">
        <v>1009</v>
      </c>
      <c r="P164" s="972"/>
      <c r="Q164" s="1564"/>
      <c r="R164" s="1042"/>
    </row>
    <row r="165" spans="1:18" s="1011" customFormat="1" ht="30" customHeight="1">
      <c r="A165" s="1016"/>
      <c r="B165" s="972"/>
      <c r="C165" s="972"/>
      <c r="D165" s="972"/>
      <c r="E165" s="972"/>
      <c r="F165" s="972"/>
      <c r="G165" s="972"/>
      <c r="H165" s="972"/>
      <c r="I165" s="972"/>
      <c r="J165" s="976">
        <v>403.2</v>
      </c>
      <c r="K165" s="972"/>
      <c r="L165" s="972"/>
      <c r="M165" s="972"/>
      <c r="N165" s="972"/>
      <c r="O165" s="972"/>
      <c r="P165" s="972"/>
      <c r="Q165" s="1564"/>
      <c r="R165" s="1042"/>
    </row>
    <row r="166" spans="1:18" s="1011" customFormat="1" ht="30" customHeight="1">
      <c r="A166" s="1016">
        <v>80</v>
      </c>
      <c r="B166" s="972" t="s">
        <v>3060</v>
      </c>
      <c r="C166" s="972" t="s">
        <v>1361</v>
      </c>
      <c r="D166" s="972" t="s">
        <v>1986</v>
      </c>
      <c r="E166" s="972">
        <v>0</v>
      </c>
      <c r="F166" s="972">
        <v>0</v>
      </c>
      <c r="G166" s="972">
        <v>0</v>
      </c>
      <c r="H166" s="972">
        <v>0</v>
      </c>
      <c r="I166" s="972" t="s">
        <v>2736</v>
      </c>
      <c r="J166" s="976"/>
      <c r="K166" s="972">
        <f>J161+J163+J165</f>
        <v>1209.893</v>
      </c>
      <c r="L166" s="972" t="s">
        <v>2919</v>
      </c>
      <c r="M166" s="972" t="s">
        <v>1009</v>
      </c>
      <c r="N166" s="972" t="s">
        <v>1009</v>
      </c>
      <c r="O166" s="972" t="s">
        <v>1009</v>
      </c>
      <c r="P166" s="972"/>
      <c r="Q166" s="972"/>
      <c r="R166" s="1042"/>
    </row>
    <row r="167" spans="1:18" s="1011" customFormat="1" ht="30" customHeight="1">
      <c r="A167" s="1016"/>
      <c r="B167" s="972"/>
      <c r="C167" s="972"/>
      <c r="D167" s="972"/>
      <c r="E167" s="972"/>
      <c r="F167" s="972"/>
      <c r="G167" s="972"/>
      <c r="H167" s="972"/>
      <c r="I167" s="972"/>
      <c r="J167" s="976">
        <v>429.65300000000002</v>
      </c>
      <c r="K167" s="972"/>
      <c r="L167" s="972"/>
      <c r="M167" s="972"/>
      <c r="N167" s="972"/>
      <c r="O167" s="972"/>
      <c r="P167" s="972"/>
      <c r="Q167" s="1564"/>
      <c r="R167" s="1042"/>
    </row>
    <row r="168" spans="1:18" s="1011" customFormat="1" ht="30" customHeight="1">
      <c r="A168" s="1016">
        <v>81</v>
      </c>
      <c r="B168" s="972" t="s">
        <v>964</v>
      </c>
      <c r="C168" s="972" t="s">
        <v>62</v>
      </c>
      <c r="D168" s="972"/>
      <c r="E168" s="972">
        <v>0</v>
      </c>
      <c r="F168" s="972">
        <v>0</v>
      </c>
      <c r="G168" s="972">
        <v>0</v>
      </c>
      <c r="H168" s="972">
        <v>0</v>
      </c>
      <c r="I168" s="972" t="s">
        <v>1765</v>
      </c>
      <c r="J168" s="976"/>
      <c r="K168" s="972"/>
      <c r="L168" s="972" t="s">
        <v>2919</v>
      </c>
      <c r="M168" s="972" t="s">
        <v>1009</v>
      </c>
      <c r="N168" s="972" t="s">
        <v>1009</v>
      </c>
      <c r="O168" s="972" t="s">
        <v>1009</v>
      </c>
      <c r="P168" s="972"/>
      <c r="Q168" s="1564"/>
      <c r="R168" s="1042"/>
    </row>
    <row r="169" spans="1:18" s="1011" customFormat="1" ht="30" customHeight="1">
      <c r="A169" s="1016"/>
      <c r="B169" s="972"/>
      <c r="C169" s="972"/>
      <c r="D169" s="972"/>
      <c r="E169" s="972"/>
      <c r="F169" s="972"/>
      <c r="G169" s="972"/>
      <c r="H169" s="972"/>
      <c r="I169" s="972"/>
      <c r="J169" s="976">
        <v>400.3</v>
      </c>
      <c r="K169" s="972"/>
      <c r="L169" s="972"/>
      <c r="M169" s="972"/>
      <c r="N169" s="972"/>
      <c r="O169" s="972"/>
      <c r="P169" s="972"/>
      <c r="Q169" s="1564"/>
      <c r="R169" s="1042"/>
    </row>
    <row r="170" spans="1:18" s="1011" customFormat="1" ht="30" customHeight="1">
      <c r="A170" s="1016">
        <v>82</v>
      </c>
      <c r="B170" s="972" t="s">
        <v>834</v>
      </c>
      <c r="C170" s="972" t="s">
        <v>62</v>
      </c>
      <c r="D170" s="972"/>
      <c r="E170" s="972">
        <v>0</v>
      </c>
      <c r="F170" s="972">
        <v>0</v>
      </c>
      <c r="G170" s="972">
        <v>0</v>
      </c>
      <c r="H170" s="972">
        <v>0</v>
      </c>
      <c r="I170" s="972" t="s">
        <v>2736</v>
      </c>
      <c r="J170" s="976"/>
      <c r="K170" s="972"/>
      <c r="L170" s="972" t="s">
        <v>2919</v>
      </c>
      <c r="M170" s="972" t="s">
        <v>1009</v>
      </c>
      <c r="N170" s="972"/>
      <c r="O170" s="972"/>
      <c r="P170" s="972"/>
      <c r="Q170" s="1564"/>
      <c r="R170" s="1042"/>
    </row>
    <row r="171" spans="1:18" s="1011" customFormat="1" ht="30" customHeight="1">
      <c r="A171" s="1016"/>
      <c r="B171" s="972"/>
      <c r="C171" s="972"/>
      <c r="D171" s="972"/>
      <c r="E171" s="972"/>
      <c r="F171" s="972"/>
      <c r="G171" s="972"/>
      <c r="H171" s="972"/>
      <c r="I171" s="972"/>
      <c r="J171" s="976">
        <v>414.63</v>
      </c>
      <c r="K171" s="972"/>
      <c r="L171" s="972"/>
      <c r="M171" s="972"/>
      <c r="N171" s="972"/>
      <c r="O171" s="972"/>
      <c r="P171" s="972"/>
      <c r="Q171" s="1564"/>
      <c r="R171" s="1042"/>
    </row>
    <row r="172" spans="1:18" s="1011" customFormat="1" ht="30" customHeight="1">
      <c r="A172" s="1016">
        <v>83</v>
      </c>
      <c r="B172" s="972" t="s">
        <v>816</v>
      </c>
      <c r="C172" s="972" t="s">
        <v>90</v>
      </c>
      <c r="D172" s="972"/>
      <c r="E172" s="972">
        <v>0</v>
      </c>
      <c r="F172" s="972">
        <v>0</v>
      </c>
      <c r="G172" s="972">
        <v>0</v>
      </c>
      <c r="H172" s="972">
        <v>0</v>
      </c>
      <c r="I172" s="972"/>
      <c r="J172" s="976"/>
      <c r="K172" s="972"/>
      <c r="L172" s="972" t="s">
        <v>2919</v>
      </c>
      <c r="M172" s="972" t="s">
        <v>22</v>
      </c>
      <c r="N172" s="972"/>
      <c r="O172" s="972"/>
      <c r="P172" s="972"/>
      <c r="Q172" s="1564"/>
      <c r="R172" s="1042"/>
    </row>
    <row r="173" spans="1:18" s="1011" customFormat="1" ht="30" customHeight="1">
      <c r="A173" s="1016"/>
      <c r="B173" s="972"/>
      <c r="C173" s="972"/>
      <c r="D173" s="972"/>
      <c r="E173" s="972"/>
      <c r="F173" s="972"/>
      <c r="G173" s="972"/>
      <c r="H173" s="972"/>
      <c r="I173" s="972"/>
      <c r="J173" s="976">
        <v>515.89</v>
      </c>
      <c r="K173" s="972"/>
      <c r="L173" s="972"/>
      <c r="M173" s="972"/>
      <c r="N173" s="972"/>
      <c r="O173" s="972"/>
      <c r="P173" s="972"/>
      <c r="Q173" s="972"/>
      <c r="R173" s="1042"/>
    </row>
    <row r="174" spans="1:18" s="1011" customFormat="1" ht="30" customHeight="1">
      <c r="A174" s="1016">
        <v>84</v>
      </c>
      <c r="B174" s="972" t="s">
        <v>3061</v>
      </c>
      <c r="C174" s="972" t="s">
        <v>2023</v>
      </c>
      <c r="D174" s="972" t="s">
        <v>1989</v>
      </c>
      <c r="E174" s="972"/>
      <c r="F174" s="972"/>
      <c r="G174" s="972"/>
      <c r="H174" s="972"/>
      <c r="I174" s="972"/>
      <c r="J174" s="976"/>
      <c r="K174" s="972">
        <f>J167+J169+J171+J173</f>
        <v>1760.473</v>
      </c>
      <c r="L174" s="972"/>
      <c r="M174" s="972"/>
      <c r="N174" s="972"/>
      <c r="O174" s="972"/>
      <c r="P174" s="972"/>
      <c r="Q174" s="972"/>
      <c r="R174" s="1042"/>
    </row>
    <row r="175" spans="1:18" s="1011" customFormat="1" ht="30" customHeight="1">
      <c r="A175" s="1016"/>
      <c r="B175" s="972"/>
      <c r="C175" s="972"/>
      <c r="D175" s="972"/>
      <c r="E175" s="972"/>
      <c r="F175" s="972"/>
      <c r="G175" s="972"/>
      <c r="H175" s="972"/>
      <c r="I175" s="972"/>
      <c r="J175" s="976">
        <v>212.44300000000001</v>
      </c>
      <c r="K175" s="972"/>
      <c r="L175" s="972"/>
      <c r="M175" s="972"/>
      <c r="N175" s="972"/>
      <c r="O175" s="972"/>
      <c r="P175" s="972"/>
      <c r="Q175" s="972"/>
      <c r="R175" s="1042"/>
    </row>
    <row r="176" spans="1:18" s="1011" customFormat="1" ht="30" customHeight="1">
      <c r="A176" s="1016">
        <v>85</v>
      </c>
      <c r="B176" s="972" t="s">
        <v>3062</v>
      </c>
      <c r="C176" s="972" t="s">
        <v>2023</v>
      </c>
      <c r="D176" s="972" t="s">
        <v>1991</v>
      </c>
      <c r="E176" s="972"/>
      <c r="F176" s="972"/>
      <c r="G176" s="972"/>
      <c r="H176" s="972"/>
      <c r="I176" s="972" t="s">
        <v>2736</v>
      </c>
      <c r="J176" s="976"/>
      <c r="K176" s="1018">
        <f>J175</f>
        <v>212.44300000000001</v>
      </c>
      <c r="L176" s="1018" t="s">
        <v>2919</v>
      </c>
      <c r="M176" s="1018" t="s">
        <v>22</v>
      </c>
      <c r="N176" s="1018"/>
      <c r="O176" s="1018"/>
      <c r="P176" s="1018"/>
      <c r="Q176" s="1018"/>
      <c r="R176" s="1020"/>
    </row>
    <row r="177" spans="1:18" s="1011" customFormat="1" ht="30" customHeight="1">
      <c r="A177" s="1016"/>
      <c r="B177" s="972"/>
      <c r="C177" s="972"/>
      <c r="D177" s="972"/>
      <c r="E177" s="972"/>
      <c r="F177" s="972"/>
      <c r="G177" s="972"/>
      <c r="H177" s="972"/>
      <c r="I177" s="972"/>
      <c r="J177" s="976">
        <v>459.99900000000002</v>
      </c>
      <c r="K177" s="972"/>
      <c r="L177" s="972"/>
      <c r="M177" s="972"/>
      <c r="N177" s="972"/>
      <c r="O177" s="972"/>
      <c r="P177" s="972"/>
      <c r="Q177" s="1564"/>
      <c r="R177" s="1042"/>
    </row>
    <row r="178" spans="1:18" s="1011" customFormat="1" ht="30" customHeight="1">
      <c r="A178" s="1016">
        <v>86</v>
      </c>
      <c r="B178" s="972" t="s">
        <v>1015</v>
      </c>
      <c r="C178" s="972" t="s">
        <v>76</v>
      </c>
      <c r="D178" s="972"/>
      <c r="E178" s="972">
        <v>0</v>
      </c>
      <c r="F178" s="972">
        <v>0</v>
      </c>
      <c r="G178" s="972">
        <v>0</v>
      </c>
      <c r="H178" s="972">
        <v>0</v>
      </c>
      <c r="I178" s="972"/>
      <c r="J178" s="976"/>
      <c r="K178" s="972"/>
      <c r="L178" s="972"/>
      <c r="M178" s="972"/>
      <c r="N178" s="972"/>
      <c r="O178" s="972"/>
      <c r="P178" s="972"/>
      <c r="Q178" s="1564"/>
      <c r="R178" s="1042"/>
    </row>
    <row r="179" spans="1:18" s="1011" customFormat="1" ht="30" customHeight="1">
      <c r="A179" s="1016"/>
      <c r="B179" s="972"/>
      <c r="C179" s="972"/>
      <c r="D179" s="972"/>
      <c r="E179" s="972"/>
      <c r="F179" s="972"/>
      <c r="G179" s="972"/>
      <c r="H179" s="972"/>
      <c r="I179" s="972"/>
      <c r="J179" s="976">
        <v>260</v>
      </c>
      <c r="K179" s="972"/>
      <c r="L179" s="972"/>
      <c r="M179" s="972"/>
      <c r="N179" s="972"/>
      <c r="O179" s="972"/>
      <c r="P179" s="972"/>
      <c r="Q179" s="1564"/>
      <c r="R179" s="1042"/>
    </row>
    <row r="180" spans="1:18" s="1011" customFormat="1" ht="30" customHeight="1">
      <c r="A180" s="1016">
        <v>87</v>
      </c>
      <c r="B180" s="972" t="s">
        <v>1016</v>
      </c>
      <c r="C180" s="972" t="s">
        <v>76</v>
      </c>
      <c r="D180" s="972"/>
      <c r="E180" s="972">
        <v>0</v>
      </c>
      <c r="F180" s="972">
        <v>0</v>
      </c>
      <c r="G180" s="972">
        <v>0</v>
      </c>
      <c r="H180" s="972">
        <v>0</v>
      </c>
      <c r="I180" s="972" t="s">
        <v>897</v>
      </c>
      <c r="J180" s="976"/>
      <c r="K180" s="972"/>
      <c r="L180" s="972" t="s">
        <v>2919</v>
      </c>
      <c r="M180" s="972" t="s">
        <v>1009</v>
      </c>
      <c r="N180" s="972"/>
      <c r="O180" s="972"/>
      <c r="P180" s="972"/>
      <c r="Q180" s="1564"/>
      <c r="R180" s="1042"/>
    </row>
    <row r="181" spans="1:18" s="1011" customFormat="1" ht="30" customHeight="1">
      <c r="A181" s="1016"/>
      <c r="B181" s="972"/>
      <c r="C181" s="972"/>
      <c r="D181" s="972"/>
      <c r="E181" s="972"/>
      <c r="F181" s="972"/>
      <c r="G181" s="972"/>
      <c r="H181" s="972"/>
      <c r="I181" s="972"/>
      <c r="J181" s="976">
        <v>330</v>
      </c>
      <c r="K181" s="972"/>
      <c r="L181" s="972"/>
      <c r="M181" s="972"/>
      <c r="N181" s="972"/>
      <c r="O181" s="972"/>
      <c r="P181" s="972"/>
      <c r="Q181" s="1564"/>
      <c r="R181" s="1042"/>
    </row>
    <row r="182" spans="1:18" s="1011" customFormat="1" ht="30" customHeight="1">
      <c r="A182" s="1016">
        <v>88</v>
      </c>
      <c r="B182" s="972" t="s">
        <v>1017</v>
      </c>
      <c r="C182" s="972" t="s">
        <v>76</v>
      </c>
      <c r="D182" s="972"/>
      <c r="E182" s="972">
        <v>0</v>
      </c>
      <c r="F182" s="972">
        <v>0</v>
      </c>
      <c r="G182" s="972">
        <v>0</v>
      </c>
      <c r="H182" s="972">
        <v>0</v>
      </c>
      <c r="I182" s="972" t="s">
        <v>2736</v>
      </c>
      <c r="J182" s="976"/>
      <c r="K182" s="972"/>
      <c r="L182" s="972" t="s">
        <v>2919</v>
      </c>
      <c r="M182" s="972" t="s">
        <v>1009</v>
      </c>
      <c r="N182" s="972" t="s">
        <v>1009</v>
      </c>
      <c r="O182" s="972"/>
      <c r="P182" s="972"/>
      <c r="Q182" s="1564"/>
      <c r="R182" s="1042"/>
    </row>
    <row r="183" spans="1:18" s="1011" customFormat="1" ht="30" customHeight="1">
      <c r="A183" s="1016"/>
      <c r="B183" s="972"/>
      <c r="C183" s="972"/>
      <c r="D183" s="972"/>
      <c r="E183" s="972"/>
      <c r="F183" s="972"/>
      <c r="G183" s="972"/>
      <c r="H183" s="972"/>
      <c r="I183" s="972"/>
      <c r="J183" s="976">
        <v>311.04000000000002</v>
      </c>
      <c r="K183" s="972"/>
      <c r="L183" s="972"/>
      <c r="M183" s="972"/>
      <c r="N183" s="972"/>
      <c r="O183" s="972"/>
      <c r="P183" s="972"/>
      <c r="Q183" s="1564"/>
      <c r="R183" s="1042"/>
    </row>
    <row r="184" spans="1:18" s="1011" customFormat="1" ht="30" customHeight="1">
      <c r="A184" s="1016">
        <v>89</v>
      </c>
      <c r="B184" s="972" t="s">
        <v>3063</v>
      </c>
      <c r="C184" s="972" t="s">
        <v>1995</v>
      </c>
      <c r="D184" s="972" t="s">
        <v>1996</v>
      </c>
      <c r="E184" s="972">
        <v>0</v>
      </c>
      <c r="F184" s="972">
        <v>0</v>
      </c>
      <c r="G184" s="972">
        <v>0</v>
      </c>
      <c r="H184" s="972">
        <v>0</v>
      </c>
      <c r="I184" s="972" t="s">
        <v>1765</v>
      </c>
      <c r="J184" s="976"/>
      <c r="K184" s="1018">
        <f>J177+J179+J181+J183</f>
        <v>1361.039</v>
      </c>
      <c r="L184" s="1018" t="s">
        <v>2919</v>
      </c>
      <c r="M184" s="1018" t="s">
        <v>1009</v>
      </c>
      <c r="N184" s="972" t="s">
        <v>1009</v>
      </c>
      <c r="O184" s="1018" t="s">
        <v>22</v>
      </c>
      <c r="P184" s="1018"/>
      <c r="Q184" s="1018"/>
      <c r="R184" s="1020"/>
    </row>
    <row r="185" spans="1:18" s="1011" customFormat="1" ht="30" customHeight="1">
      <c r="A185" s="1016"/>
      <c r="B185" s="972"/>
      <c r="C185" s="972"/>
      <c r="D185" s="972"/>
      <c r="E185" s="972"/>
      <c r="F185" s="972"/>
      <c r="G185" s="972"/>
      <c r="H185" s="972"/>
      <c r="I185" s="972"/>
      <c r="J185" s="976">
        <v>408.94799999999998</v>
      </c>
      <c r="K185" s="972"/>
      <c r="L185" s="972"/>
      <c r="M185" s="972"/>
      <c r="N185" s="972"/>
      <c r="O185" s="972"/>
      <c r="P185" s="972"/>
      <c r="Q185" s="1564"/>
      <c r="R185" s="1042"/>
    </row>
    <row r="186" spans="1:18" s="1011" customFormat="1" ht="30" customHeight="1">
      <c r="A186" s="1016">
        <v>90</v>
      </c>
      <c r="B186" s="972" t="s">
        <v>765</v>
      </c>
      <c r="C186" s="972" t="s">
        <v>53</v>
      </c>
      <c r="D186" s="972"/>
      <c r="E186" s="972">
        <v>0</v>
      </c>
      <c r="F186" s="972">
        <v>0</v>
      </c>
      <c r="G186" s="972">
        <v>0</v>
      </c>
      <c r="H186" s="972">
        <v>0</v>
      </c>
      <c r="I186" s="972" t="s">
        <v>897</v>
      </c>
      <c r="J186" s="976"/>
      <c r="K186" s="972"/>
      <c r="L186" s="972" t="s">
        <v>2919</v>
      </c>
      <c r="M186" s="972" t="s">
        <v>1009</v>
      </c>
      <c r="N186" s="972" t="s">
        <v>1009</v>
      </c>
      <c r="O186" s="972" t="s">
        <v>1009</v>
      </c>
      <c r="P186" s="972"/>
      <c r="Q186" s="1564"/>
      <c r="R186" s="1042"/>
    </row>
    <row r="187" spans="1:18" s="1011" customFormat="1" ht="30" customHeight="1">
      <c r="A187" s="1016"/>
      <c r="B187" s="972"/>
      <c r="C187" s="972"/>
      <c r="D187" s="972"/>
      <c r="E187" s="972"/>
      <c r="F187" s="972"/>
      <c r="G187" s="972"/>
      <c r="H187" s="972"/>
      <c r="I187" s="972"/>
      <c r="J187" s="976">
        <v>371.34500000000003</v>
      </c>
      <c r="K187" s="972"/>
      <c r="L187" s="972"/>
      <c r="M187" s="972"/>
      <c r="N187" s="972"/>
      <c r="O187" s="972"/>
      <c r="P187" s="972"/>
      <c r="Q187" s="1564"/>
      <c r="R187" s="1042"/>
    </row>
    <row r="188" spans="1:18" s="1011" customFormat="1" ht="30" customHeight="1">
      <c r="A188" s="1016">
        <v>91</v>
      </c>
      <c r="B188" s="972" t="s">
        <v>801</v>
      </c>
      <c r="C188" s="972" t="s">
        <v>76</v>
      </c>
      <c r="D188" s="972"/>
      <c r="E188" s="972">
        <v>0</v>
      </c>
      <c r="F188" s="972">
        <v>0</v>
      </c>
      <c r="G188" s="972">
        <v>0</v>
      </c>
      <c r="H188" s="972">
        <v>0</v>
      </c>
      <c r="I188" s="972" t="s">
        <v>897</v>
      </c>
      <c r="J188" s="976"/>
      <c r="K188" s="972"/>
      <c r="L188" s="972" t="s">
        <v>2919</v>
      </c>
      <c r="M188" s="972" t="s">
        <v>1009</v>
      </c>
      <c r="N188" s="972" t="s">
        <v>1009</v>
      </c>
      <c r="O188" s="972" t="s">
        <v>1009</v>
      </c>
      <c r="P188" s="972"/>
      <c r="Q188" s="1564"/>
      <c r="R188" s="1042"/>
    </row>
    <row r="189" spans="1:18" s="1011" customFormat="1" ht="30" customHeight="1">
      <c r="A189" s="1016"/>
      <c r="B189" s="972"/>
      <c r="C189" s="972"/>
      <c r="D189" s="972"/>
      <c r="E189" s="972"/>
      <c r="F189" s="972"/>
      <c r="G189" s="972"/>
      <c r="H189" s="972"/>
      <c r="I189" s="972"/>
      <c r="J189" s="976">
        <v>364.11399999999998</v>
      </c>
      <c r="K189" s="972"/>
      <c r="L189" s="972"/>
      <c r="M189" s="972"/>
      <c r="N189" s="972"/>
      <c r="O189" s="972"/>
      <c r="P189" s="972"/>
      <c r="Q189" s="1564"/>
      <c r="R189" s="1042"/>
    </row>
    <row r="190" spans="1:18" s="1011" customFormat="1" ht="30" customHeight="1">
      <c r="A190" s="1016">
        <v>92</v>
      </c>
      <c r="B190" s="972" t="s">
        <v>806</v>
      </c>
      <c r="C190" s="972" t="s">
        <v>62</v>
      </c>
      <c r="D190" s="972"/>
      <c r="E190" s="972">
        <v>0</v>
      </c>
      <c r="F190" s="972">
        <v>0</v>
      </c>
      <c r="G190" s="972">
        <v>0</v>
      </c>
      <c r="H190" s="972">
        <v>0</v>
      </c>
      <c r="I190" s="972" t="s">
        <v>2736</v>
      </c>
      <c r="J190" s="976"/>
      <c r="K190" s="972"/>
      <c r="L190" s="972" t="s">
        <v>2919</v>
      </c>
      <c r="M190" s="972" t="s">
        <v>1009</v>
      </c>
      <c r="N190" s="972" t="s">
        <v>1009</v>
      </c>
      <c r="O190" s="972" t="s">
        <v>1009</v>
      </c>
      <c r="P190" s="972"/>
      <c r="Q190" s="1564"/>
      <c r="R190" s="1042"/>
    </row>
    <row r="191" spans="1:18" s="1011" customFormat="1" ht="30" customHeight="1">
      <c r="A191" s="1016"/>
      <c r="B191" s="972"/>
      <c r="C191" s="972"/>
      <c r="D191" s="972"/>
      <c r="E191" s="972"/>
      <c r="F191" s="972"/>
      <c r="G191" s="972"/>
      <c r="H191" s="972"/>
      <c r="I191" s="972"/>
      <c r="J191" s="976">
        <v>419.36</v>
      </c>
      <c r="K191" s="972"/>
      <c r="L191" s="972"/>
      <c r="M191" s="972"/>
      <c r="N191" s="972"/>
      <c r="O191" s="972"/>
      <c r="P191" s="972"/>
      <c r="Q191" s="1564"/>
      <c r="R191" s="1042"/>
    </row>
    <row r="192" spans="1:18" s="1011" customFormat="1" ht="30" customHeight="1">
      <c r="A192" s="1016">
        <v>93</v>
      </c>
      <c r="B192" s="972" t="s">
        <v>719</v>
      </c>
      <c r="C192" s="972" t="s">
        <v>76</v>
      </c>
      <c r="D192" s="972"/>
      <c r="E192" s="972">
        <v>0</v>
      </c>
      <c r="F192" s="972">
        <v>0</v>
      </c>
      <c r="G192" s="972">
        <v>0</v>
      </c>
      <c r="H192" s="972">
        <v>0</v>
      </c>
      <c r="I192" s="972" t="s">
        <v>3287</v>
      </c>
      <c r="J192" s="976"/>
      <c r="K192" s="972"/>
      <c r="L192" s="972" t="s">
        <v>2919</v>
      </c>
      <c r="M192" s="972" t="s">
        <v>1009</v>
      </c>
      <c r="N192" s="972" t="s">
        <v>1009</v>
      </c>
      <c r="O192" s="972" t="s">
        <v>1009</v>
      </c>
      <c r="P192" s="972"/>
      <c r="Q192" s="1564"/>
      <c r="R192" s="1042"/>
    </row>
    <row r="193" spans="1:18" s="1011" customFormat="1" ht="30" customHeight="1">
      <c r="A193" s="1016"/>
      <c r="B193" s="972"/>
      <c r="C193" s="972"/>
      <c r="D193" s="972"/>
      <c r="E193" s="972"/>
      <c r="F193" s="972"/>
      <c r="G193" s="972"/>
      <c r="H193" s="972"/>
      <c r="I193" s="972"/>
      <c r="J193" s="976">
        <v>348.12900000000002</v>
      </c>
      <c r="K193" s="972"/>
      <c r="L193" s="972"/>
      <c r="M193" s="972"/>
      <c r="N193" s="972"/>
      <c r="O193" s="972"/>
      <c r="P193" s="972"/>
      <c r="Q193" s="1564"/>
      <c r="R193" s="1042"/>
    </row>
    <row r="194" spans="1:18" s="1011" customFormat="1" ht="30" customHeight="1">
      <c r="A194" s="1016">
        <v>94</v>
      </c>
      <c r="B194" s="972" t="s">
        <v>3064</v>
      </c>
      <c r="C194" s="972" t="s">
        <v>1269</v>
      </c>
      <c r="D194" s="972" t="s">
        <v>1997</v>
      </c>
      <c r="E194" s="972">
        <v>0</v>
      </c>
      <c r="F194" s="972">
        <v>0</v>
      </c>
      <c r="G194" s="972">
        <v>0</v>
      </c>
      <c r="H194" s="972">
        <v>0</v>
      </c>
      <c r="I194" s="972" t="s">
        <v>2736</v>
      </c>
      <c r="J194" s="976"/>
      <c r="K194" s="1018">
        <f>J185+J187+J189+J191+J193</f>
        <v>1911.8959999999997</v>
      </c>
      <c r="L194" s="1018" t="s">
        <v>2919</v>
      </c>
      <c r="M194" s="1018" t="s">
        <v>1009</v>
      </c>
      <c r="N194" s="972" t="s">
        <v>1009</v>
      </c>
      <c r="O194" s="1018" t="s">
        <v>1009</v>
      </c>
      <c r="P194" s="1018"/>
      <c r="Q194" s="1018"/>
      <c r="R194" s="1020"/>
    </row>
    <row r="195" spans="1:18" s="1011" customFormat="1" ht="30" customHeight="1">
      <c r="A195" s="1016"/>
      <c r="B195" s="972"/>
      <c r="C195" s="972"/>
      <c r="D195" s="972"/>
      <c r="E195" s="972"/>
      <c r="F195" s="972"/>
      <c r="G195" s="972"/>
      <c r="H195" s="972"/>
      <c r="I195" s="972"/>
      <c r="J195" s="976">
        <v>367.84800000000001</v>
      </c>
      <c r="K195" s="972"/>
      <c r="L195" s="972"/>
      <c r="M195" s="972"/>
      <c r="N195" s="972"/>
      <c r="O195" s="972"/>
      <c r="P195" s="972"/>
      <c r="Q195" s="1564"/>
      <c r="R195" s="1042"/>
    </row>
    <row r="196" spans="1:18" s="1011" customFormat="1" ht="30" customHeight="1">
      <c r="A196" s="1016">
        <v>95</v>
      </c>
      <c r="B196" s="972" t="s">
        <v>502</v>
      </c>
      <c r="C196" s="972" t="s">
        <v>76</v>
      </c>
      <c r="D196" s="972"/>
      <c r="E196" s="972">
        <v>0</v>
      </c>
      <c r="F196" s="972">
        <v>0</v>
      </c>
      <c r="G196" s="972">
        <v>0</v>
      </c>
      <c r="H196" s="972">
        <v>0</v>
      </c>
      <c r="I196" s="972" t="s">
        <v>2736</v>
      </c>
      <c r="J196" s="976"/>
      <c r="K196" s="972"/>
      <c r="L196" s="972" t="s">
        <v>2919</v>
      </c>
      <c r="M196" s="972" t="s">
        <v>1009</v>
      </c>
      <c r="N196" s="972" t="s">
        <v>1009</v>
      </c>
      <c r="O196" s="972" t="s">
        <v>1009</v>
      </c>
      <c r="P196" s="972"/>
      <c r="Q196" s="1564"/>
      <c r="R196" s="1042"/>
    </row>
    <row r="197" spans="1:18" s="1011" customFormat="1" ht="30" customHeight="1">
      <c r="A197" s="1016"/>
      <c r="B197" s="972"/>
      <c r="C197" s="972"/>
      <c r="D197" s="972"/>
      <c r="E197" s="972"/>
      <c r="F197" s="972"/>
      <c r="G197" s="972"/>
      <c r="H197" s="972"/>
      <c r="I197" s="972"/>
      <c r="J197" s="976">
        <v>396.726</v>
      </c>
      <c r="K197" s="972"/>
      <c r="L197" s="972"/>
      <c r="M197" s="972"/>
      <c r="N197" s="972"/>
      <c r="O197" s="972"/>
      <c r="P197" s="972"/>
      <c r="Q197" s="1564"/>
      <c r="R197" s="1042"/>
    </row>
    <row r="198" spans="1:18" s="1011" customFormat="1" ht="30" customHeight="1">
      <c r="A198" s="1016">
        <v>96</v>
      </c>
      <c r="B198" s="972" t="s">
        <v>503</v>
      </c>
      <c r="C198" s="972" t="s">
        <v>76</v>
      </c>
      <c r="D198" s="972"/>
      <c r="E198" s="972">
        <v>0</v>
      </c>
      <c r="F198" s="972">
        <v>0</v>
      </c>
      <c r="G198" s="972">
        <v>0</v>
      </c>
      <c r="H198" s="972">
        <v>0</v>
      </c>
      <c r="I198" s="972" t="s">
        <v>897</v>
      </c>
      <c r="J198" s="976"/>
      <c r="K198" s="972"/>
      <c r="L198" s="972" t="s">
        <v>2919</v>
      </c>
      <c r="M198" s="972" t="s">
        <v>1009</v>
      </c>
      <c r="N198" s="972" t="s">
        <v>1009</v>
      </c>
      <c r="O198" s="972" t="s">
        <v>1009</v>
      </c>
      <c r="P198" s="972"/>
      <c r="Q198" s="1564"/>
      <c r="R198" s="1042"/>
    </row>
    <row r="199" spans="1:18" s="1011" customFormat="1" ht="30" customHeight="1">
      <c r="A199" s="1016"/>
      <c r="B199" s="972"/>
      <c r="C199" s="972"/>
      <c r="D199" s="972"/>
      <c r="E199" s="972"/>
      <c r="F199" s="972"/>
      <c r="G199" s="972"/>
      <c r="H199" s="972"/>
      <c r="I199" s="972"/>
      <c r="J199" s="976">
        <v>375.11099999999999</v>
      </c>
      <c r="K199" s="972"/>
      <c r="L199" s="972"/>
      <c r="M199" s="972"/>
      <c r="N199" s="972"/>
      <c r="O199" s="972"/>
      <c r="P199" s="972"/>
      <c r="Q199" s="1564"/>
      <c r="R199" s="1042"/>
    </row>
    <row r="200" spans="1:18" s="1011" customFormat="1" ht="30" customHeight="1">
      <c r="A200" s="1016">
        <v>97</v>
      </c>
      <c r="B200" s="972" t="s">
        <v>555</v>
      </c>
      <c r="C200" s="972" t="s">
        <v>76</v>
      </c>
      <c r="D200" s="972"/>
      <c r="E200" s="972">
        <v>0</v>
      </c>
      <c r="F200" s="972">
        <v>0</v>
      </c>
      <c r="G200" s="972">
        <v>0</v>
      </c>
      <c r="H200" s="972">
        <v>0</v>
      </c>
      <c r="I200" s="972" t="s">
        <v>897</v>
      </c>
      <c r="J200" s="976"/>
      <c r="K200" s="972"/>
      <c r="L200" s="972" t="s">
        <v>2919</v>
      </c>
      <c r="M200" s="972" t="s">
        <v>1009</v>
      </c>
      <c r="N200" s="972" t="s">
        <v>1009</v>
      </c>
      <c r="O200" s="972" t="s">
        <v>1009</v>
      </c>
      <c r="P200" s="972"/>
      <c r="Q200" s="1564"/>
      <c r="R200" s="1042"/>
    </row>
    <row r="201" spans="1:18" s="1011" customFormat="1" ht="30" customHeight="1">
      <c r="A201" s="1016"/>
      <c r="B201" s="972"/>
      <c r="C201" s="972"/>
      <c r="D201" s="972"/>
      <c r="E201" s="972"/>
      <c r="F201" s="972"/>
      <c r="G201" s="972"/>
      <c r="H201" s="972"/>
      <c r="I201" s="972"/>
      <c r="J201" s="976">
        <v>335.00299999999999</v>
      </c>
      <c r="K201" s="972"/>
      <c r="L201" s="972"/>
      <c r="M201" s="972"/>
      <c r="N201" s="972"/>
      <c r="O201" s="972"/>
      <c r="P201" s="972"/>
      <c r="Q201" s="1564"/>
      <c r="R201" s="1042"/>
    </row>
    <row r="202" spans="1:18" s="1011" customFormat="1" ht="30" customHeight="1">
      <c r="A202" s="1016">
        <v>98</v>
      </c>
      <c r="B202" s="972" t="s">
        <v>3065</v>
      </c>
      <c r="C202" s="972" t="s">
        <v>1269</v>
      </c>
      <c r="D202" s="972" t="s">
        <v>2002</v>
      </c>
      <c r="E202" s="972">
        <v>0</v>
      </c>
      <c r="F202" s="972">
        <v>0</v>
      </c>
      <c r="G202" s="972">
        <v>0</v>
      </c>
      <c r="H202" s="972">
        <v>0</v>
      </c>
      <c r="I202" s="972" t="s">
        <v>1765</v>
      </c>
      <c r="J202" s="976"/>
      <c r="K202" s="1018">
        <f>J195+J197+J199+J201</f>
        <v>1474.6879999999999</v>
      </c>
      <c r="L202" s="1018" t="s">
        <v>2919</v>
      </c>
      <c r="M202" s="1018" t="s">
        <v>1009</v>
      </c>
      <c r="N202" s="972" t="s">
        <v>1009</v>
      </c>
      <c r="P202" s="1018"/>
      <c r="Q202" s="1018"/>
      <c r="R202" s="1020"/>
    </row>
    <row r="203" spans="1:18" s="1011" customFormat="1" ht="30" customHeight="1">
      <c r="A203" s="1016"/>
      <c r="B203" s="972"/>
      <c r="C203" s="972"/>
      <c r="D203" s="972"/>
      <c r="E203" s="972"/>
      <c r="F203" s="972"/>
      <c r="G203" s="972"/>
      <c r="H203" s="972"/>
      <c r="I203" s="972"/>
      <c r="J203" s="976">
        <v>360</v>
      </c>
      <c r="K203" s="972"/>
      <c r="L203" s="972"/>
      <c r="M203" s="972"/>
      <c r="N203" s="972"/>
      <c r="O203" s="972"/>
      <c r="P203" s="972"/>
      <c r="Q203" s="1564"/>
      <c r="R203" s="1042"/>
    </row>
    <row r="204" spans="1:18" s="1011" customFormat="1" ht="30" customHeight="1">
      <c r="A204" s="1016">
        <v>99</v>
      </c>
      <c r="B204" s="972" t="s">
        <v>564</v>
      </c>
      <c r="C204" s="972" t="s">
        <v>62</v>
      </c>
      <c r="D204" s="972"/>
      <c r="E204" s="972">
        <v>0</v>
      </c>
      <c r="F204" s="972">
        <v>0</v>
      </c>
      <c r="G204" s="972">
        <v>0</v>
      </c>
      <c r="H204" s="972">
        <v>0</v>
      </c>
      <c r="I204" s="972" t="s">
        <v>2736</v>
      </c>
      <c r="J204" s="976"/>
      <c r="K204" s="972"/>
      <c r="L204" s="972" t="s">
        <v>2919</v>
      </c>
      <c r="M204" s="972" t="s">
        <v>1009</v>
      </c>
      <c r="N204" s="972" t="s">
        <v>1009</v>
      </c>
      <c r="O204" s="972" t="s">
        <v>1009</v>
      </c>
      <c r="P204" s="972"/>
      <c r="Q204" s="1564"/>
      <c r="R204" s="1042"/>
    </row>
    <row r="205" spans="1:18" s="1011" customFormat="1" ht="30" customHeight="1">
      <c r="A205" s="1016"/>
      <c r="B205" s="972"/>
      <c r="C205" s="972"/>
      <c r="D205" s="972"/>
      <c r="E205" s="972"/>
      <c r="F205" s="972"/>
      <c r="G205" s="972"/>
      <c r="H205" s="972"/>
      <c r="I205" s="972"/>
      <c r="J205" s="976">
        <v>360</v>
      </c>
      <c r="K205" s="972"/>
      <c r="L205" s="972"/>
      <c r="M205" s="972"/>
      <c r="N205" s="972"/>
      <c r="O205" s="972"/>
      <c r="P205" s="972"/>
      <c r="Q205" s="1564"/>
      <c r="R205" s="1042"/>
    </row>
    <row r="206" spans="1:18" s="1011" customFormat="1" ht="30" customHeight="1">
      <c r="A206" s="1016">
        <v>100</v>
      </c>
      <c r="B206" s="972" t="s">
        <v>2004</v>
      </c>
      <c r="C206" s="972" t="s">
        <v>76</v>
      </c>
      <c r="D206" s="972"/>
      <c r="E206" s="972">
        <v>0</v>
      </c>
      <c r="F206" s="972">
        <v>0</v>
      </c>
      <c r="G206" s="972">
        <v>0</v>
      </c>
      <c r="H206" s="972">
        <v>0</v>
      </c>
      <c r="I206" s="972" t="s">
        <v>2736</v>
      </c>
      <c r="J206" s="976"/>
      <c r="K206" s="972"/>
      <c r="L206" s="972" t="s">
        <v>2919</v>
      </c>
      <c r="M206" s="972" t="s">
        <v>1009</v>
      </c>
      <c r="N206" s="972" t="s">
        <v>1009</v>
      </c>
      <c r="O206" s="1018" t="s">
        <v>1009</v>
      </c>
      <c r="P206" s="972"/>
      <c r="Q206" s="1564"/>
      <c r="R206" s="1042"/>
    </row>
    <row r="207" spans="1:18" s="1011" customFormat="1" ht="30" customHeight="1">
      <c r="A207" s="1016"/>
      <c r="B207" s="972"/>
      <c r="C207" s="972"/>
      <c r="D207" s="972"/>
      <c r="E207" s="972"/>
      <c r="F207" s="972"/>
      <c r="G207" s="972"/>
      <c r="H207" s="972"/>
      <c r="I207" s="972"/>
      <c r="J207" s="976">
        <v>359.49599999999998</v>
      </c>
      <c r="K207" s="972"/>
      <c r="L207" s="972"/>
      <c r="M207" s="972"/>
      <c r="N207" s="972"/>
      <c r="O207" s="972"/>
      <c r="P207" s="972"/>
      <c r="Q207" s="1564"/>
      <c r="R207" s="1042"/>
    </row>
    <row r="208" spans="1:18" s="1011" customFormat="1" ht="30" customHeight="1">
      <c r="A208" s="1016">
        <v>101</v>
      </c>
      <c r="B208" s="972" t="s">
        <v>3066</v>
      </c>
      <c r="C208" s="972" t="s">
        <v>1269</v>
      </c>
      <c r="D208" s="972" t="s">
        <v>2008</v>
      </c>
      <c r="E208" s="972">
        <v>0</v>
      </c>
      <c r="F208" s="972">
        <v>0</v>
      </c>
      <c r="G208" s="972">
        <v>0</v>
      </c>
      <c r="H208" s="972">
        <v>0</v>
      </c>
      <c r="I208" s="972" t="s">
        <v>897</v>
      </c>
      <c r="J208" s="976"/>
      <c r="K208" s="1018">
        <f>J203+J205+J207</f>
        <v>1079.4960000000001</v>
      </c>
      <c r="L208" s="1018" t="s">
        <v>2919</v>
      </c>
      <c r="M208" s="1018" t="s">
        <v>1009</v>
      </c>
      <c r="N208" s="1018"/>
      <c r="O208" s="1018"/>
      <c r="P208" s="1018"/>
      <c r="Q208" s="1018"/>
      <c r="R208" s="1020"/>
    </row>
    <row r="209" spans="1:18" s="1011" customFormat="1" ht="30" customHeight="1">
      <c r="A209" s="1016"/>
      <c r="B209" s="972"/>
      <c r="C209" s="972"/>
      <c r="D209" s="972"/>
      <c r="E209" s="972"/>
      <c r="F209" s="972"/>
      <c r="G209" s="972"/>
      <c r="H209" s="972"/>
      <c r="I209" s="972"/>
      <c r="J209" s="976">
        <v>350.73899999999998</v>
      </c>
      <c r="K209" s="972"/>
      <c r="L209" s="972"/>
      <c r="M209" s="972"/>
      <c r="N209" s="972"/>
      <c r="O209" s="972"/>
      <c r="P209" s="972"/>
      <c r="Q209" s="1564"/>
      <c r="R209" s="1042"/>
    </row>
    <row r="210" spans="1:18" s="1011" customFormat="1" ht="30" customHeight="1">
      <c r="A210" s="1016">
        <v>102</v>
      </c>
      <c r="B210" s="972" t="s">
        <v>985</v>
      </c>
      <c r="C210" s="972" t="s">
        <v>76</v>
      </c>
      <c r="D210" s="972"/>
      <c r="E210" s="972">
        <v>0</v>
      </c>
      <c r="F210" s="972">
        <v>0</v>
      </c>
      <c r="G210" s="972">
        <v>0</v>
      </c>
      <c r="H210" s="972">
        <v>0</v>
      </c>
      <c r="I210" s="972" t="s">
        <v>2736</v>
      </c>
      <c r="J210" s="976"/>
      <c r="K210" s="972"/>
      <c r="L210" s="972" t="s">
        <v>2919</v>
      </c>
      <c r="M210" s="972" t="s">
        <v>1009</v>
      </c>
      <c r="N210" s="972" t="s">
        <v>1009</v>
      </c>
      <c r="O210" s="972" t="s">
        <v>1009</v>
      </c>
      <c r="P210" s="972"/>
      <c r="Q210" s="1564"/>
      <c r="R210" s="1042"/>
    </row>
    <row r="211" spans="1:18" s="1011" customFormat="1" ht="30" customHeight="1">
      <c r="A211" s="1016"/>
      <c r="B211" s="972"/>
      <c r="C211" s="972"/>
      <c r="D211" s="972"/>
      <c r="E211" s="972"/>
      <c r="F211" s="972"/>
      <c r="G211" s="972"/>
      <c r="H211" s="972"/>
      <c r="I211" s="972"/>
      <c r="J211" s="976">
        <v>337.89100000000002</v>
      </c>
      <c r="K211" s="972"/>
      <c r="L211" s="972"/>
      <c r="M211" s="972"/>
      <c r="N211" s="972"/>
      <c r="O211" s="972"/>
      <c r="P211" s="972"/>
      <c r="Q211" s="1564"/>
      <c r="R211" s="1042"/>
    </row>
    <row r="212" spans="1:18" s="1011" customFormat="1" ht="30" customHeight="1">
      <c r="A212" s="1016">
        <v>103</v>
      </c>
      <c r="B212" s="972" t="s">
        <v>777</v>
      </c>
      <c r="C212" s="972" t="s">
        <v>76</v>
      </c>
      <c r="D212" s="972"/>
      <c r="E212" s="972">
        <v>0</v>
      </c>
      <c r="F212" s="972">
        <v>0</v>
      </c>
      <c r="G212" s="972">
        <v>0</v>
      </c>
      <c r="H212" s="972">
        <v>0</v>
      </c>
      <c r="I212" s="972" t="s">
        <v>3287</v>
      </c>
      <c r="J212" s="976"/>
      <c r="K212" s="972"/>
      <c r="L212" s="972" t="s">
        <v>2919</v>
      </c>
      <c r="M212" s="972" t="s">
        <v>1009</v>
      </c>
      <c r="N212" s="972" t="s">
        <v>1009</v>
      </c>
      <c r="O212" s="972" t="s">
        <v>1009</v>
      </c>
      <c r="P212" s="972"/>
      <c r="Q212" s="1564"/>
      <c r="R212" s="1042"/>
    </row>
    <row r="213" spans="1:18" s="1011" customFormat="1" ht="30" customHeight="1">
      <c r="A213" s="1016"/>
      <c r="B213" s="972"/>
      <c r="C213" s="972"/>
      <c r="D213" s="972"/>
      <c r="E213" s="972"/>
      <c r="F213" s="972"/>
      <c r="G213" s="972"/>
      <c r="H213" s="972"/>
      <c r="I213" s="972"/>
      <c r="J213" s="976">
        <v>331.00099999999998</v>
      </c>
      <c r="K213" s="972"/>
      <c r="L213" s="972"/>
      <c r="M213" s="972"/>
      <c r="N213" s="972"/>
      <c r="O213" s="972"/>
      <c r="P213" s="972"/>
      <c r="Q213" s="1564"/>
      <c r="R213" s="1042"/>
    </row>
    <row r="214" spans="1:18" s="1011" customFormat="1" ht="30" customHeight="1">
      <c r="A214" s="1016">
        <v>104</v>
      </c>
      <c r="B214" s="972" t="s">
        <v>786</v>
      </c>
      <c r="C214" s="972" t="s">
        <v>76</v>
      </c>
      <c r="D214" s="972"/>
      <c r="E214" s="972">
        <v>0</v>
      </c>
      <c r="F214" s="972">
        <v>0</v>
      </c>
      <c r="G214" s="972">
        <v>0</v>
      </c>
      <c r="H214" s="972">
        <v>0</v>
      </c>
      <c r="I214" s="972" t="s">
        <v>897</v>
      </c>
      <c r="J214" s="976"/>
      <c r="K214" s="972"/>
      <c r="L214" s="972" t="s">
        <v>2919</v>
      </c>
      <c r="M214" s="972" t="s">
        <v>1009</v>
      </c>
      <c r="N214" s="972" t="s">
        <v>1009</v>
      </c>
      <c r="O214" s="972" t="s">
        <v>1009</v>
      </c>
      <c r="P214" s="972"/>
      <c r="Q214" s="1564"/>
      <c r="R214" s="1042"/>
    </row>
    <row r="215" spans="1:18" s="1011" customFormat="1" ht="30" customHeight="1">
      <c r="A215" s="1016"/>
      <c r="B215" s="972"/>
      <c r="C215" s="972"/>
      <c r="D215" s="972"/>
      <c r="E215" s="972"/>
      <c r="F215" s="972"/>
      <c r="G215" s="972"/>
      <c r="H215" s="972"/>
      <c r="I215" s="972"/>
      <c r="J215" s="976">
        <v>360.36900000000003</v>
      </c>
      <c r="K215" s="972"/>
      <c r="L215" s="972"/>
      <c r="M215" s="972"/>
      <c r="N215" s="972"/>
      <c r="O215" s="972"/>
      <c r="P215" s="972"/>
      <c r="Q215" s="1564"/>
      <c r="R215" s="1042"/>
    </row>
    <row r="216" spans="1:18" s="1011" customFormat="1" ht="30" customHeight="1">
      <c r="A216" s="1016">
        <v>105</v>
      </c>
      <c r="B216" s="972" t="s">
        <v>800</v>
      </c>
      <c r="C216" s="972" t="s">
        <v>76</v>
      </c>
      <c r="D216" s="972"/>
      <c r="E216" s="972">
        <v>0</v>
      </c>
      <c r="F216" s="972">
        <v>0</v>
      </c>
      <c r="G216" s="972">
        <v>0</v>
      </c>
      <c r="H216" s="972">
        <v>0</v>
      </c>
      <c r="I216" s="972" t="s">
        <v>897</v>
      </c>
      <c r="J216" s="976"/>
      <c r="K216" s="972"/>
      <c r="L216" s="972" t="s">
        <v>2919</v>
      </c>
      <c r="M216" s="972" t="s">
        <v>1009</v>
      </c>
      <c r="N216" s="972" t="s">
        <v>1009</v>
      </c>
      <c r="O216" s="972" t="s">
        <v>1009</v>
      </c>
      <c r="P216" s="972"/>
      <c r="Q216" s="1564"/>
      <c r="R216" s="1042"/>
    </row>
    <row r="217" spans="1:18" s="1011" customFormat="1" ht="30" customHeight="1">
      <c r="A217" s="1016"/>
      <c r="B217" s="972"/>
      <c r="C217" s="972"/>
      <c r="D217" s="972"/>
      <c r="E217" s="972"/>
      <c r="F217" s="972"/>
      <c r="G217" s="972"/>
      <c r="H217" s="972"/>
      <c r="I217" s="972"/>
      <c r="J217" s="976">
        <v>425</v>
      </c>
      <c r="K217" s="972"/>
      <c r="L217" s="972"/>
      <c r="M217" s="972"/>
      <c r="N217" s="972"/>
      <c r="O217" s="972"/>
      <c r="P217" s="972"/>
      <c r="Q217" s="1564"/>
      <c r="R217" s="1042"/>
    </row>
    <row r="218" spans="1:18" s="1011" customFormat="1" ht="30" customHeight="1">
      <c r="A218" s="1016">
        <v>106</v>
      </c>
      <c r="B218" s="972" t="s">
        <v>2009</v>
      </c>
      <c r="C218" s="972" t="s">
        <v>53</v>
      </c>
      <c r="D218" s="972"/>
      <c r="E218" s="972">
        <v>0</v>
      </c>
      <c r="F218" s="972">
        <v>0</v>
      </c>
      <c r="G218" s="972">
        <v>0</v>
      </c>
      <c r="H218" s="972">
        <v>0</v>
      </c>
      <c r="I218" s="972" t="s">
        <v>897</v>
      </c>
      <c r="J218" s="976"/>
      <c r="K218" s="972"/>
      <c r="L218" s="972" t="s">
        <v>2919</v>
      </c>
      <c r="M218" s="972" t="s">
        <v>1009</v>
      </c>
      <c r="N218" s="972" t="s">
        <v>1009</v>
      </c>
      <c r="O218" s="972" t="s">
        <v>1009</v>
      </c>
      <c r="P218" s="972"/>
      <c r="Q218" s="1564"/>
      <c r="R218" s="1042"/>
    </row>
    <row r="219" spans="1:18" s="1011" customFormat="1" ht="30" customHeight="1">
      <c r="A219" s="1016"/>
      <c r="B219" s="972"/>
      <c r="C219" s="972"/>
      <c r="D219" s="972"/>
      <c r="E219" s="972"/>
      <c r="F219" s="972"/>
      <c r="G219" s="972"/>
      <c r="H219" s="972"/>
      <c r="I219" s="972"/>
      <c r="J219" s="976">
        <v>411.44799999999998</v>
      </c>
      <c r="K219" s="972"/>
      <c r="L219" s="972"/>
      <c r="M219" s="972"/>
      <c r="N219" s="972"/>
      <c r="O219" s="972"/>
      <c r="P219" s="972"/>
      <c r="Q219" s="1564"/>
      <c r="R219" s="1042"/>
    </row>
    <row r="220" spans="1:18" s="1011" customFormat="1" ht="30" customHeight="1">
      <c r="A220" s="1016">
        <v>107</v>
      </c>
      <c r="B220" s="972" t="s">
        <v>3067</v>
      </c>
      <c r="C220" s="972" t="s">
        <v>1269</v>
      </c>
      <c r="D220" s="972" t="s">
        <v>2012</v>
      </c>
      <c r="E220" s="972">
        <v>0</v>
      </c>
      <c r="F220" s="972">
        <v>0</v>
      </c>
      <c r="G220" s="972">
        <v>0</v>
      </c>
      <c r="H220" s="972">
        <v>0</v>
      </c>
      <c r="I220" s="972"/>
      <c r="J220" s="976"/>
      <c r="K220" s="1018">
        <f>J209+J211+J213+J215+J217+J219</f>
        <v>2216.4479999999999</v>
      </c>
      <c r="L220" s="1018" t="s">
        <v>2919</v>
      </c>
      <c r="M220" s="1018" t="s">
        <v>22</v>
      </c>
      <c r="N220" s="1018"/>
      <c r="O220" s="1018"/>
      <c r="P220" s="1018"/>
      <c r="Q220" s="1018"/>
      <c r="R220" s="1020"/>
    </row>
    <row r="221" spans="1:18" s="1011" customFormat="1" ht="30" customHeight="1">
      <c r="A221" s="1016"/>
      <c r="B221" s="972"/>
      <c r="C221" s="972"/>
      <c r="D221" s="972"/>
      <c r="E221" s="972"/>
      <c r="F221" s="972"/>
      <c r="G221" s="972"/>
      <c r="H221" s="972"/>
      <c r="I221" s="972"/>
      <c r="J221" s="976">
        <v>298</v>
      </c>
      <c r="K221" s="972"/>
      <c r="L221" s="972"/>
      <c r="M221" s="972"/>
      <c r="N221" s="972"/>
      <c r="O221" s="972"/>
      <c r="P221" s="972"/>
      <c r="Q221" s="1564"/>
      <c r="R221" s="1042"/>
    </row>
    <row r="222" spans="1:18" s="1011" customFormat="1" ht="30" customHeight="1">
      <c r="A222" s="1016">
        <v>108</v>
      </c>
      <c r="B222" s="972" t="s">
        <v>562</v>
      </c>
      <c r="C222" s="972" t="s">
        <v>76</v>
      </c>
      <c r="D222" s="972"/>
      <c r="E222" s="972">
        <v>1</v>
      </c>
      <c r="F222" s="972">
        <v>1</v>
      </c>
      <c r="G222" s="972">
        <v>1</v>
      </c>
      <c r="H222" s="972">
        <v>1</v>
      </c>
      <c r="I222" s="972" t="s">
        <v>2736</v>
      </c>
      <c r="J222" s="976"/>
      <c r="K222" s="972"/>
      <c r="L222" s="972" t="s">
        <v>2919</v>
      </c>
      <c r="M222" s="972" t="s">
        <v>1009</v>
      </c>
      <c r="N222" s="972"/>
      <c r="O222" s="972"/>
      <c r="P222" s="972"/>
      <c r="Q222" s="1564"/>
      <c r="R222" s="1042"/>
    </row>
    <row r="223" spans="1:18" s="1011" customFormat="1" ht="30" customHeight="1">
      <c r="A223" s="1016"/>
      <c r="B223" s="972"/>
      <c r="C223" s="972"/>
      <c r="D223" s="972"/>
      <c r="E223" s="972"/>
      <c r="F223" s="972"/>
      <c r="G223" s="972"/>
      <c r="H223" s="972"/>
      <c r="I223" s="972"/>
      <c r="J223" s="976">
        <v>349</v>
      </c>
      <c r="K223" s="972"/>
      <c r="L223" s="972"/>
      <c r="M223" s="972"/>
      <c r="N223" s="972"/>
      <c r="O223" s="972"/>
      <c r="P223" s="972"/>
      <c r="Q223" s="1564"/>
      <c r="R223" s="1042"/>
    </row>
    <row r="224" spans="1:18" s="1011" customFormat="1" ht="30" customHeight="1">
      <c r="A224" s="1016">
        <v>109</v>
      </c>
      <c r="B224" s="972" t="s">
        <v>322</v>
      </c>
      <c r="C224" s="972" t="s">
        <v>76</v>
      </c>
      <c r="D224" s="972"/>
      <c r="E224" s="972">
        <v>0</v>
      </c>
      <c r="F224" s="972">
        <v>0</v>
      </c>
      <c r="G224" s="972">
        <v>0</v>
      </c>
      <c r="H224" s="972">
        <v>0</v>
      </c>
      <c r="I224" s="972"/>
      <c r="J224" s="976"/>
      <c r="K224" s="972"/>
      <c r="L224" s="972" t="s">
        <v>2919</v>
      </c>
      <c r="M224" s="972"/>
      <c r="N224" s="972"/>
      <c r="O224" s="972"/>
      <c r="P224" s="972"/>
      <c r="Q224" s="1564"/>
      <c r="R224" s="1042"/>
    </row>
    <row r="225" spans="1:18" s="1011" customFormat="1" ht="30" customHeight="1">
      <c r="A225" s="1016"/>
      <c r="B225" s="972"/>
      <c r="C225" s="972"/>
      <c r="D225" s="972"/>
      <c r="E225" s="972"/>
      <c r="F225" s="972"/>
      <c r="G225" s="972"/>
      <c r="H225" s="972"/>
      <c r="I225" s="972"/>
      <c r="J225" s="976">
        <v>350</v>
      </c>
      <c r="K225" s="972"/>
      <c r="L225" s="972"/>
      <c r="M225" s="972"/>
      <c r="N225" s="972"/>
      <c r="O225" s="972"/>
      <c r="P225" s="972"/>
      <c r="Q225" s="1564"/>
      <c r="R225" s="1042"/>
    </row>
    <row r="226" spans="1:18" s="1011" customFormat="1" ht="30" customHeight="1">
      <c r="A226" s="1016">
        <v>110</v>
      </c>
      <c r="B226" s="972" t="s">
        <v>336</v>
      </c>
      <c r="C226" s="972" t="s">
        <v>76</v>
      </c>
      <c r="D226" s="972"/>
      <c r="E226" s="972">
        <v>0</v>
      </c>
      <c r="F226" s="972">
        <v>0</v>
      </c>
      <c r="G226" s="972">
        <v>0</v>
      </c>
      <c r="H226" s="972">
        <v>0</v>
      </c>
      <c r="I226" s="972"/>
      <c r="J226" s="976"/>
      <c r="K226" s="972"/>
      <c r="L226" s="972"/>
      <c r="M226" s="972"/>
      <c r="N226" s="972"/>
      <c r="O226" s="972"/>
      <c r="P226" s="972"/>
      <c r="Q226" s="1564"/>
      <c r="R226" s="1042"/>
    </row>
    <row r="227" spans="1:18" s="1011" customFormat="1" ht="30" customHeight="1">
      <c r="A227" s="1016"/>
      <c r="B227" s="972"/>
      <c r="C227" s="972"/>
      <c r="D227" s="972"/>
      <c r="E227" s="972"/>
      <c r="F227" s="972"/>
      <c r="G227" s="972"/>
      <c r="H227" s="972"/>
      <c r="I227" s="972"/>
      <c r="J227" s="976">
        <v>363.36399999999998</v>
      </c>
      <c r="K227" s="972"/>
      <c r="L227" s="972"/>
      <c r="M227" s="972"/>
      <c r="N227" s="972"/>
      <c r="O227" s="972"/>
      <c r="P227" s="972"/>
      <c r="Q227" s="1564"/>
      <c r="R227" s="1042"/>
    </row>
    <row r="228" spans="1:18" s="1011" customFormat="1" ht="30" customHeight="1">
      <c r="A228" s="1016">
        <v>111</v>
      </c>
      <c r="B228" s="972" t="s">
        <v>3068</v>
      </c>
      <c r="C228" s="972" t="s">
        <v>1269</v>
      </c>
      <c r="D228" s="972" t="s">
        <v>2017</v>
      </c>
      <c r="E228" s="972">
        <v>0</v>
      </c>
      <c r="F228" s="972">
        <v>0</v>
      </c>
      <c r="G228" s="972">
        <v>0</v>
      </c>
      <c r="H228" s="972">
        <v>0</v>
      </c>
      <c r="I228" s="972"/>
      <c r="J228" s="976"/>
      <c r="K228" s="1018">
        <f>J221+J223+J225+J227</f>
        <v>1360.364</v>
      </c>
      <c r="L228" s="1018"/>
      <c r="M228" s="1018"/>
      <c r="N228" s="1018"/>
      <c r="O228" s="1018"/>
      <c r="P228" s="1018"/>
      <c r="Q228" s="1018"/>
      <c r="R228" s="1020"/>
    </row>
    <row r="229" spans="1:18" s="1011" customFormat="1" ht="30" customHeight="1">
      <c r="A229" s="1016"/>
      <c r="B229" s="972"/>
      <c r="C229" s="972"/>
      <c r="D229" s="972"/>
      <c r="E229" s="972"/>
      <c r="F229" s="972"/>
      <c r="G229" s="972"/>
      <c r="H229" s="972"/>
      <c r="I229" s="972"/>
      <c r="J229" s="976">
        <v>371.50400000000002</v>
      </c>
      <c r="K229" s="1018"/>
      <c r="L229" s="1018"/>
      <c r="M229" s="1018"/>
      <c r="N229" s="1018"/>
      <c r="O229" s="1018"/>
      <c r="P229" s="1018"/>
      <c r="Q229" s="1018"/>
      <c r="R229" s="1020"/>
    </row>
    <row r="230" spans="1:18" s="1011" customFormat="1" ht="30" customHeight="1">
      <c r="A230" s="1016">
        <v>112</v>
      </c>
      <c r="B230" s="972" t="s">
        <v>3069</v>
      </c>
      <c r="C230" s="972" t="s">
        <v>1988</v>
      </c>
      <c r="D230" s="972" t="s">
        <v>2019</v>
      </c>
      <c r="E230" s="972">
        <v>2</v>
      </c>
      <c r="F230" s="972">
        <v>2</v>
      </c>
      <c r="G230" s="972">
        <v>2</v>
      </c>
      <c r="H230" s="972">
        <v>2</v>
      </c>
      <c r="I230" s="972"/>
      <c r="J230" s="976"/>
      <c r="K230" s="1018">
        <f>J229</f>
        <v>371.50400000000002</v>
      </c>
      <c r="L230" s="1018"/>
      <c r="M230" s="1018"/>
      <c r="N230" s="1018"/>
      <c r="O230" s="1018"/>
      <c r="P230" s="1018"/>
      <c r="Q230" s="1018"/>
      <c r="R230" s="1020"/>
    </row>
    <row r="231" spans="1:18" s="1011" customFormat="1" ht="30" customHeight="1">
      <c r="A231" s="1016"/>
      <c r="B231" s="972"/>
      <c r="C231" s="972"/>
      <c r="D231" s="972"/>
      <c r="E231" s="972"/>
      <c r="F231" s="972"/>
      <c r="G231" s="972"/>
      <c r="H231" s="972"/>
      <c r="I231" s="972"/>
      <c r="J231" s="976">
        <v>203.304</v>
      </c>
      <c r="K231" s="1018"/>
      <c r="L231" s="1018"/>
      <c r="M231" s="1018"/>
      <c r="N231" s="1018"/>
      <c r="O231" s="1018"/>
      <c r="P231" s="1018"/>
      <c r="Q231" s="1018"/>
      <c r="R231" s="1020" t="s">
        <v>3026</v>
      </c>
    </row>
    <row r="232" spans="1:18" s="1011" customFormat="1" ht="30" customHeight="1">
      <c r="A232" s="1016">
        <v>113</v>
      </c>
      <c r="B232" s="972" t="s">
        <v>3070</v>
      </c>
      <c r="C232" s="972" t="s">
        <v>1988</v>
      </c>
      <c r="D232" s="972" t="s">
        <v>2022</v>
      </c>
      <c r="E232" s="972">
        <v>2</v>
      </c>
      <c r="F232" s="972">
        <v>2</v>
      </c>
      <c r="G232" s="972">
        <v>2</v>
      </c>
      <c r="H232" s="972">
        <v>2</v>
      </c>
      <c r="I232" s="972"/>
      <c r="J232" s="976"/>
      <c r="K232" s="1018">
        <f>J231</f>
        <v>203.304</v>
      </c>
      <c r="L232" s="1018"/>
      <c r="M232" s="1018"/>
      <c r="N232" s="1018"/>
      <c r="O232" s="1018"/>
      <c r="P232" s="1018"/>
      <c r="Q232" s="1018"/>
      <c r="R232" s="1020"/>
    </row>
    <row r="233" spans="1:18" s="1011" customFormat="1" ht="30" customHeight="1">
      <c r="A233" s="1016"/>
      <c r="B233" s="972"/>
      <c r="C233" s="972"/>
      <c r="D233" s="972"/>
      <c r="E233" s="972"/>
      <c r="F233" s="972"/>
      <c r="G233" s="972"/>
      <c r="H233" s="972"/>
      <c r="I233" s="972"/>
      <c r="J233" s="976">
        <v>409.90800000000002</v>
      </c>
      <c r="K233" s="1018"/>
      <c r="L233" s="1018"/>
      <c r="M233" s="1018"/>
      <c r="N233" s="1018"/>
      <c r="O233" s="1018"/>
      <c r="P233" s="1018"/>
      <c r="Q233" s="1018"/>
      <c r="R233" s="1020"/>
    </row>
    <row r="234" spans="1:18" s="1011" customFormat="1" ht="30" customHeight="1">
      <c r="A234" s="1016">
        <v>114</v>
      </c>
      <c r="B234" s="972" t="s">
        <v>3071</v>
      </c>
      <c r="C234" s="972" t="s">
        <v>1277</v>
      </c>
      <c r="D234" s="972" t="s">
        <v>2026</v>
      </c>
      <c r="E234" s="972">
        <v>0</v>
      </c>
      <c r="F234" s="972">
        <v>0</v>
      </c>
      <c r="G234" s="972">
        <v>0</v>
      </c>
      <c r="H234" s="972">
        <v>0</v>
      </c>
      <c r="I234" s="972"/>
      <c r="J234" s="976"/>
      <c r="K234" s="1018">
        <f>J233</f>
        <v>409.90800000000002</v>
      </c>
      <c r="L234" s="1018"/>
      <c r="M234" s="1018"/>
      <c r="N234" s="1018"/>
      <c r="O234" s="1018"/>
      <c r="P234" s="1018"/>
      <c r="Q234" s="1018"/>
      <c r="R234" s="1020"/>
    </row>
    <row r="235" spans="1:18" s="1011" customFormat="1" ht="30" customHeight="1">
      <c r="A235" s="1016"/>
      <c r="B235" s="972"/>
      <c r="C235" s="972"/>
      <c r="D235" s="972"/>
      <c r="E235" s="972"/>
      <c r="F235" s="972"/>
      <c r="G235" s="972"/>
      <c r="H235" s="972"/>
      <c r="I235" s="972"/>
      <c r="J235" s="976">
        <v>412</v>
      </c>
      <c r="K235" s="972"/>
      <c r="L235" s="972"/>
      <c r="M235" s="972"/>
      <c r="N235" s="972"/>
      <c r="O235" s="972"/>
      <c r="P235" s="972"/>
      <c r="Q235" s="1564"/>
      <c r="R235" s="1042"/>
    </row>
    <row r="236" spans="1:18" s="1011" customFormat="1" ht="30" customHeight="1">
      <c r="A236" s="1016">
        <v>115</v>
      </c>
      <c r="B236" s="972" t="s">
        <v>2027</v>
      </c>
      <c r="C236" s="972" t="s">
        <v>62</v>
      </c>
      <c r="D236" s="972"/>
      <c r="E236" s="972">
        <v>0</v>
      </c>
      <c r="F236" s="972">
        <v>0</v>
      </c>
      <c r="G236" s="972">
        <v>0</v>
      </c>
      <c r="H236" s="972">
        <v>0</v>
      </c>
      <c r="I236" s="972"/>
      <c r="J236" s="976"/>
      <c r="K236" s="972"/>
      <c r="L236" s="972"/>
      <c r="M236" s="972"/>
      <c r="N236" s="972"/>
      <c r="O236" s="972"/>
      <c r="P236" s="972"/>
      <c r="Q236" s="1564"/>
      <c r="R236" s="1042"/>
    </row>
    <row r="237" spans="1:18" s="1011" customFormat="1" ht="30" customHeight="1">
      <c r="A237" s="1016"/>
      <c r="B237" s="972"/>
      <c r="C237" s="972"/>
      <c r="D237" s="972"/>
      <c r="E237" s="972"/>
      <c r="F237" s="972"/>
      <c r="G237" s="972"/>
      <c r="H237" s="972"/>
      <c r="I237" s="972"/>
      <c r="J237" s="976">
        <v>428</v>
      </c>
      <c r="K237" s="972"/>
      <c r="L237" s="972"/>
      <c r="M237" s="972"/>
      <c r="N237" s="972"/>
      <c r="O237" s="972"/>
      <c r="P237" s="972"/>
      <c r="Q237" s="1564"/>
      <c r="R237" s="1042"/>
    </row>
    <row r="238" spans="1:18" s="1011" customFormat="1" ht="30" customHeight="1">
      <c r="A238" s="1016">
        <v>116</v>
      </c>
      <c r="B238" s="972" t="s">
        <v>2030</v>
      </c>
      <c r="C238" s="972" t="s">
        <v>62</v>
      </c>
      <c r="D238" s="972"/>
      <c r="E238" s="972">
        <v>0</v>
      </c>
      <c r="F238" s="972">
        <v>0</v>
      </c>
      <c r="G238" s="972">
        <v>0</v>
      </c>
      <c r="H238" s="972">
        <v>0</v>
      </c>
      <c r="I238" s="972"/>
      <c r="J238" s="976"/>
      <c r="K238" s="972"/>
      <c r="L238" s="972"/>
      <c r="M238" s="972"/>
      <c r="N238" s="972"/>
      <c r="O238" s="972"/>
      <c r="P238" s="972"/>
      <c r="Q238" s="1564"/>
      <c r="R238" s="1042"/>
    </row>
    <row r="239" spans="1:18" s="1011" customFormat="1" ht="30" customHeight="1">
      <c r="A239" s="1016"/>
      <c r="B239" s="972"/>
      <c r="C239" s="972"/>
      <c r="D239" s="972"/>
      <c r="E239" s="972"/>
      <c r="F239" s="972"/>
      <c r="G239" s="972"/>
      <c r="H239" s="972"/>
      <c r="I239" s="972"/>
      <c r="J239" s="976">
        <v>409</v>
      </c>
      <c r="K239" s="972"/>
      <c r="L239" s="972"/>
      <c r="M239" s="972"/>
      <c r="N239" s="972"/>
      <c r="O239" s="972"/>
      <c r="P239" s="972"/>
      <c r="Q239" s="1564"/>
      <c r="R239" s="1042"/>
    </row>
    <row r="240" spans="1:18" s="1011" customFormat="1" ht="30" customHeight="1">
      <c r="A240" s="1016">
        <v>117</v>
      </c>
      <c r="B240" s="972" t="s">
        <v>2031</v>
      </c>
      <c r="C240" s="972" t="s">
        <v>62</v>
      </c>
      <c r="D240" s="972"/>
      <c r="E240" s="972">
        <v>0</v>
      </c>
      <c r="F240" s="972">
        <v>0</v>
      </c>
      <c r="G240" s="972">
        <v>0</v>
      </c>
      <c r="H240" s="972">
        <v>0</v>
      </c>
      <c r="I240" s="972" t="s">
        <v>3287</v>
      </c>
      <c r="J240" s="976"/>
      <c r="K240" s="972"/>
      <c r="L240" s="972" t="s">
        <v>2919</v>
      </c>
      <c r="M240" s="972" t="s">
        <v>1009</v>
      </c>
      <c r="N240" s="972" t="s">
        <v>1009</v>
      </c>
      <c r="O240" s="972"/>
      <c r="P240" s="972"/>
      <c r="Q240" s="1564"/>
      <c r="R240" s="1042"/>
    </row>
    <row r="241" spans="1:18" s="1011" customFormat="1" ht="30" customHeight="1">
      <c r="A241" s="1016"/>
      <c r="B241" s="972"/>
      <c r="C241" s="972"/>
      <c r="D241" s="972"/>
      <c r="E241" s="972"/>
      <c r="F241" s="972"/>
      <c r="G241" s="972"/>
      <c r="H241" s="972"/>
      <c r="I241" s="972"/>
      <c r="J241" s="976">
        <v>416</v>
      </c>
      <c r="K241" s="972"/>
      <c r="L241" s="972"/>
      <c r="M241" s="972"/>
      <c r="N241" s="972"/>
      <c r="O241" s="972"/>
      <c r="P241" s="972"/>
      <c r="Q241" s="1564"/>
      <c r="R241" s="1042"/>
    </row>
    <row r="242" spans="1:18" s="1011" customFormat="1" ht="30" customHeight="1">
      <c r="A242" s="1016">
        <v>118</v>
      </c>
      <c r="B242" s="972" t="s">
        <v>2032</v>
      </c>
      <c r="C242" s="972" t="s">
        <v>76</v>
      </c>
      <c r="D242" s="972"/>
      <c r="E242" s="972">
        <v>0</v>
      </c>
      <c r="F242" s="972">
        <v>0</v>
      </c>
      <c r="G242" s="972">
        <v>0</v>
      </c>
      <c r="H242" s="972">
        <v>0</v>
      </c>
      <c r="I242" s="972"/>
      <c r="J242" s="976"/>
      <c r="K242" s="972"/>
      <c r="L242" s="972"/>
      <c r="M242" s="972"/>
      <c r="N242" s="972"/>
      <c r="O242" s="972"/>
      <c r="P242" s="972"/>
      <c r="Q242" s="1564"/>
      <c r="R242" s="1042"/>
    </row>
    <row r="243" spans="1:18" s="1011" customFormat="1" ht="30" customHeight="1">
      <c r="A243" s="1016"/>
      <c r="B243" s="972"/>
      <c r="C243" s="972"/>
      <c r="D243" s="972"/>
      <c r="E243" s="972"/>
      <c r="F243" s="972"/>
      <c r="G243" s="972"/>
      <c r="H243" s="972"/>
      <c r="I243" s="972"/>
      <c r="J243" s="976">
        <v>397</v>
      </c>
      <c r="K243" s="972"/>
      <c r="L243" s="972"/>
      <c r="M243" s="972"/>
      <c r="N243" s="972"/>
      <c r="O243" s="972"/>
      <c r="P243" s="972"/>
      <c r="Q243" s="1564"/>
      <c r="R243" s="1042"/>
    </row>
    <row r="244" spans="1:18" s="1011" customFormat="1" ht="30" customHeight="1">
      <c r="A244" s="1016">
        <v>119</v>
      </c>
      <c r="B244" s="972" t="s">
        <v>2034</v>
      </c>
      <c r="C244" s="972" t="s">
        <v>76</v>
      </c>
      <c r="D244" s="972"/>
      <c r="E244" s="972">
        <v>0</v>
      </c>
      <c r="F244" s="972">
        <v>0</v>
      </c>
      <c r="G244" s="972">
        <v>0</v>
      </c>
      <c r="H244" s="972">
        <v>0</v>
      </c>
      <c r="I244" s="972"/>
      <c r="J244" s="976"/>
      <c r="K244" s="972"/>
      <c r="L244" s="972"/>
      <c r="M244" s="972"/>
      <c r="N244" s="972"/>
      <c r="O244" s="972"/>
      <c r="P244" s="972"/>
      <c r="Q244" s="1564"/>
      <c r="R244" s="1042"/>
    </row>
    <row r="245" spans="1:18" s="1011" customFormat="1" ht="30" customHeight="1">
      <c r="A245" s="1016"/>
      <c r="B245" s="972"/>
      <c r="C245" s="972"/>
      <c r="D245" s="972"/>
      <c r="E245" s="972"/>
      <c r="F245" s="972"/>
      <c r="G245" s="972"/>
      <c r="H245" s="972"/>
      <c r="I245" s="972"/>
      <c r="J245" s="976">
        <v>337</v>
      </c>
      <c r="K245" s="972"/>
      <c r="L245" s="972"/>
      <c r="M245" s="972"/>
      <c r="N245" s="972"/>
      <c r="O245" s="972"/>
      <c r="P245" s="972"/>
      <c r="Q245" s="1564"/>
      <c r="R245" s="1042"/>
    </row>
    <row r="246" spans="1:18" s="1011" customFormat="1" ht="30" customHeight="1">
      <c r="A246" s="1016">
        <v>120</v>
      </c>
      <c r="B246" s="972" t="s">
        <v>2036</v>
      </c>
      <c r="C246" s="972" t="s">
        <v>62</v>
      </c>
      <c r="D246" s="972"/>
      <c r="E246" s="972">
        <v>0</v>
      </c>
      <c r="F246" s="972">
        <v>0</v>
      </c>
      <c r="G246" s="972">
        <v>0</v>
      </c>
      <c r="H246" s="972">
        <v>0</v>
      </c>
      <c r="I246" s="972"/>
      <c r="J246" s="976"/>
      <c r="K246" s="972"/>
      <c r="L246" s="972"/>
      <c r="M246" s="972"/>
      <c r="N246" s="972"/>
      <c r="O246" s="972"/>
      <c r="P246" s="972"/>
      <c r="Q246" s="1564"/>
      <c r="R246" s="1042"/>
    </row>
    <row r="247" spans="1:18" s="1011" customFormat="1" ht="30" customHeight="1">
      <c r="A247" s="1016"/>
      <c r="B247" s="972"/>
      <c r="C247" s="972"/>
      <c r="D247" s="972"/>
      <c r="E247" s="972"/>
      <c r="F247" s="972"/>
      <c r="G247" s="972"/>
      <c r="H247" s="972"/>
      <c r="I247" s="972"/>
      <c r="J247" s="976">
        <v>451</v>
      </c>
      <c r="K247" s="972"/>
      <c r="L247" s="972"/>
      <c r="M247" s="972"/>
      <c r="N247" s="972"/>
      <c r="O247" s="972"/>
      <c r="P247" s="972"/>
      <c r="Q247" s="1564"/>
      <c r="R247" s="1042"/>
    </row>
    <row r="248" spans="1:18" s="1011" customFormat="1" ht="30" customHeight="1">
      <c r="A248" s="1016">
        <v>121</v>
      </c>
      <c r="B248" s="972" t="s">
        <v>2038</v>
      </c>
      <c r="C248" s="972" t="s">
        <v>53</v>
      </c>
      <c r="D248" s="972"/>
      <c r="E248" s="972">
        <v>0</v>
      </c>
      <c r="F248" s="972">
        <v>0</v>
      </c>
      <c r="G248" s="972">
        <v>0</v>
      </c>
      <c r="H248" s="972">
        <v>0</v>
      </c>
      <c r="I248" s="972" t="s">
        <v>897</v>
      </c>
      <c r="J248" s="976"/>
      <c r="K248" s="972"/>
      <c r="L248" s="972" t="s">
        <v>2919</v>
      </c>
      <c r="M248" s="972" t="s">
        <v>1009</v>
      </c>
      <c r="N248" s="972" t="s">
        <v>1009</v>
      </c>
      <c r="O248" s="972" t="s">
        <v>1009</v>
      </c>
      <c r="P248" s="972"/>
      <c r="Q248" s="1564"/>
      <c r="R248" s="1042"/>
    </row>
    <row r="249" spans="1:18" s="1011" customFormat="1" ht="30" customHeight="1">
      <c r="A249" s="1016"/>
      <c r="B249" s="972"/>
      <c r="C249" s="972"/>
      <c r="D249" s="972"/>
      <c r="E249" s="972"/>
      <c r="F249" s="972"/>
      <c r="G249" s="972"/>
      <c r="H249" s="972"/>
      <c r="I249" s="972"/>
      <c r="J249" s="976">
        <v>389</v>
      </c>
      <c r="K249" s="972"/>
      <c r="L249" s="972"/>
      <c r="M249" s="972"/>
      <c r="N249" s="972"/>
      <c r="O249" s="972"/>
      <c r="P249" s="972"/>
      <c r="Q249" s="1564"/>
      <c r="R249" s="1042"/>
    </row>
    <row r="250" spans="1:18" s="1011" customFormat="1" ht="30" customHeight="1">
      <c r="A250" s="1016">
        <v>122</v>
      </c>
      <c r="B250" s="972" t="s">
        <v>2040</v>
      </c>
      <c r="C250" s="972" t="s">
        <v>76</v>
      </c>
      <c r="D250" s="972"/>
      <c r="E250" s="972">
        <v>0</v>
      </c>
      <c r="F250" s="972">
        <v>0</v>
      </c>
      <c r="G250" s="972">
        <v>0</v>
      </c>
      <c r="H250" s="972">
        <v>0</v>
      </c>
      <c r="I250" s="972" t="s">
        <v>2736</v>
      </c>
      <c r="J250" s="976"/>
      <c r="K250" s="972"/>
      <c r="L250" s="972" t="s">
        <v>2919</v>
      </c>
      <c r="M250" s="972" t="s">
        <v>1009</v>
      </c>
      <c r="N250" s="972" t="s">
        <v>1009</v>
      </c>
      <c r="O250" s="972" t="s">
        <v>22</v>
      </c>
      <c r="P250" s="972"/>
      <c r="Q250" s="1564"/>
      <c r="R250" s="1042"/>
    </row>
    <row r="251" spans="1:18" s="1011" customFormat="1" ht="30" customHeight="1">
      <c r="A251" s="1016"/>
      <c r="B251" s="972"/>
      <c r="C251" s="972"/>
      <c r="D251" s="972"/>
      <c r="E251" s="972"/>
      <c r="F251" s="972"/>
      <c r="G251" s="972"/>
      <c r="H251" s="972"/>
      <c r="I251" s="972"/>
      <c r="J251" s="976">
        <v>395</v>
      </c>
      <c r="K251" s="972"/>
      <c r="L251" s="972"/>
      <c r="M251" s="972"/>
      <c r="N251" s="972"/>
      <c r="O251" s="972"/>
      <c r="P251" s="972"/>
      <c r="Q251" s="1564"/>
      <c r="R251" s="1042"/>
    </row>
    <row r="252" spans="1:18" s="1011" customFormat="1" ht="30" customHeight="1">
      <c r="A252" s="1016">
        <v>123</v>
      </c>
      <c r="B252" s="972" t="s">
        <v>2042</v>
      </c>
      <c r="C252" s="972" t="s">
        <v>76</v>
      </c>
      <c r="D252" s="972"/>
      <c r="E252" s="972">
        <v>0</v>
      </c>
      <c r="F252" s="972">
        <v>0</v>
      </c>
      <c r="G252" s="972">
        <v>0</v>
      </c>
      <c r="H252" s="972">
        <v>0</v>
      </c>
      <c r="I252" s="972"/>
      <c r="J252" s="976"/>
      <c r="K252" s="972"/>
      <c r="L252" s="972"/>
      <c r="M252" s="972"/>
      <c r="N252" s="972"/>
      <c r="O252" s="972"/>
      <c r="P252" s="972"/>
      <c r="Q252" s="1564"/>
      <c r="R252" s="1042"/>
    </row>
    <row r="253" spans="1:18" s="1011" customFormat="1" ht="30" customHeight="1">
      <c r="A253" s="1016"/>
      <c r="B253" s="972"/>
      <c r="C253" s="972"/>
      <c r="D253" s="972"/>
      <c r="E253" s="972"/>
      <c r="F253" s="972"/>
      <c r="G253" s="972"/>
      <c r="H253" s="972"/>
      <c r="I253" s="972"/>
      <c r="J253" s="976">
        <v>391</v>
      </c>
      <c r="K253" s="972"/>
      <c r="L253" s="972"/>
      <c r="M253" s="972"/>
      <c r="N253" s="972"/>
      <c r="O253" s="972"/>
      <c r="P253" s="972"/>
      <c r="Q253" s="1564"/>
      <c r="R253" s="1042"/>
    </row>
    <row r="254" spans="1:18" s="1011" customFormat="1" ht="30" customHeight="1">
      <c r="A254" s="1016">
        <v>124</v>
      </c>
      <c r="B254" s="972" t="s">
        <v>2044</v>
      </c>
      <c r="C254" s="972" t="s">
        <v>76</v>
      </c>
      <c r="D254" s="972"/>
      <c r="E254" s="972">
        <v>0</v>
      </c>
      <c r="F254" s="972">
        <v>0</v>
      </c>
      <c r="G254" s="972">
        <v>0</v>
      </c>
      <c r="H254" s="972">
        <v>0</v>
      </c>
      <c r="I254" s="972"/>
      <c r="J254" s="976"/>
      <c r="K254" s="972"/>
      <c r="L254" s="972"/>
      <c r="M254" s="972"/>
      <c r="N254" s="972"/>
      <c r="O254" s="972"/>
      <c r="P254" s="972"/>
      <c r="Q254" s="1564"/>
      <c r="R254" s="1042"/>
    </row>
    <row r="255" spans="1:18" s="1011" customFormat="1" ht="30" customHeight="1">
      <c r="A255" s="1016"/>
      <c r="B255" s="972"/>
      <c r="C255" s="972"/>
      <c r="D255" s="972"/>
      <c r="E255" s="972"/>
      <c r="F255" s="972"/>
      <c r="G255" s="972"/>
      <c r="H255" s="972"/>
      <c r="I255" s="972"/>
      <c r="J255" s="976">
        <v>425.90300000000002</v>
      </c>
      <c r="K255" s="972"/>
      <c r="L255" s="972"/>
      <c r="M255" s="972"/>
      <c r="N255" s="972"/>
      <c r="O255" s="972"/>
      <c r="P255" s="972"/>
      <c r="Q255" s="1564"/>
      <c r="R255" s="1042"/>
    </row>
    <row r="256" spans="1:18" s="1011" customFormat="1" ht="30" customHeight="1">
      <c r="A256" s="1016">
        <v>125</v>
      </c>
      <c r="B256" s="972" t="s">
        <v>3072</v>
      </c>
      <c r="C256" s="972" t="s">
        <v>1953</v>
      </c>
      <c r="D256" s="972"/>
      <c r="E256" s="972">
        <v>0</v>
      </c>
      <c r="F256" s="972">
        <v>0</v>
      </c>
      <c r="G256" s="972">
        <v>0</v>
      </c>
      <c r="H256" s="972">
        <v>0</v>
      </c>
      <c r="I256" s="972"/>
      <c r="J256" s="1040"/>
      <c r="K256" s="1018">
        <f>J235+J237+J239+J241+J243+J245+J247+J249+J251+J253+J255</f>
        <v>4450.9030000000002</v>
      </c>
      <c r="L256" s="1018"/>
      <c r="M256" s="1018"/>
      <c r="N256" s="1018"/>
      <c r="O256" s="1018"/>
      <c r="P256" s="1018"/>
      <c r="Q256" s="1018"/>
      <c r="R256" s="1020"/>
    </row>
    <row r="257" spans="2:10" ht="30" customHeight="1">
      <c r="J257" s="991">
        <f>SUM(J8:J256)/1000</f>
        <v>46.051480999999995</v>
      </c>
    </row>
    <row r="260" spans="2:10">
      <c r="B260" s="1075"/>
    </row>
    <row r="261" spans="2:10">
      <c r="B261" s="1076"/>
    </row>
    <row r="263" spans="2:10">
      <c r="B263" s="107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96" priority="3" operator="equal">
      <formula>"WIP"</formula>
    </cfRule>
    <cfRule type="cellIs" dxfId="3595" priority="4" operator="equal">
      <formula>"C"</formula>
    </cfRule>
  </conditionalFormatting>
  <conditionalFormatting sqref="B1:B1048576">
    <cfRule type="duplicateValues" dxfId="3594" priority="1"/>
  </conditionalFormatting>
  <conditionalFormatting sqref="L1:L1048576">
    <cfRule type="cellIs" dxfId="3593"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C1AB2-AE21-47FB-A05D-9237A5DB86C1}">
  <sheetPr>
    <tabColor rgb="FF0070C0"/>
  </sheetPr>
  <dimension ref="B2:K6"/>
  <sheetViews>
    <sheetView workbookViewId="0">
      <selection activeCell="B2" sqref="B2:K5"/>
    </sheetView>
  </sheetViews>
  <sheetFormatPr defaultRowHeight="14.5"/>
  <cols>
    <col min="2" max="2" width="4.6328125" style="2" bestFit="1" customWidth="1"/>
    <col min="3" max="3" width="15.54296875" style="2" bestFit="1" customWidth="1"/>
    <col min="4" max="5" width="8.7265625" style="2"/>
    <col min="6" max="6" width="13.08984375" style="2" customWidth="1"/>
    <col min="7" max="7" width="13.7265625" style="2" customWidth="1"/>
    <col min="9" max="10" width="14.7265625" customWidth="1"/>
    <col min="11" max="11" width="84.90625" customWidth="1"/>
  </cols>
  <sheetData>
    <row r="2" spans="2:11" ht="43.5">
      <c r="B2" s="33" t="s">
        <v>1782</v>
      </c>
      <c r="C2" s="33" t="s">
        <v>2401</v>
      </c>
      <c r="D2" s="33" t="s">
        <v>2704</v>
      </c>
      <c r="E2" s="33" t="s">
        <v>3475</v>
      </c>
      <c r="F2" s="466" t="s">
        <v>3476</v>
      </c>
      <c r="G2" s="466" t="s">
        <v>3477</v>
      </c>
      <c r="H2" s="466" t="s">
        <v>3478</v>
      </c>
      <c r="I2" s="466" t="s">
        <v>3479</v>
      </c>
      <c r="J2" s="466" t="s">
        <v>3483</v>
      </c>
      <c r="K2" s="466" t="s">
        <v>19</v>
      </c>
    </row>
    <row r="3" spans="2:11" ht="58">
      <c r="B3" s="33">
        <v>1</v>
      </c>
      <c r="C3" s="33" t="s">
        <v>2691</v>
      </c>
      <c r="D3" s="33" t="s">
        <v>2371</v>
      </c>
      <c r="E3" s="33">
        <v>137</v>
      </c>
      <c r="F3" s="33">
        <v>81</v>
      </c>
      <c r="G3" s="33">
        <v>51</v>
      </c>
      <c r="H3" s="33">
        <v>4</v>
      </c>
      <c r="I3" s="33">
        <f>F3-G3-H3</f>
        <v>26</v>
      </c>
      <c r="J3" s="33">
        <v>5</v>
      </c>
      <c r="K3" s="1216" t="s">
        <v>3481</v>
      </c>
    </row>
    <row r="4" spans="2:11" ht="72.5">
      <c r="B4" s="33">
        <f>B3+1</f>
        <v>2</v>
      </c>
      <c r="C4" s="33" t="s">
        <v>2691</v>
      </c>
      <c r="D4" s="33" t="s">
        <v>2376</v>
      </c>
      <c r="E4" s="33">
        <v>262</v>
      </c>
      <c r="F4" s="33">
        <v>154</v>
      </c>
      <c r="G4" s="33">
        <v>66</v>
      </c>
      <c r="H4" s="33">
        <v>6</v>
      </c>
      <c r="I4" s="33">
        <f>F4-G4-H4</f>
        <v>82</v>
      </c>
      <c r="J4" s="33">
        <v>7</v>
      </c>
      <c r="K4" s="1216" t="s">
        <v>3480</v>
      </c>
    </row>
    <row r="5" spans="2:11" s="367" customFormat="1" ht="43.5">
      <c r="B5" s="33">
        <f>B4+1</f>
        <v>3</v>
      </c>
      <c r="C5" s="33" t="s">
        <v>2835</v>
      </c>
      <c r="D5" s="33"/>
      <c r="E5" s="33">
        <v>116</v>
      </c>
      <c r="F5" s="33">
        <v>44</v>
      </c>
      <c r="G5" s="33">
        <v>2</v>
      </c>
      <c r="H5" s="33">
        <v>1</v>
      </c>
      <c r="I5" s="33">
        <f>F5-G5-H5</f>
        <v>41</v>
      </c>
      <c r="J5" s="33">
        <v>1</v>
      </c>
      <c r="K5" s="1216" t="s">
        <v>3482</v>
      </c>
    </row>
    <row r="6" spans="2:11">
      <c r="H6" s="2"/>
      <c r="I6" s="2"/>
      <c r="J6" s="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F86-7B8E-4DED-9E8A-D4CBE68C6738}">
  <sheetPr>
    <tabColor rgb="FF0070C0"/>
  </sheetPr>
  <dimension ref="A1:P15"/>
  <sheetViews>
    <sheetView workbookViewId="0"/>
  </sheetViews>
  <sheetFormatPr defaultRowHeight="14.5"/>
  <cols>
    <col min="2" max="2" width="4.6328125" bestFit="1" customWidth="1"/>
    <col min="3" max="3" width="9.81640625" bestFit="1" customWidth="1"/>
    <col min="5" max="5" width="10.90625" bestFit="1" customWidth="1"/>
    <col min="6" max="7" width="9.26953125" customWidth="1"/>
    <col min="8" max="11" width="10.36328125" customWidth="1"/>
    <col min="12" max="13" width="11.6328125" customWidth="1"/>
    <col min="14" max="14" width="44.08984375" bestFit="1" customWidth="1"/>
    <col min="15" max="15" width="10.90625" bestFit="1" customWidth="1"/>
    <col min="16" max="16" width="10" bestFit="1" customWidth="1"/>
  </cols>
  <sheetData>
    <row r="1" spans="1:16">
      <c r="B1" s="645" t="s">
        <v>37</v>
      </c>
    </row>
    <row r="2" spans="1:16">
      <c r="B2" s="651" t="s">
        <v>2739</v>
      </c>
    </row>
    <row r="3" spans="1:16">
      <c r="B3" s="651" t="s">
        <v>614</v>
      </c>
    </row>
    <row r="4" spans="1:16">
      <c r="A4" s="651"/>
      <c r="B4" s="651"/>
    </row>
    <row r="5" spans="1:16">
      <c r="B5" s="1411" t="s">
        <v>1782</v>
      </c>
      <c r="C5" s="1411" t="s">
        <v>1433</v>
      </c>
      <c r="D5" s="1412" t="s">
        <v>1869</v>
      </c>
      <c r="E5" s="1411" t="s">
        <v>3623</v>
      </c>
      <c r="F5" s="1411" t="s">
        <v>1418</v>
      </c>
      <c r="G5" s="1411"/>
      <c r="H5" s="1411" t="s">
        <v>1434</v>
      </c>
      <c r="I5" s="1411"/>
      <c r="J5" s="1411" t="s">
        <v>3630</v>
      </c>
      <c r="K5" s="1411"/>
      <c r="L5" s="1411" t="s">
        <v>1435</v>
      </c>
      <c r="M5" s="1411"/>
      <c r="N5" s="1411" t="s">
        <v>19</v>
      </c>
      <c r="O5" s="1411" t="s">
        <v>3419</v>
      </c>
      <c r="P5" s="1411" t="s">
        <v>1412</v>
      </c>
    </row>
    <row r="6" spans="1:16" ht="29" customHeight="1">
      <c r="B6" s="1411"/>
      <c r="C6" s="1411"/>
      <c r="D6" s="1412"/>
      <c r="E6" s="1411"/>
      <c r="F6" s="10" t="s">
        <v>1441</v>
      </c>
      <c r="G6" s="10" t="s">
        <v>3625</v>
      </c>
      <c r="H6" s="10" t="s">
        <v>1441</v>
      </c>
      <c r="I6" s="10" t="s">
        <v>3625</v>
      </c>
      <c r="J6" s="10" t="s">
        <v>1441</v>
      </c>
      <c r="K6" s="10" t="s">
        <v>3625</v>
      </c>
      <c r="L6" s="10" t="s">
        <v>1441</v>
      </c>
      <c r="M6" s="10" t="s">
        <v>3625</v>
      </c>
      <c r="N6" s="1411"/>
      <c r="O6" s="1411"/>
      <c r="P6" s="1411"/>
    </row>
    <row r="7" spans="1:16" s="367" customFormat="1" ht="27" customHeight="1">
      <c r="B7" s="143">
        <v>1</v>
      </c>
      <c r="C7" s="143" t="s">
        <v>1875</v>
      </c>
      <c r="D7" s="1320">
        <v>1.028</v>
      </c>
      <c r="E7" s="143" t="s">
        <v>3624</v>
      </c>
      <c r="F7" s="1321">
        <v>46183</v>
      </c>
      <c r="G7" s="1321">
        <v>46185</v>
      </c>
      <c r="H7" s="1321">
        <v>46190</v>
      </c>
      <c r="I7" s="1321">
        <v>46194</v>
      </c>
      <c r="J7" s="1321">
        <v>46190</v>
      </c>
      <c r="K7" s="1321">
        <v>46194</v>
      </c>
      <c r="L7" s="1321">
        <v>46196</v>
      </c>
      <c r="M7" s="1321">
        <v>46197</v>
      </c>
      <c r="N7" s="1322" t="s">
        <v>3651</v>
      </c>
      <c r="O7" s="33" t="s">
        <v>3580</v>
      </c>
      <c r="P7" s="1414">
        <v>32</v>
      </c>
    </row>
    <row r="8" spans="1:16" s="367" customFormat="1" ht="31.5" customHeight="1">
      <c r="B8" s="143">
        <f t="shared" ref="B8:B14" si="0">B7+1</f>
        <v>2</v>
      </c>
      <c r="C8" s="143" t="s">
        <v>1876</v>
      </c>
      <c r="D8" s="1320">
        <v>0.442</v>
      </c>
      <c r="E8" s="143" t="s">
        <v>3629</v>
      </c>
      <c r="F8" s="1321">
        <v>46187</v>
      </c>
      <c r="G8" s="1321">
        <v>46187</v>
      </c>
      <c r="H8" s="1321">
        <v>46187</v>
      </c>
      <c r="I8" s="1321">
        <v>46189</v>
      </c>
      <c r="J8" s="1321">
        <v>46187</v>
      </c>
      <c r="K8" s="1321">
        <v>46189</v>
      </c>
      <c r="L8" s="1321">
        <v>46190</v>
      </c>
      <c r="M8" s="1321">
        <v>46195</v>
      </c>
      <c r="N8" s="1322" t="s">
        <v>3651</v>
      </c>
      <c r="O8" s="33" t="s">
        <v>3580</v>
      </c>
      <c r="P8" s="1414"/>
    </row>
    <row r="9" spans="1:16" s="367" customFormat="1" ht="37" customHeight="1">
      <c r="B9" s="33">
        <f t="shared" si="0"/>
        <v>3</v>
      </c>
      <c r="C9" s="33" t="s">
        <v>2600</v>
      </c>
      <c r="D9" s="1173">
        <v>1.06</v>
      </c>
      <c r="E9" s="33" t="s">
        <v>3624</v>
      </c>
      <c r="F9" s="50">
        <v>46193</v>
      </c>
      <c r="G9" s="50">
        <v>46201</v>
      </c>
      <c r="H9" s="50">
        <v>46210</v>
      </c>
      <c r="I9" s="50">
        <v>46215</v>
      </c>
      <c r="J9" s="50">
        <v>46211</v>
      </c>
      <c r="K9" s="50">
        <v>46215</v>
      </c>
      <c r="L9" s="50">
        <v>46219</v>
      </c>
      <c r="M9" s="33"/>
      <c r="N9" s="1729" t="s">
        <v>3721</v>
      </c>
      <c r="O9" s="33" t="s">
        <v>3642</v>
      </c>
      <c r="P9" s="33">
        <v>25</v>
      </c>
    </row>
    <row r="10" spans="1:16" s="367" customFormat="1" ht="31.5" customHeight="1">
      <c r="B10" s="143">
        <f t="shared" si="0"/>
        <v>4</v>
      </c>
      <c r="C10" s="143" t="s">
        <v>1874</v>
      </c>
      <c r="D10" s="1320">
        <v>0.36599999999999999</v>
      </c>
      <c r="E10" s="143" t="s">
        <v>3629</v>
      </c>
      <c r="F10" s="1321">
        <v>46198</v>
      </c>
      <c r="G10" s="1321">
        <v>46199</v>
      </c>
      <c r="H10" s="1321">
        <v>46199</v>
      </c>
      <c r="I10" s="1321">
        <v>46208</v>
      </c>
      <c r="J10" s="1321">
        <v>46200</v>
      </c>
      <c r="K10" s="1321">
        <v>46208</v>
      </c>
      <c r="L10" s="1321">
        <v>46207</v>
      </c>
      <c r="M10" s="1321">
        <v>46209</v>
      </c>
      <c r="N10" s="1322" t="s">
        <v>3651</v>
      </c>
      <c r="O10" s="33" t="s">
        <v>3580</v>
      </c>
      <c r="P10" s="33">
        <v>35</v>
      </c>
    </row>
    <row r="11" spans="1:16" s="367" customFormat="1" ht="37" customHeight="1">
      <c r="B11" s="33">
        <f>B10+1</f>
        <v>5</v>
      </c>
      <c r="C11" s="1331" t="s">
        <v>1870</v>
      </c>
      <c r="D11" s="1173">
        <v>0.48599999999999999</v>
      </c>
      <c r="E11" s="1331" t="s">
        <v>3629</v>
      </c>
      <c r="F11" s="50">
        <v>46203</v>
      </c>
      <c r="G11" s="50">
        <v>46204</v>
      </c>
      <c r="H11" s="50">
        <v>46204</v>
      </c>
      <c r="I11" s="50">
        <v>46205</v>
      </c>
      <c r="J11" s="50">
        <v>46206</v>
      </c>
      <c r="K11" s="50">
        <v>46208</v>
      </c>
      <c r="L11" s="50"/>
      <c r="M11" s="33"/>
      <c r="N11" s="1339" t="s">
        <v>3684</v>
      </c>
      <c r="O11" s="33" t="s">
        <v>3642</v>
      </c>
      <c r="P11" s="33">
        <v>25</v>
      </c>
    </row>
    <row r="12" spans="1:16" s="367" customFormat="1" ht="37" customHeight="1">
      <c r="B12" s="33">
        <f t="shared" si="0"/>
        <v>6</v>
      </c>
      <c r="C12" s="1343" t="s">
        <v>1877</v>
      </c>
      <c r="D12" s="1173">
        <v>0.73899999999999999</v>
      </c>
      <c r="E12" s="1331" t="s">
        <v>3629</v>
      </c>
      <c r="F12" s="50">
        <v>46210</v>
      </c>
      <c r="G12" s="50">
        <v>46213</v>
      </c>
      <c r="H12" s="50">
        <v>46214</v>
      </c>
      <c r="I12" s="50">
        <v>46217</v>
      </c>
      <c r="J12" s="50">
        <v>46215</v>
      </c>
      <c r="K12" s="50">
        <v>46217</v>
      </c>
      <c r="L12" s="50"/>
      <c r="M12" s="33"/>
      <c r="N12" s="1339" t="s">
        <v>3684</v>
      </c>
      <c r="O12" s="1328" t="s">
        <v>3580</v>
      </c>
      <c r="P12" s="33">
        <v>35</v>
      </c>
    </row>
    <row r="13" spans="1:16" s="367" customFormat="1" ht="37" customHeight="1">
      <c r="B13" s="33">
        <f t="shared" si="0"/>
        <v>7</v>
      </c>
      <c r="C13" s="33" t="s">
        <v>2601</v>
      </c>
      <c r="D13" s="1173">
        <v>1.089</v>
      </c>
      <c r="E13" s="33" t="s">
        <v>3624</v>
      </c>
      <c r="F13" s="50">
        <v>46211</v>
      </c>
      <c r="G13" s="50">
        <v>46213</v>
      </c>
      <c r="H13" s="50">
        <v>46218</v>
      </c>
      <c r="I13" s="50"/>
      <c r="J13" s="50"/>
      <c r="K13" s="50"/>
      <c r="L13" s="50"/>
      <c r="M13" s="33"/>
      <c r="N13" s="1359" t="s">
        <v>3711</v>
      </c>
      <c r="O13" s="33" t="s">
        <v>3642</v>
      </c>
      <c r="P13" s="33">
        <v>25</v>
      </c>
    </row>
    <row r="14" spans="1:16" s="367" customFormat="1" ht="37" customHeight="1">
      <c r="B14" s="33">
        <f t="shared" si="0"/>
        <v>8</v>
      </c>
      <c r="C14" s="33" t="s">
        <v>1878</v>
      </c>
      <c r="D14" s="1173">
        <v>0.44600000000000001</v>
      </c>
      <c r="E14" s="33" t="s">
        <v>3629</v>
      </c>
      <c r="F14" s="50">
        <v>46218</v>
      </c>
      <c r="G14" s="50">
        <v>46219</v>
      </c>
      <c r="H14" s="50">
        <v>46218</v>
      </c>
      <c r="I14" s="50">
        <v>46219</v>
      </c>
      <c r="J14" s="50"/>
      <c r="K14" s="50"/>
      <c r="L14" s="50"/>
      <c r="M14" s="33"/>
      <c r="N14" s="1729" t="s">
        <v>3722</v>
      </c>
      <c r="O14" s="1328" t="s">
        <v>3580</v>
      </c>
      <c r="P14" s="33">
        <v>35</v>
      </c>
    </row>
    <row r="15" spans="1:16">
      <c r="D15" s="1346"/>
    </row>
  </sheetData>
  <mergeCells count="12">
    <mergeCell ref="P7:P8"/>
    <mergeCell ref="J5:K5"/>
    <mergeCell ref="B5:B6"/>
    <mergeCell ref="N5:N6"/>
    <mergeCell ref="O5:O6"/>
    <mergeCell ref="P5:P6"/>
    <mergeCell ref="F5:G5"/>
    <mergeCell ref="H5:I5"/>
    <mergeCell ref="L5:M5"/>
    <mergeCell ref="E5:E6"/>
    <mergeCell ref="D5:D6"/>
    <mergeCell ref="C5:C6"/>
  </mergeCells>
  <conditionalFormatting sqref="B4">
    <cfRule type="duplicateValues" dxfId="3592"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70C0"/>
  </sheetPr>
  <dimension ref="A1:K23"/>
  <sheetViews>
    <sheetView zoomScale="90" zoomScaleNormal="90" workbookViewId="0">
      <pane ySplit="6" topLeftCell="A15" activePane="bottomLeft" state="frozen"/>
      <selection activeCell="I87" sqref="I87"/>
      <selection pane="bottomLeft" activeCell="H17" sqref="H1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9.5429687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8" t="s">
        <v>38</v>
      </c>
      <c r="J1" s="699">
        <f>'TB-605'!E1</f>
        <v>46219</v>
      </c>
    </row>
    <row r="2" spans="1:11" ht="12.5">
      <c r="A2" s="651" t="s">
        <v>3344</v>
      </c>
      <c r="B2" s="652"/>
      <c r="C2" s="653"/>
      <c r="D2" s="653"/>
      <c r="E2" s="653"/>
      <c r="F2" s="653"/>
      <c r="H2" s="653"/>
    </row>
    <row r="3" spans="1:11" ht="12.5">
      <c r="A3" s="651" t="s">
        <v>3200</v>
      </c>
      <c r="B3" s="651"/>
      <c r="C3" s="654"/>
      <c r="D3" s="654"/>
      <c r="E3" s="654"/>
      <c r="F3" s="654"/>
      <c r="H3" s="654"/>
    </row>
    <row r="5" spans="1:11" s="661" customFormat="1" ht="17.5" customHeight="1">
      <c r="A5" s="1368" t="s">
        <v>1782</v>
      </c>
      <c r="B5" s="1368" t="s">
        <v>998</v>
      </c>
      <c r="C5" s="1368" t="s">
        <v>44</v>
      </c>
      <c r="D5" s="1562" t="s">
        <v>3199</v>
      </c>
      <c r="E5" s="1368" t="s">
        <v>1761</v>
      </c>
      <c r="F5" s="1562" t="s">
        <v>3234</v>
      </c>
      <c r="G5" s="1562" t="s">
        <v>3201</v>
      </c>
      <c r="H5" s="1368" t="s">
        <v>627</v>
      </c>
      <c r="I5" s="1368" t="s">
        <v>1762</v>
      </c>
      <c r="J5" s="1562" t="s">
        <v>1763</v>
      </c>
      <c r="K5" s="660" t="s">
        <v>1764</v>
      </c>
    </row>
    <row r="6" spans="1:11" s="661" customFormat="1" ht="17.5" customHeight="1">
      <c r="A6" s="1369"/>
      <c r="B6" s="1369"/>
      <c r="C6" s="1369"/>
      <c r="D6" s="1369"/>
      <c r="E6" s="1369"/>
      <c r="F6" s="1369"/>
      <c r="G6" s="1369"/>
      <c r="H6" s="1369"/>
      <c r="I6" s="1369"/>
      <c r="J6" s="1563"/>
      <c r="K6" s="660"/>
    </row>
    <row r="7" spans="1:11" s="1039" customFormat="1" ht="31" customHeight="1">
      <c r="A7" s="750">
        <v>1</v>
      </c>
      <c r="B7" s="751" t="s">
        <v>1659</v>
      </c>
      <c r="C7" s="750" t="s">
        <v>76</v>
      </c>
      <c r="D7" s="1123">
        <v>18.34</v>
      </c>
      <c r="E7" s="782"/>
      <c r="F7" s="752">
        <v>46099</v>
      </c>
      <c r="G7" s="752">
        <v>46105</v>
      </c>
      <c r="H7" s="750" t="s">
        <v>631</v>
      </c>
      <c r="I7" s="750" t="s">
        <v>3288</v>
      </c>
      <c r="J7" s="750">
        <v>18</v>
      </c>
      <c r="K7" s="860"/>
    </row>
    <row r="8" spans="1:11" s="1039" customFormat="1" ht="31" customHeight="1">
      <c r="A8" s="750">
        <f t="shared" ref="A8:A23" si="0">A7+1</f>
        <v>2</v>
      </c>
      <c r="B8" s="751" t="s">
        <v>3256</v>
      </c>
      <c r="C8" s="750" t="s">
        <v>1934</v>
      </c>
      <c r="D8" s="1123">
        <v>34.578000000000003</v>
      </c>
      <c r="E8" s="782"/>
      <c r="F8" s="752">
        <v>46105</v>
      </c>
      <c r="G8" s="752">
        <v>46112</v>
      </c>
      <c r="H8" s="750" t="s">
        <v>631</v>
      </c>
      <c r="I8" s="750" t="s">
        <v>3288</v>
      </c>
      <c r="J8" s="750">
        <v>23</v>
      </c>
      <c r="K8" s="860"/>
    </row>
    <row r="9" spans="1:11" s="1039" customFormat="1" ht="31" customHeight="1">
      <c r="A9" s="750">
        <f t="shared" si="0"/>
        <v>3</v>
      </c>
      <c r="B9" s="751" t="s">
        <v>3051</v>
      </c>
      <c r="C9" s="750" t="s">
        <v>1977</v>
      </c>
      <c r="D9" s="1123">
        <v>36.353999999999999</v>
      </c>
      <c r="E9" s="782"/>
      <c r="F9" s="752">
        <v>46121</v>
      </c>
      <c r="G9" s="752">
        <v>46163</v>
      </c>
      <c r="H9" s="750" t="s">
        <v>631</v>
      </c>
      <c r="I9" s="750" t="s">
        <v>3288</v>
      </c>
      <c r="J9" s="750">
        <v>18</v>
      </c>
      <c r="K9" s="860" t="s">
        <v>3576</v>
      </c>
    </row>
    <row r="10" spans="1:11" s="1039" customFormat="1" ht="31" customHeight="1">
      <c r="A10" s="750">
        <f t="shared" si="0"/>
        <v>4</v>
      </c>
      <c r="B10" s="751" t="s">
        <v>3050</v>
      </c>
      <c r="C10" s="750" t="s">
        <v>1319</v>
      </c>
      <c r="D10" s="1123">
        <v>42.225999999999999</v>
      </c>
      <c r="E10" s="782"/>
      <c r="F10" s="752">
        <v>46163</v>
      </c>
      <c r="G10" s="752">
        <v>46176</v>
      </c>
      <c r="H10" s="750" t="s">
        <v>631</v>
      </c>
      <c r="I10" s="750" t="s">
        <v>3288</v>
      </c>
      <c r="J10" s="750">
        <v>18</v>
      </c>
      <c r="K10" s="860"/>
    </row>
    <row r="11" spans="1:11" s="1039" customFormat="1" ht="31" customHeight="1">
      <c r="A11" s="750">
        <f t="shared" si="0"/>
        <v>5</v>
      </c>
      <c r="B11" s="751" t="s">
        <v>3049</v>
      </c>
      <c r="C11" s="750" t="s">
        <v>3113</v>
      </c>
      <c r="D11" s="1123"/>
      <c r="E11" s="782"/>
      <c r="F11" s="752">
        <v>46176</v>
      </c>
      <c r="G11" s="752">
        <v>46186</v>
      </c>
      <c r="H11" s="750" t="s">
        <v>631</v>
      </c>
      <c r="I11" s="750" t="s">
        <v>3288</v>
      </c>
      <c r="J11" s="750">
        <v>18</v>
      </c>
      <c r="K11" s="860"/>
    </row>
    <row r="12" spans="1:11" s="1039" customFormat="1" ht="31" customHeight="1">
      <c r="A12" s="750">
        <f t="shared" si="0"/>
        <v>6</v>
      </c>
      <c r="B12" s="751" t="s">
        <v>2423</v>
      </c>
      <c r="C12" s="750" t="s">
        <v>90</v>
      </c>
      <c r="D12" s="1123"/>
      <c r="E12" s="782"/>
      <c r="F12" s="752">
        <v>46094</v>
      </c>
      <c r="G12" s="752">
        <v>46200</v>
      </c>
      <c r="H12" s="750" t="s">
        <v>631</v>
      </c>
      <c r="I12" s="750" t="s">
        <v>3288</v>
      </c>
      <c r="J12" s="750">
        <v>18</v>
      </c>
      <c r="K12" s="860"/>
    </row>
    <row r="13" spans="1:11" s="1039" customFormat="1" ht="31" customHeight="1">
      <c r="A13" s="750">
        <f t="shared" si="0"/>
        <v>7</v>
      </c>
      <c r="B13" s="751" t="s">
        <v>1131</v>
      </c>
      <c r="C13" s="750" t="s">
        <v>1977</v>
      </c>
      <c r="D13" s="1123"/>
      <c r="E13" s="782"/>
      <c r="F13" s="752">
        <v>46200</v>
      </c>
      <c r="G13" s="752">
        <v>46215</v>
      </c>
      <c r="H13" s="750" t="s">
        <v>631</v>
      </c>
      <c r="I13" s="750" t="s">
        <v>3288</v>
      </c>
      <c r="J13" s="750">
        <v>20</v>
      </c>
      <c r="K13" s="860"/>
    </row>
    <row r="14" spans="1:11" s="1039" customFormat="1" ht="31" customHeight="1">
      <c r="A14" s="750">
        <f t="shared" si="0"/>
        <v>8</v>
      </c>
      <c r="B14" s="751" t="s">
        <v>3063</v>
      </c>
      <c r="C14" s="750" t="s">
        <v>2662</v>
      </c>
      <c r="D14" s="1123"/>
      <c r="E14" s="782"/>
      <c r="F14" s="752">
        <v>46201</v>
      </c>
      <c r="G14" s="752">
        <v>46210</v>
      </c>
      <c r="H14" s="750" t="s">
        <v>631</v>
      </c>
      <c r="I14" s="750" t="s">
        <v>3292</v>
      </c>
      <c r="J14" s="750">
        <v>22</v>
      </c>
      <c r="K14" s="860"/>
    </row>
    <row r="15" spans="1:11" s="1039" customFormat="1" ht="31" customHeight="1">
      <c r="A15" s="750">
        <f t="shared" si="0"/>
        <v>9</v>
      </c>
      <c r="B15" s="751" t="s">
        <v>2882</v>
      </c>
      <c r="C15" s="750" t="s">
        <v>2212</v>
      </c>
      <c r="D15" s="1123"/>
      <c r="E15" s="782"/>
      <c r="F15" s="752">
        <v>46202</v>
      </c>
      <c r="G15" s="752">
        <v>46212</v>
      </c>
      <c r="H15" s="750" t="s">
        <v>631</v>
      </c>
      <c r="I15" s="750" t="s">
        <v>3264</v>
      </c>
      <c r="J15" s="750">
        <v>24</v>
      </c>
      <c r="K15" s="860"/>
    </row>
    <row r="16" spans="1:11" s="1039" customFormat="1" ht="31" customHeight="1">
      <c r="A16" s="1012">
        <f t="shared" si="0"/>
        <v>10</v>
      </c>
      <c r="B16" s="1013" t="s">
        <v>2946</v>
      </c>
      <c r="C16" s="1012" t="s">
        <v>1953</v>
      </c>
      <c r="D16" s="1120"/>
      <c r="E16" s="1014"/>
      <c r="F16" s="1015">
        <v>46208</v>
      </c>
      <c r="G16" s="1015"/>
      <c r="H16" s="1012" t="s">
        <v>3663</v>
      </c>
      <c r="I16" s="1012" t="s">
        <v>3674</v>
      </c>
      <c r="J16" s="1012">
        <v>20</v>
      </c>
      <c r="K16" s="1059"/>
    </row>
    <row r="17" spans="1:11" s="1039" customFormat="1" ht="31" customHeight="1">
      <c r="A17" s="1012">
        <f t="shared" si="0"/>
        <v>11</v>
      </c>
      <c r="B17" s="1013" t="s">
        <v>2951</v>
      </c>
      <c r="C17" s="1012" t="s">
        <v>2212</v>
      </c>
      <c r="D17" s="1120"/>
      <c r="E17" s="1014"/>
      <c r="F17" s="1015">
        <v>46208</v>
      </c>
      <c r="G17" s="1015"/>
      <c r="H17" s="1012" t="s">
        <v>3723</v>
      </c>
      <c r="I17" s="1012" t="s">
        <v>3677</v>
      </c>
      <c r="J17" s="1012">
        <v>30</v>
      </c>
      <c r="K17" s="1059"/>
    </row>
    <row r="18" spans="1:11" s="1039" customFormat="1" ht="31" customHeight="1">
      <c r="A18" s="750">
        <f t="shared" si="0"/>
        <v>12</v>
      </c>
      <c r="B18" s="751" t="s">
        <v>3059</v>
      </c>
      <c r="C18" s="750" t="s">
        <v>1269</v>
      </c>
      <c r="D18" s="1123"/>
      <c r="E18" s="782"/>
      <c r="F18" s="752">
        <v>46208</v>
      </c>
      <c r="G18" s="752">
        <v>46218</v>
      </c>
      <c r="H18" s="750" t="s">
        <v>631</v>
      </c>
      <c r="I18" s="750" t="s">
        <v>3675</v>
      </c>
      <c r="J18" s="750">
        <v>22</v>
      </c>
      <c r="K18" s="860"/>
    </row>
    <row r="19" spans="1:11" s="1039" customFormat="1" ht="31" customHeight="1">
      <c r="A19" s="1012">
        <f t="shared" si="0"/>
        <v>13</v>
      </c>
      <c r="B19" s="1013" t="s">
        <v>2867</v>
      </c>
      <c r="C19" s="1012" t="s">
        <v>1319</v>
      </c>
      <c r="D19" s="1120"/>
      <c r="E19" s="1014"/>
      <c r="F19" s="1015">
        <v>46212</v>
      </c>
      <c r="G19" s="1015"/>
      <c r="H19" s="1012" t="s">
        <v>3663</v>
      </c>
      <c r="I19" s="1012" t="s">
        <v>3678</v>
      </c>
      <c r="J19" s="1012">
        <v>25</v>
      </c>
      <c r="K19" s="1059"/>
    </row>
    <row r="20" spans="1:11" s="1039" customFormat="1" ht="31" customHeight="1">
      <c r="A20" s="1012">
        <f t="shared" si="0"/>
        <v>14</v>
      </c>
      <c r="B20" s="1013" t="s">
        <v>3064</v>
      </c>
      <c r="C20" s="1012" t="s">
        <v>3113</v>
      </c>
      <c r="D20" s="1120"/>
      <c r="E20" s="1014"/>
      <c r="F20" s="1015">
        <v>46210</v>
      </c>
      <c r="G20" s="1015"/>
      <c r="H20" s="1012" t="s">
        <v>3724</v>
      </c>
      <c r="I20" s="1012" t="s">
        <v>3292</v>
      </c>
      <c r="J20" s="1012">
        <v>28</v>
      </c>
      <c r="K20" s="1059"/>
    </row>
    <row r="21" spans="1:11" s="1039" customFormat="1" ht="31" customHeight="1">
      <c r="A21" s="1012">
        <f t="shared" si="0"/>
        <v>15</v>
      </c>
      <c r="B21" s="1013" t="s">
        <v>3047</v>
      </c>
      <c r="C21" s="1012" t="s">
        <v>3251</v>
      </c>
      <c r="D21" s="1120"/>
      <c r="E21" s="1014"/>
      <c r="F21" s="1015">
        <v>46215</v>
      </c>
      <c r="G21" s="1015"/>
      <c r="H21" s="1012" t="s">
        <v>3689</v>
      </c>
      <c r="I21" s="1012" t="s">
        <v>3288</v>
      </c>
      <c r="J21" s="1012">
        <v>20</v>
      </c>
      <c r="K21" s="1059"/>
    </row>
    <row r="22" spans="1:11" s="1039" customFormat="1" ht="31" customHeight="1">
      <c r="A22" s="1012">
        <f t="shared" si="0"/>
        <v>16</v>
      </c>
      <c r="B22" s="1013" t="s">
        <v>3030</v>
      </c>
      <c r="C22" s="1012" t="s">
        <v>2197</v>
      </c>
      <c r="D22" s="1120"/>
      <c r="E22" s="1014"/>
      <c r="F22" s="1015">
        <v>46217</v>
      </c>
      <c r="G22" s="1015"/>
      <c r="H22" s="1012" t="s">
        <v>3673</v>
      </c>
      <c r="I22" s="1012" t="s">
        <v>3284</v>
      </c>
      <c r="J22" s="1012">
        <v>25</v>
      </c>
      <c r="K22" s="1059"/>
    </row>
    <row r="23" spans="1:11" s="1039" customFormat="1" ht="31" customHeight="1">
      <c r="A23" s="1012">
        <f t="shared" si="0"/>
        <v>17</v>
      </c>
      <c r="B23" s="1013" t="s">
        <v>3060</v>
      </c>
      <c r="C23" s="1012" t="s">
        <v>3251</v>
      </c>
      <c r="D23" s="1120"/>
      <c r="E23" s="1014"/>
      <c r="F23" s="1015">
        <v>46218</v>
      </c>
      <c r="G23" s="1015"/>
      <c r="H23" s="1012" t="s">
        <v>3673</v>
      </c>
      <c r="I23" s="1012" t="s">
        <v>3675</v>
      </c>
      <c r="J23" s="1012">
        <v>22</v>
      </c>
      <c r="K23" s="1059"/>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53"/>
  </cols>
  <sheetData>
    <row r="3" spans="2:9">
      <c r="B3" s="1055" t="s">
        <v>1782</v>
      </c>
      <c r="C3" s="1055" t="s">
        <v>3214</v>
      </c>
      <c r="D3" s="1055" t="s">
        <v>1405</v>
      </c>
      <c r="E3" s="1055" t="s">
        <v>997</v>
      </c>
      <c r="F3" s="1055" t="s">
        <v>997</v>
      </c>
      <c r="G3" s="1055" t="s">
        <v>997</v>
      </c>
      <c r="H3" s="1055" t="s">
        <v>997</v>
      </c>
      <c r="I3" s="1055"/>
    </row>
    <row r="4" spans="2:9">
      <c r="B4" s="1055">
        <v>1</v>
      </c>
      <c r="C4" s="1054" t="s">
        <v>3182</v>
      </c>
      <c r="D4" s="1054" t="s">
        <v>1269</v>
      </c>
      <c r="E4" s="1054"/>
      <c r="F4" s="1054"/>
      <c r="G4" s="1054"/>
      <c r="H4" s="1054"/>
      <c r="I4" s="1055"/>
    </row>
    <row r="5" spans="2:9">
      <c r="B5" s="1055">
        <f>B4+1</f>
        <v>2</v>
      </c>
      <c r="E5" s="1054"/>
      <c r="F5" s="1054"/>
      <c r="G5" s="1054"/>
      <c r="H5" s="1054"/>
      <c r="I5" s="1055"/>
    </row>
    <row r="6" spans="2:9">
      <c r="B6" s="1055">
        <f t="shared" ref="B6:B59" si="0">B5+1</f>
        <v>3</v>
      </c>
      <c r="E6" s="1054"/>
      <c r="F6" s="1054"/>
      <c r="G6" s="1054"/>
      <c r="H6" s="1054"/>
      <c r="I6" s="1055"/>
    </row>
    <row r="7" spans="2:9">
      <c r="B7" s="1055">
        <f t="shared" si="0"/>
        <v>4</v>
      </c>
      <c r="E7" s="1054">
        <v>1</v>
      </c>
      <c r="F7" s="1054">
        <v>1</v>
      </c>
      <c r="G7" s="1054">
        <v>1</v>
      </c>
      <c r="H7" s="1054">
        <v>1</v>
      </c>
      <c r="I7" s="1055"/>
    </row>
    <row r="8" spans="2:9">
      <c r="B8" s="1055">
        <f t="shared" si="0"/>
        <v>5</v>
      </c>
      <c r="E8" s="1054"/>
      <c r="F8" s="1054"/>
      <c r="G8" s="1054"/>
      <c r="H8" s="1054"/>
      <c r="I8" s="1055"/>
    </row>
    <row r="9" spans="2:9">
      <c r="B9" s="1055">
        <f t="shared" si="0"/>
        <v>6</v>
      </c>
      <c r="C9" s="1056" t="s">
        <v>3014</v>
      </c>
      <c r="D9" s="1054" t="s">
        <v>1269</v>
      </c>
      <c r="E9" s="1054">
        <v>2</v>
      </c>
      <c r="F9" s="1054">
        <v>2</v>
      </c>
      <c r="G9" s="1054">
        <v>2</v>
      </c>
      <c r="H9" s="1054">
        <v>2</v>
      </c>
      <c r="I9" s="1055"/>
    </row>
    <row r="10" spans="2:9">
      <c r="B10" s="1055">
        <f t="shared" si="0"/>
        <v>7</v>
      </c>
      <c r="E10" s="1054"/>
      <c r="F10" s="1054"/>
      <c r="G10" s="1054"/>
      <c r="H10" s="1054"/>
      <c r="I10" s="1055"/>
    </row>
    <row r="11" spans="2:9">
      <c r="B11" s="1055">
        <f t="shared" si="0"/>
        <v>8</v>
      </c>
      <c r="E11" s="1054"/>
      <c r="F11" s="1054"/>
      <c r="G11" s="1054"/>
      <c r="H11" s="1054"/>
      <c r="I11" s="1055"/>
    </row>
    <row r="12" spans="2:9">
      <c r="B12" s="1055">
        <f t="shared" si="0"/>
        <v>9</v>
      </c>
      <c r="E12" s="1054"/>
      <c r="F12" s="1054"/>
      <c r="G12" s="1054"/>
      <c r="H12" s="1054"/>
      <c r="I12" s="1055"/>
    </row>
    <row r="13" spans="2:9">
      <c r="B13" s="1055">
        <f t="shared" si="0"/>
        <v>10</v>
      </c>
      <c r="E13" s="1054"/>
      <c r="F13" s="1054"/>
      <c r="G13" s="1054"/>
      <c r="H13" s="1054"/>
      <c r="I13" s="1055"/>
    </row>
    <row r="14" spans="2:9">
      <c r="B14" s="1055">
        <f t="shared" si="0"/>
        <v>11</v>
      </c>
      <c r="E14" s="1054"/>
      <c r="F14" s="1054"/>
      <c r="G14" s="1054"/>
      <c r="H14" s="1054"/>
      <c r="I14" s="1055"/>
    </row>
    <row r="15" spans="2:9">
      <c r="B15" s="1055">
        <f t="shared" si="0"/>
        <v>12</v>
      </c>
      <c r="E15" s="1054"/>
      <c r="F15" s="1054"/>
      <c r="G15" s="1054"/>
      <c r="H15" s="1054"/>
      <c r="I15" s="1057" t="s">
        <v>3212</v>
      </c>
    </row>
    <row r="16" spans="2:9">
      <c r="B16" s="1055">
        <f t="shared" si="0"/>
        <v>13</v>
      </c>
      <c r="E16" s="1054"/>
      <c r="F16" s="1054"/>
      <c r="G16" s="1054"/>
      <c r="H16" s="1054"/>
      <c r="I16" s="1057" t="s">
        <v>3212</v>
      </c>
    </row>
    <row r="17" spans="2:9">
      <c r="B17" s="1055">
        <f t="shared" si="0"/>
        <v>14</v>
      </c>
      <c r="E17" s="1054"/>
      <c r="F17" s="1054"/>
      <c r="G17" s="1054"/>
      <c r="H17" s="1054"/>
      <c r="I17" s="1057" t="s">
        <v>3212</v>
      </c>
    </row>
    <row r="18" spans="2:9">
      <c r="B18" s="1055">
        <f t="shared" si="0"/>
        <v>15</v>
      </c>
      <c r="E18" s="1054"/>
      <c r="F18" s="1054"/>
      <c r="G18" s="1054"/>
      <c r="H18" s="1054"/>
      <c r="I18" s="1057" t="s">
        <v>3212</v>
      </c>
    </row>
    <row r="19" spans="2:9">
      <c r="B19" s="1055">
        <f t="shared" si="0"/>
        <v>16</v>
      </c>
      <c r="E19" s="1054"/>
      <c r="F19" s="1054"/>
      <c r="G19" s="1054"/>
      <c r="H19" s="1054"/>
      <c r="I19" s="1055"/>
    </row>
    <row r="20" spans="2:9">
      <c r="B20" s="1055">
        <f t="shared" si="0"/>
        <v>17</v>
      </c>
      <c r="E20" s="1054"/>
      <c r="F20" s="1054"/>
      <c r="G20" s="1054"/>
      <c r="H20" s="1054"/>
      <c r="I20" s="1055"/>
    </row>
    <row r="21" spans="2:9">
      <c r="B21" s="1055">
        <f t="shared" si="0"/>
        <v>18</v>
      </c>
      <c r="E21" s="1054"/>
      <c r="F21" s="1054"/>
      <c r="G21" s="1054"/>
      <c r="H21" s="1054"/>
      <c r="I21" s="1055"/>
    </row>
    <row r="22" spans="2:9">
      <c r="B22" s="1055">
        <f t="shared" si="0"/>
        <v>19</v>
      </c>
      <c r="E22" s="1054">
        <v>1</v>
      </c>
      <c r="F22" s="1054">
        <v>1</v>
      </c>
      <c r="G22" s="1054">
        <v>1</v>
      </c>
      <c r="H22" s="1054">
        <v>1</v>
      </c>
      <c r="I22" s="1055"/>
    </row>
    <row r="23" spans="2:9">
      <c r="B23" s="1055">
        <f t="shared" si="0"/>
        <v>20</v>
      </c>
      <c r="C23" s="1054"/>
      <c r="D23" s="1054"/>
      <c r="E23" s="1054"/>
      <c r="F23" s="1054"/>
      <c r="G23" s="1054"/>
      <c r="H23" s="1054"/>
      <c r="I23" s="1055"/>
    </row>
    <row r="24" spans="2:9">
      <c r="B24" s="1055">
        <f t="shared" si="0"/>
        <v>21</v>
      </c>
      <c r="C24" s="1054"/>
      <c r="D24" s="1054"/>
      <c r="E24" s="1054"/>
      <c r="F24" s="1054"/>
      <c r="G24" s="1054"/>
      <c r="H24" s="1054"/>
      <c r="I24" s="1055"/>
    </row>
    <row r="25" spans="2:9">
      <c r="B25" s="1055">
        <f t="shared" si="0"/>
        <v>22</v>
      </c>
      <c r="E25" s="1054"/>
      <c r="F25" s="1054"/>
      <c r="G25" s="1054"/>
      <c r="H25" s="1054"/>
      <c r="I25" s="1055"/>
    </row>
    <row r="26" spans="2:9">
      <c r="B26" s="1055">
        <f t="shared" si="0"/>
        <v>23</v>
      </c>
      <c r="E26" s="1054"/>
      <c r="F26" s="1054"/>
      <c r="G26" s="1054"/>
      <c r="H26" s="1054"/>
      <c r="I26" s="1055"/>
    </row>
    <row r="27" spans="2:9">
      <c r="B27" s="1055">
        <f t="shared" si="0"/>
        <v>24</v>
      </c>
      <c r="E27" s="1054"/>
      <c r="F27" s="1054"/>
      <c r="G27" s="1054"/>
      <c r="H27" s="1054"/>
      <c r="I27" s="1055"/>
    </row>
    <row r="28" spans="2:9">
      <c r="B28" s="1055">
        <f t="shared" si="0"/>
        <v>25</v>
      </c>
      <c r="E28" s="1054"/>
      <c r="F28" s="1054"/>
      <c r="G28" s="1054"/>
      <c r="H28" s="1054"/>
      <c r="I28" s="1057"/>
    </row>
    <row r="29" spans="2:9">
      <c r="B29" s="1055">
        <f t="shared" si="0"/>
        <v>26</v>
      </c>
      <c r="E29" s="1054"/>
      <c r="F29" s="1054"/>
      <c r="G29" s="1054"/>
      <c r="H29" s="1054"/>
      <c r="I29" s="1057"/>
    </row>
    <row r="30" spans="2:9">
      <c r="B30" s="1055">
        <f t="shared" si="0"/>
        <v>27</v>
      </c>
      <c r="E30" s="1054"/>
      <c r="F30" s="1054"/>
      <c r="G30" s="1054"/>
      <c r="H30" s="1054"/>
      <c r="I30" s="1057"/>
    </row>
    <row r="31" spans="2:9">
      <c r="B31" s="1055">
        <f t="shared" si="0"/>
        <v>28</v>
      </c>
      <c r="E31" s="1054"/>
      <c r="F31" s="1054"/>
      <c r="G31" s="1054"/>
      <c r="H31" s="1054"/>
      <c r="I31" s="1057"/>
    </row>
    <row r="32" spans="2:9">
      <c r="B32" s="1055">
        <f t="shared" si="0"/>
        <v>29</v>
      </c>
      <c r="E32" s="1054"/>
      <c r="F32" s="1054"/>
      <c r="G32" s="1054"/>
      <c r="H32" s="1054"/>
      <c r="I32" s="1057"/>
    </row>
    <row r="33" spans="2:9">
      <c r="B33" s="1055">
        <f t="shared" si="0"/>
        <v>30</v>
      </c>
      <c r="E33" s="1054"/>
      <c r="F33" s="1054"/>
      <c r="G33" s="1054"/>
      <c r="H33" s="1054"/>
      <c r="I33" s="1057"/>
    </row>
    <row r="34" spans="2:9">
      <c r="B34" s="1055">
        <f t="shared" si="0"/>
        <v>31</v>
      </c>
      <c r="E34" s="1054"/>
      <c r="F34" s="1054"/>
      <c r="G34" s="1054"/>
      <c r="H34" s="1054"/>
      <c r="I34" s="1057"/>
    </row>
    <row r="35" spans="2:9">
      <c r="B35" s="1055">
        <f t="shared" si="0"/>
        <v>32</v>
      </c>
      <c r="E35" s="1054"/>
      <c r="F35" s="1054"/>
      <c r="G35" s="1054"/>
      <c r="H35" s="1054"/>
      <c r="I35" s="1057"/>
    </row>
    <row r="36" spans="2:9">
      <c r="B36" s="1055">
        <f t="shared" si="0"/>
        <v>33</v>
      </c>
      <c r="E36" s="1054"/>
      <c r="F36" s="1054"/>
      <c r="G36" s="1054"/>
      <c r="H36" s="1054"/>
      <c r="I36" s="1055"/>
    </row>
    <row r="37" spans="2:9">
      <c r="B37" s="1055">
        <f t="shared" si="0"/>
        <v>34</v>
      </c>
      <c r="E37" s="1054"/>
      <c r="F37" s="1054"/>
      <c r="G37" s="1054"/>
      <c r="H37" s="1054"/>
      <c r="I37" s="1055"/>
    </row>
    <row r="38" spans="2:9">
      <c r="B38" s="1055">
        <f t="shared" si="0"/>
        <v>35</v>
      </c>
      <c r="E38" s="1054"/>
      <c r="F38" s="1054"/>
      <c r="G38" s="1054"/>
      <c r="H38" s="1054"/>
      <c r="I38" s="1055"/>
    </row>
    <row r="39" spans="2:9">
      <c r="B39" s="1055">
        <f t="shared" si="0"/>
        <v>36</v>
      </c>
      <c r="E39" s="1054"/>
      <c r="F39" s="1054"/>
      <c r="G39" s="1054"/>
      <c r="H39" s="1054"/>
      <c r="I39" s="1055"/>
    </row>
    <row r="40" spans="2:9">
      <c r="B40" s="1055">
        <f t="shared" si="0"/>
        <v>37</v>
      </c>
      <c r="E40" s="1054"/>
      <c r="F40" s="1054"/>
      <c r="G40" s="1054"/>
      <c r="H40" s="1054"/>
      <c r="I40" s="1055"/>
    </row>
    <row r="41" spans="2:9">
      <c r="B41" s="1055">
        <f t="shared" si="0"/>
        <v>38</v>
      </c>
      <c r="E41" s="1054"/>
      <c r="F41" s="1054"/>
      <c r="G41" s="1054"/>
      <c r="H41" s="1054"/>
      <c r="I41" s="1055"/>
    </row>
    <row r="42" spans="2:9">
      <c r="B42" s="1055">
        <f t="shared" si="0"/>
        <v>39</v>
      </c>
      <c r="E42" s="1054"/>
      <c r="F42" s="1054"/>
      <c r="G42" s="1054"/>
      <c r="H42" s="1054"/>
      <c r="I42" s="1055"/>
    </row>
    <row r="43" spans="2:9">
      <c r="B43" s="1055">
        <f t="shared" si="0"/>
        <v>40</v>
      </c>
      <c r="E43" s="1055"/>
      <c r="F43" s="1055"/>
      <c r="G43" s="1055"/>
      <c r="H43" s="1055"/>
      <c r="I43" s="1055"/>
    </row>
    <row r="44" spans="2:9">
      <c r="B44" s="1055">
        <f t="shared" si="0"/>
        <v>41</v>
      </c>
      <c r="E44" s="1055"/>
      <c r="F44" s="1055"/>
      <c r="G44" s="1055"/>
      <c r="H44" s="1055"/>
      <c r="I44" s="1055"/>
    </row>
    <row r="45" spans="2:9">
      <c r="B45" s="1055">
        <f t="shared" si="0"/>
        <v>42</v>
      </c>
      <c r="E45" s="1055"/>
      <c r="F45" s="1055"/>
      <c r="G45" s="1055"/>
      <c r="H45" s="1055"/>
      <c r="I45" s="1055"/>
    </row>
    <row r="46" spans="2:9">
      <c r="B46" s="1055">
        <f t="shared" si="0"/>
        <v>43</v>
      </c>
      <c r="E46" s="1055"/>
      <c r="F46" s="1055"/>
      <c r="G46" s="1055"/>
      <c r="H46" s="1055"/>
      <c r="I46" s="1055"/>
    </row>
    <row r="47" spans="2:9">
      <c r="B47" s="1055">
        <f t="shared" si="0"/>
        <v>44</v>
      </c>
      <c r="E47" s="1055"/>
      <c r="F47" s="1055"/>
      <c r="G47" s="1055"/>
      <c r="H47" s="1055"/>
      <c r="I47" s="1055"/>
    </row>
    <row r="48" spans="2:9">
      <c r="B48" s="1055">
        <f t="shared" si="0"/>
        <v>45</v>
      </c>
      <c r="E48" s="1055"/>
      <c r="F48" s="1055"/>
      <c r="G48" s="1055"/>
      <c r="H48" s="1055"/>
      <c r="I48" s="1055"/>
    </row>
    <row r="49" spans="2:9">
      <c r="B49" s="1055">
        <f t="shared" si="0"/>
        <v>46</v>
      </c>
      <c r="C49" s="1055" t="s">
        <v>2902</v>
      </c>
      <c r="D49" s="1055" t="s">
        <v>1277</v>
      </c>
      <c r="E49" s="1055"/>
      <c r="F49" s="1055"/>
      <c r="G49" s="1055"/>
      <c r="H49" s="1055"/>
      <c r="I49" s="1055"/>
    </row>
    <row r="50" spans="2:9">
      <c r="B50" s="1055">
        <f t="shared" si="0"/>
        <v>47</v>
      </c>
      <c r="C50" s="1055" t="s">
        <v>2904</v>
      </c>
      <c r="D50" s="1055" t="s">
        <v>1319</v>
      </c>
      <c r="E50" s="1055"/>
      <c r="F50" s="1055"/>
      <c r="G50" s="1055"/>
      <c r="H50" s="1055"/>
      <c r="I50" s="1055"/>
    </row>
    <row r="51" spans="2:9">
      <c r="B51" s="1055">
        <f t="shared" si="0"/>
        <v>48</v>
      </c>
      <c r="C51" s="1058" t="s">
        <v>2906</v>
      </c>
      <c r="D51" s="1054" t="s">
        <v>76</v>
      </c>
      <c r="E51" s="1055"/>
      <c r="F51" s="1055"/>
      <c r="G51" s="1055"/>
      <c r="H51" s="1055"/>
      <c r="I51" s="1055"/>
    </row>
    <row r="52" spans="2:9">
      <c r="B52" s="1055">
        <f t="shared" si="0"/>
        <v>49</v>
      </c>
      <c r="C52" s="1058" t="s">
        <v>2907</v>
      </c>
      <c r="D52" s="1054" t="s">
        <v>76</v>
      </c>
      <c r="E52" s="1055"/>
      <c r="F52" s="1055"/>
      <c r="G52" s="1055"/>
      <c r="H52" s="1055"/>
      <c r="I52" s="1055"/>
    </row>
    <row r="53" spans="2:9">
      <c r="B53" s="1055">
        <f t="shared" si="0"/>
        <v>50</v>
      </c>
      <c r="C53" s="1058" t="s">
        <v>2909</v>
      </c>
      <c r="D53" s="1054" t="s">
        <v>76</v>
      </c>
      <c r="E53" s="1055"/>
      <c r="F53" s="1055"/>
      <c r="G53" s="1055"/>
      <c r="H53" s="1055"/>
      <c r="I53" s="1055"/>
    </row>
    <row r="54" spans="2:9">
      <c r="B54" s="1055">
        <f t="shared" si="0"/>
        <v>51</v>
      </c>
      <c r="C54" s="1058" t="s">
        <v>2910</v>
      </c>
      <c r="D54" s="1054" t="s">
        <v>1269</v>
      </c>
      <c r="E54" s="1055"/>
      <c r="F54" s="1055"/>
      <c r="G54" s="1055"/>
      <c r="H54" s="1055"/>
      <c r="I54" s="1055"/>
    </row>
    <row r="55" spans="2:9">
      <c r="B55" s="1055">
        <f t="shared" si="0"/>
        <v>52</v>
      </c>
      <c r="E55" s="1055"/>
      <c r="F55" s="1055"/>
      <c r="G55" s="1055"/>
      <c r="H55" s="1055"/>
      <c r="I55" s="1055"/>
    </row>
    <row r="56" spans="2:9">
      <c r="B56" s="1055">
        <f t="shared" si="0"/>
        <v>53</v>
      </c>
      <c r="E56" s="1055"/>
      <c r="F56" s="1055"/>
      <c r="G56" s="1055"/>
      <c r="H56" s="1055"/>
      <c r="I56" s="1055"/>
    </row>
    <row r="57" spans="2:9">
      <c r="B57" s="1055">
        <f t="shared" si="0"/>
        <v>54</v>
      </c>
      <c r="E57" s="1055"/>
      <c r="F57" s="1055"/>
      <c r="G57" s="1055"/>
      <c r="H57" s="1055"/>
      <c r="I57" s="1055"/>
    </row>
    <row r="58" spans="2:9">
      <c r="B58" s="1055">
        <f t="shared" si="0"/>
        <v>55</v>
      </c>
      <c r="C58" s="1055" t="s">
        <v>2914</v>
      </c>
      <c r="D58" s="1054" t="s">
        <v>76</v>
      </c>
      <c r="E58" s="1055"/>
      <c r="F58" s="1055"/>
      <c r="G58" s="1055"/>
      <c r="H58" s="1055"/>
      <c r="I58" s="1055"/>
    </row>
    <row r="59" spans="2:9">
      <c r="B59" s="1055">
        <f t="shared" si="0"/>
        <v>56</v>
      </c>
      <c r="C59" s="1055" t="s">
        <v>2915</v>
      </c>
      <c r="D59" s="1055" t="s">
        <v>1361</v>
      </c>
      <c r="E59" s="1055"/>
      <c r="F59" s="1055"/>
      <c r="G59" s="1055"/>
      <c r="H59" s="1055"/>
      <c r="I59" s="1055"/>
    </row>
  </sheetData>
  <autoFilter ref="B3:I59" xr:uid="{80E5F10C-F54D-4C19-93E3-DB507B8CC745}"/>
  <conditionalFormatting sqref="C4:H4 E5:H8 C9:H9 E10:H22 C23:H24 E25:H42 D58">
    <cfRule type="cellIs" dxfId="3591" priority="3" operator="equal">
      <formula>"WIP"</formula>
    </cfRule>
    <cfRule type="cellIs" dxfId="3590" priority="4" operator="equal">
      <formula>"C"</formula>
    </cfRule>
  </conditionalFormatting>
  <conditionalFormatting sqref="D51:D54">
    <cfRule type="cellIs" dxfId="3589" priority="1" operator="equal">
      <formula>"WIP"</formula>
    </cfRule>
    <cfRule type="cellIs" dxfId="3588" priority="2" operator="equal">
      <formula>"C"</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095"/>
    <col min="3" max="3" width="6.08984375" style="1095" bestFit="1" customWidth="1"/>
    <col min="4" max="4" width="15.453125" style="1095" bestFit="1" customWidth="1"/>
    <col min="5" max="5" width="10.6328125" style="1094" bestFit="1" customWidth="1"/>
    <col min="6" max="6" width="16.36328125" style="1094" customWidth="1"/>
    <col min="7" max="7" width="8.54296875" style="1094" customWidth="1"/>
    <col min="8" max="8" width="1.7265625" style="1095" customWidth="1"/>
    <col min="9" max="10" width="8.7265625" style="1095"/>
    <col min="11" max="11" width="11.36328125" style="1094" customWidth="1"/>
    <col min="12" max="16384" width="8.7265625" style="1095"/>
  </cols>
  <sheetData>
    <row r="2" spans="3:12" s="1103" customFormat="1" ht="43.5">
      <c r="C2" s="1100" t="s">
        <v>2877</v>
      </c>
      <c r="D2" s="1100" t="s">
        <v>3267</v>
      </c>
      <c r="E2" s="1101" t="s">
        <v>3080</v>
      </c>
      <c r="F2" s="1101" t="s">
        <v>3276</v>
      </c>
      <c r="G2" s="1101" t="s">
        <v>994</v>
      </c>
      <c r="I2" s="1105" t="s">
        <v>2877</v>
      </c>
      <c r="J2" s="1101" t="s">
        <v>3277</v>
      </c>
      <c r="K2" s="1101" t="s">
        <v>3278</v>
      </c>
      <c r="L2" s="1101" t="s">
        <v>994</v>
      </c>
    </row>
    <row r="3" spans="3:12">
      <c r="C3" s="1570" t="s">
        <v>1675</v>
      </c>
      <c r="D3" s="826" t="s">
        <v>3268</v>
      </c>
      <c r="E3" s="1097">
        <f>34+39+12+2</f>
        <v>87</v>
      </c>
      <c r="F3" s="1097"/>
      <c r="G3" s="1097">
        <f>E3+F3</f>
        <v>87</v>
      </c>
      <c r="I3" s="1104" t="s">
        <v>76</v>
      </c>
      <c r="J3" s="1104">
        <v>34</v>
      </c>
      <c r="K3" s="1104"/>
      <c r="L3" s="1104">
        <f>J3+K3</f>
        <v>34</v>
      </c>
    </row>
    <row r="4" spans="3:12">
      <c r="C4" s="1570"/>
      <c r="D4" s="1098" t="s">
        <v>3269</v>
      </c>
      <c r="E4" s="1097">
        <f>34+12+2</f>
        <v>48</v>
      </c>
      <c r="F4" s="1097"/>
      <c r="G4" s="1097">
        <f t="shared" ref="G4:G25" si="0">E4+F4</f>
        <v>48</v>
      </c>
      <c r="I4" s="1104" t="s">
        <v>62</v>
      </c>
      <c r="J4" s="1104">
        <v>39</v>
      </c>
      <c r="K4" s="1104"/>
      <c r="L4" s="1104">
        <f t="shared" ref="L4:L28" si="1">J4+K4</f>
        <v>39</v>
      </c>
    </row>
    <row r="5" spans="3:12">
      <c r="C5" s="1570"/>
      <c r="D5" s="1098" t="s">
        <v>3270</v>
      </c>
      <c r="E5" s="1097">
        <v>39</v>
      </c>
      <c r="F5" s="1097"/>
      <c r="G5" s="1097">
        <f t="shared" si="0"/>
        <v>39</v>
      </c>
      <c r="I5" s="1104" t="s">
        <v>53</v>
      </c>
      <c r="J5" s="1104">
        <v>12</v>
      </c>
      <c r="K5" s="1104"/>
      <c r="L5" s="1104">
        <f t="shared" si="1"/>
        <v>12</v>
      </c>
    </row>
    <row r="6" spans="3:12">
      <c r="C6" s="1570"/>
      <c r="D6" s="1098" t="s">
        <v>3271</v>
      </c>
      <c r="E6" s="1097">
        <v>12</v>
      </c>
      <c r="F6" s="1097"/>
      <c r="G6" s="1097">
        <f t="shared" si="0"/>
        <v>12</v>
      </c>
      <c r="I6" s="1104" t="s">
        <v>249</v>
      </c>
      <c r="J6" s="1104">
        <v>2</v>
      </c>
      <c r="K6" s="1104"/>
      <c r="L6" s="1104">
        <f t="shared" si="1"/>
        <v>2</v>
      </c>
    </row>
    <row r="7" spans="3:12">
      <c r="C7" s="1570"/>
      <c r="D7" s="1098" t="s">
        <v>3272</v>
      </c>
      <c r="E7" s="1097">
        <v>2</v>
      </c>
      <c r="F7" s="1097"/>
      <c r="G7" s="1097">
        <f t="shared" si="0"/>
        <v>2</v>
      </c>
      <c r="I7" s="1104"/>
      <c r="J7" s="1104"/>
      <c r="K7" s="1104"/>
      <c r="L7" s="1104">
        <f t="shared" si="1"/>
        <v>0</v>
      </c>
    </row>
    <row r="8" spans="3:12" ht="7" customHeight="1">
      <c r="C8" s="1096"/>
      <c r="D8" s="1096"/>
      <c r="E8" s="1099"/>
      <c r="F8" s="1099"/>
      <c r="G8" s="1099"/>
      <c r="I8" s="1104"/>
      <c r="J8" s="1104"/>
      <c r="K8" s="1104"/>
      <c r="L8" s="1104"/>
    </row>
    <row r="9" spans="3:12">
      <c r="C9" s="1570" t="s">
        <v>2397</v>
      </c>
      <c r="D9" s="826" t="s">
        <v>3268</v>
      </c>
      <c r="E9" s="1097">
        <f>10+2+1</f>
        <v>13</v>
      </c>
      <c r="F9" s="1097">
        <v>16</v>
      </c>
      <c r="G9" s="1097">
        <f t="shared" si="0"/>
        <v>29</v>
      </c>
      <c r="I9" s="1104" t="s">
        <v>1269</v>
      </c>
      <c r="J9" s="1104">
        <v>10</v>
      </c>
      <c r="K9" s="1104">
        <v>14</v>
      </c>
      <c r="L9" s="1104">
        <f t="shared" si="1"/>
        <v>24</v>
      </c>
    </row>
    <row r="10" spans="3:12">
      <c r="C10" s="1570"/>
      <c r="D10" s="1098" t="s">
        <v>3269</v>
      </c>
      <c r="E10" s="1097">
        <v>11</v>
      </c>
      <c r="F10" s="1097">
        <v>16</v>
      </c>
      <c r="G10" s="1097">
        <f t="shared" si="0"/>
        <v>27</v>
      </c>
      <c r="I10" s="1104" t="s">
        <v>90</v>
      </c>
      <c r="J10" s="1104">
        <v>2</v>
      </c>
      <c r="K10" s="1104"/>
      <c r="L10" s="1104">
        <f t="shared" si="1"/>
        <v>2</v>
      </c>
    </row>
    <row r="11" spans="3:12">
      <c r="C11" s="1570"/>
      <c r="D11" s="1098" t="s">
        <v>3270</v>
      </c>
      <c r="E11" s="1097">
        <v>2</v>
      </c>
      <c r="F11" s="1097"/>
      <c r="G11" s="1097">
        <f t="shared" si="0"/>
        <v>2</v>
      </c>
      <c r="I11" s="1104" t="s">
        <v>1934</v>
      </c>
      <c r="J11" s="1104">
        <v>1</v>
      </c>
      <c r="K11" s="1104"/>
      <c r="L11" s="1104">
        <f t="shared" si="1"/>
        <v>1</v>
      </c>
    </row>
    <row r="12" spans="3:12">
      <c r="C12" s="1570"/>
      <c r="D12" s="1098" t="s">
        <v>3271</v>
      </c>
      <c r="E12" s="1097">
        <v>1</v>
      </c>
      <c r="F12" s="1097"/>
      <c r="G12" s="1097">
        <f t="shared" si="0"/>
        <v>1</v>
      </c>
      <c r="I12" s="1104" t="s">
        <v>1977</v>
      </c>
      <c r="J12" s="1104"/>
      <c r="K12" s="1104">
        <v>2</v>
      </c>
      <c r="L12" s="1104">
        <f t="shared" si="1"/>
        <v>2</v>
      </c>
    </row>
    <row r="13" spans="3:12">
      <c r="C13" s="1570"/>
      <c r="D13" s="1098" t="s">
        <v>3272</v>
      </c>
      <c r="E13" s="1097"/>
      <c r="F13" s="1097">
        <v>2</v>
      </c>
      <c r="G13" s="1097">
        <f t="shared" si="0"/>
        <v>2</v>
      </c>
      <c r="I13" s="1104"/>
      <c r="J13" s="1104"/>
      <c r="K13" s="1104"/>
      <c r="L13" s="1104">
        <f t="shared" si="1"/>
        <v>0</v>
      </c>
    </row>
    <row r="14" spans="3:12" ht="7" customHeight="1">
      <c r="C14" s="1096"/>
      <c r="D14" s="1096"/>
      <c r="E14" s="1099"/>
      <c r="F14" s="1099"/>
      <c r="G14" s="1099"/>
      <c r="I14" s="1104"/>
      <c r="J14" s="1104"/>
      <c r="K14" s="1104"/>
      <c r="L14" s="1104"/>
    </row>
    <row r="15" spans="3:12">
      <c r="C15" s="1570" t="s">
        <v>2398</v>
      </c>
      <c r="D15" s="826" t="s">
        <v>3268</v>
      </c>
      <c r="E15" s="1097">
        <v>5</v>
      </c>
      <c r="F15" s="1097"/>
      <c r="G15" s="1097">
        <f t="shared" si="0"/>
        <v>5</v>
      </c>
      <c r="I15" s="1104" t="s">
        <v>1277</v>
      </c>
      <c r="J15" s="1104"/>
      <c r="K15" s="1104"/>
      <c r="L15" s="1104">
        <f t="shared" si="1"/>
        <v>0</v>
      </c>
    </row>
    <row r="16" spans="3:12">
      <c r="C16" s="1570"/>
      <c r="D16" s="1098" t="s">
        <v>3269</v>
      </c>
      <c r="E16" s="1097">
        <v>2</v>
      </c>
      <c r="F16" s="1097"/>
      <c r="G16" s="1097">
        <f t="shared" si="0"/>
        <v>2</v>
      </c>
      <c r="I16" s="1104" t="s">
        <v>1361</v>
      </c>
      <c r="J16" s="1104">
        <v>3</v>
      </c>
      <c r="K16" s="1104"/>
      <c r="L16" s="1104">
        <f t="shared" si="1"/>
        <v>3</v>
      </c>
    </row>
    <row r="17" spans="3:12">
      <c r="C17" s="1570"/>
      <c r="D17" s="1098" t="s">
        <v>3270</v>
      </c>
      <c r="E17" s="1097">
        <v>3</v>
      </c>
      <c r="F17" s="1097"/>
      <c r="G17" s="1097">
        <f t="shared" si="0"/>
        <v>3</v>
      </c>
      <c r="I17" s="1104" t="s">
        <v>1402</v>
      </c>
      <c r="J17" s="1104">
        <v>2</v>
      </c>
      <c r="K17" s="1104"/>
      <c r="L17" s="1104">
        <f t="shared" si="1"/>
        <v>2</v>
      </c>
    </row>
    <row r="18" spans="3:12">
      <c r="C18" s="1570"/>
      <c r="D18" s="1098" t="s">
        <v>3271</v>
      </c>
      <c r="E18" s="1097">
        <v>2</v>
      </c>
      <c r="F18" s="1097"/>
      <c r="G18" s="1097">
        <f t="shared" si="0"/>
        <v>2</v>
      </c>
      <c r="I18" s="1104" t="s">
        <v>1953</v>
      </c>
      <c r="J18" s="1104"/>
      <c r="K18" s="1104"/>
      <c r="L18" s="1104">
        <f t="shared" si="1"/>
        <v>0</v>
      </c>
    </row>
    <row r="19" spans="3:12">
      <c r="C19" s="1570"/>
      <c r="D19" s="1098" t="s">
        <v>3272</v>
      </c>
      <c r="E19" s="1097"/>
      <c r="F19" s="1097"/>
      <c r="G19" s="1097"/>
      <c r="I19" s="1104"/>
      <c r="J19" s="1104"/>
      <c r="K19" s="1104"/>
      <c r="L19" s="1104">
        <f t="shared" si="1"/>
        <v>0</v>
      </c>
    </row>
    <row r="20" spans="3:12" ht="6" customHeight="1">
      <c r="C20" s="1096"/>
      <c r="D20" s="1096"/>
      <c r="E20" s="1099"/>
      <c r="F20" s="1099"/>
      <c r="G20" s="1099"/>
      <c r="I20" s="1104"/>
      <c r="J20" s="1104"/>
      <c r="K20" s="1104"/>
      <c r="L20" s="1104"/>
    </row>
    <row r="21" spans="3:12">
      <c r="C21" s="1570" t="s">
        <v>2425</v>
      </c>
      <c r="D21" s="826" t="s">
        <v>3268</v>
      </c>
      <c r="E21" s="1097">
        <v>5</v>
      </c>
      <c r="F21" s="1097">
        <f>20-1</f>
        <v>19</v>
      </c>
      <c r="G21" s="1097">
        <f t="shared" si="0"/>
        <v>24</v>
      </c>
      <c r="I21" s="1104" t="s">
        <v>1319</v>
      </c>
      <c r="J21" s="1104"/>
      <c r="K21" s="1104">
        <v>13</v>
      </c>
      <c r="L21" s="1104">
        <f t="shared" si="1"/>
        <v>13</v>
      </c>
    </row>
    <row r="22" spans="3:12">
      <c r="C22" s="1570"/>
      <c r="D22" s="1098" t="s">
        <v>3269</v>
      </c>
      <c r="E22" s="1097">
        <v>2</v>
      </c>
      <c r="F22" s="1097">
        <v>18</v>
      </c>
      <c r="G22" s="1097">
        <f t="shared" si="0"/>
        <v>20</v>
      </c>
      <c r="I22" s="1104" t="s">
        <v>1995</v>
      </c>
      <c r="J22" s="1104">
        <v>3</v>
      </c>
      <c r="K22" s="1104">
        <v>1</v>
      </c>
      <c r="L22" s="1104">
        <f t="shared" si="1"/>
        <v>4</v>
      </c>
    </row>
    <row r="23" spans="3:12">
      <c r="C23" s="1570"/>
      <c r="D23" s="1098" t="s">
        <v>3270</v>
      </c>
      <c r="E23" s="1097">
        <v>3</v>
      </c>
      <c r="F23" s="1097">
        <v>1</v>
      </c>
      <c r="G23" s="1097">
        <f t="shared" si="0"/>
        <v>4</v>
      </c>
      <c r="I23" s="1104" t="s">
        <v>1935</v>
      </c>
      <c r="J23" s="1104">
        <v>2</v>
      </c>
      <c r="K23" s="1104"/>
      <c r="L23" s="1104">
        <f t="shared" si="1"/>
        <v>2</v>
      </c>
    </row>
    <row r="24" spans="3:12">
      <c r="C24" s="1570"/>
      <c r="D24" s="1098" t="s">
        <v>3271</v>
      </c>
      <c r="E24" s="1097">
        <v>2</v>
      </c>
      <c r="F24" s="1097"/>
      <c r="G24" s="1097">
        <f t="shared" si="0"/>
        <v>2</v>
      </c>
      <c r="I24" s="1104" t="s">
        <v>2212</v>
      </c>
      <c r="J24" s="1104"/>
      <c r="K24" s="1104">
        <v>5</v>
      </c>
      <c r="L24" s="1104">
        <f t="shared" si="1"/>
        <v>5</v>
      </c>
    </row>
    <row r="25" spans="3:12">
      <c r="C25" s="1570"/>
      <c r="D25" s="1098" t="s">
        <v>3272</v>
      </c>
      <c r="E25" s="1097"/>
      <c r="F25" s="1097">
        <v>5</v>
      </c>
      <c r="G25" s="1097">
        <f t="shared" si="0"/>
        <v>5</v>
      </c>
      <c r="I25" s="1104"/>
      <c r="J25" s="1104"/>
      <c r="K25" s="1104"/>
      <c r="L25" s="1104">
        <f t="shared" si="1"/>
        <v>0</v>
      </c>
    </row>
    <row r="26" spans="3:12">
      <c r="C26" s="1570"/>
      <c r="D26" s="1098" t="s">
        <v>3273</v>
      </c>
      <c r="E26" s="1097"/>
      <c r="F26" s="1097"/>
      <c r="G26" s="1097"/>
      <c r="I26" s="1104"/>
      <c r="J26" s="1104"/>
      <c r="K26" s="1104"/>
      <c r="L26" s="1104">
        <f t="shared" si="1"/>
        <v>0</v>
      </c>
    </row>
    <row r="27" spans="3:12">
      <c r="C27" s="1570"/>
      <c r="D27" s="1098" t="s">
        <v>3274</v>
      </c>
      <c r="E27" s="1097"/>
      <c r="F27" s="1097"/>
      <c r="G27" s="1097"/>
      <c r="I27" s="1104"/>
      <c r="J27" s="1104"/>
      <c r="K27" s="1104"/>
      <c r="L27" s="1104">
        <f t="shared" si="1"/>
        <v>0</v>
      </c>
    </row>
    <row r="28" spans="3:12">
      <c r="C28" s="1570"/>
      <c r="D28" s="1098" t="s">
        <v>3275</v>
      </c>
      <c r="E28" s="1097"/>
      <c r="F28" s="1097"/>
      <c r="G28" s="1097"/>
      <c r="I28" s="1104"/>
      <c r="J28" s="1104"/>
      <c r="K28" s="1104"/>
      <c r="L28" s="1104">
        <f t="shared" si="1"/>
        <v>0</v>
      </c>
    </row>
    <row r="29" spans="3:12">
      <c r="C29" s="1571" t="s">
        <v>994</v>
      </c>
      <c r="D29" s="1571"/>
      <c r="E29" s="1102">
        <f>E21+E15+E9+E3</f>
        <v>110</v>
      </c>
      <c r="F29" s="1102">
        <f>F21+F15+F9+F3</f>
        <v>35</v>
      </c>
      <c r="G29" s="1102">
        <f>G21+G15+G9+G3</f>
        <v>145</v>
      </c>
      <c r="I29" s="1102" t="s">
        <v>994</v>
      </c>
      <c r="J29" s="1102">
        <f>SUM(J3:J28)</f>
        <v>110</v>
      </c>
      <c r="K29" s="1102">
        <f>SUM(K3:K28)</f>
        <v>35</v>
      </c>
      <c r="L29" s="1102">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0070C0"/>
  </sheetPr>
  <dimension ref="A1:Q18"/>
  <sheetViews>
    <sheetView zoomScale="90" workbookViewId="0">
      <pane ySplit="6" topLeftCell="A7" activePane="bottomLeft" state="frozen"/>
      <selection activeCell="L36" sqref="L36"/>
      <selection pane="bottomLeft" activeCell="P9" sqref="P9"/>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453125" style="648" bestFit="1" customWidth="1"/>
    <col min="7" max="7" width="10.08984375" style="648" bestFit="1" customWidth="1"/>
    <col min="8" max="8" width="11.08984375" style="648" bestFit="1" customWidth="1"/>
    <col min="9" max="9" width="10.26953125" style="648" customWidth="1"/>
    <col min="10" max="10" width="12.6328125" style="648" bestFit="1" customWidth="1"/>
    <col min="11" max="11" width="9.453125" style="648" bestFit="1"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46219</v>
      </c>
    </row>
    <row r="2" spans="1:17" ht="12.5">
      <c r="A2" s="651" t="s">
        <v>3203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368" t="s">
        <v>1782</v>
      </c>
      <c r="B5" s="1368" t="s">
        <v>998</v>
      </c>
      <c r="C5" s="1368" t="s">
        <v>44</v>
      </c>
      <c r="D5" s="1368" t="s">
        <v>45</v>
      </c>
      <c r="E5" s="1368" t="s">
        <v>1761</v>
      </c>
      <c r="F5" s="1368" t="s">
        <v>1441</v>
      </c>
      <c r="G5" s="1370" t="s">
        <v>28</v>
      </c>
      <c r="H5" s="1371"/>
      <c r="I5" s="1371"/>
      <c r="J5" s="1371"/>
      <c r="K5" s="1372"/>
      <c r="L5" s="1562" t="s">
        <v>2396</v>
      </c>
      <c r="M5" s="1368" t="s">
        <v>627</v>
      </c>
      <c r="N5" s="1368" t="s">
        <v>609</v>
      </c>
      <c r="O5" s="659" t="s">
        <v>1762</v>
      </c>
      <c r="P5" s="660" t="s">
        <v>1763</v>
      </c>
      <c r="Q5" s="660" t="s">
        <v>1764</v>
      </c>
    </row>
    <row r="6" spans="1:17" s="661" customFormat="1" ht="17.5" customHeight="1">
      <c r="A6" s="1369"/>
      <c r="B6" s="1369"/>
      <c r="C6" s="1369"/>
      <c r="D6" s="1369"/>
      <c r="E6" s="1369"/>
      <c r="F6" s="1369"/>
      <c r="G6" s="659" t="s">
        <v>1416</v>
      </c>
      <c r="H6" s="659" t="s">
        <v>2394</v>
      </c>
      <c r="I6" s="659" t="s">
        <v>2368</v>
      </c>
      <c r="J6" s="659" t="s">
        <v>2395</v>
      </c>
      <c r="K6" s="659" t="s">
        <v>2386</v>
      </c>
      <c r="L6" s="1563"/>
      <c r="M6" s="1369"/>
      <c r="N6" s="1369"/>
      <c r="O6" s="659"/>
      <c r="P6" s="660"/>
      <c r="Q6" s="660"/>
    </row>
    <row r="7" spans="1:17" s="1039" customFormat="1" ht="41" customHeight="1">
      <c r="A7" s="750">
        <v>1</v>
      </c>
      <c r="B7" s="751" t="s">
        <v>3025</v>
      </c>
      <c r="C7" s="750" t="s">
        <v>3488</v>
      </c>
      <c r="D7" s="750" t="s">
        <v>92</v>
      </c>
      <c r="E7" s="782">
        <f t="shared" ref="E7:E18" si="0">31.932+4.177</f>
        <v>36.108999999999995</v>
      </c>
      <c r="F7" s="752">
        <v>46121</v>
      </c>
      <c r="G7" s="752">
        <v>46162</v>
      </c>
      <c r="H7" s="752">
        <v>46163</v>
      </c>
      <c r="I7" s="752">
        <v>46164</v>
      </c>
      <c r="J7" s="752">
        <v>46164</v>
      </c>
      <c r="K7" s="752">
        <v>46166</v>
      </c>
      <c r="L7" s="752">
        <v>46166</v>
      </c>
      <c r="M7" s="941" t="s">
        <v>631</v>
      </c>
      <c r="N7" s="941"/>
      <c r="O7" s="750" t="s">
        <v>3204</v>
      </c>
      <c r="P7" s="750">
        <v>12</v>
      </c>
      <c r="Q7" s="858" t="s">
        <v>3707</v>
      </c>
    </row>
    <row r="8" spans="1:17" s="1039" customFormat="1" ht="41" customHeight="1">
      <c r="A8" s="750">
        <f>A7+1</f>
        <v>2</v>
      </c>
      <c r="B8" s="751" t="s">
        <v>2392</v>
      </c>
      <c r="C8" s="750" t="s">
        <v>3489</v>
      </c>
      <c r="D8" s="750" t="s">
        <v>92</v>
      </c>
      <c r="E8" s="782">
        <f t="shared" si="0"/>
        <v>36.108999999999995</v>
      </c>
      <c r="F8" s="752">
        <v>46109</v>
      </c>
      <c r="G8" s="752">
        <v>46198</v>
      </c>
      <c r="H8" s="752">
        <v>46199</v>
      </c>
      <c r="I8" s="752">
        <v>46199</v>
      </c>
      <c r="J8" s="752">
        <v>46200</v>
      </c>
      <c r="K8" s="752">
        <v>46200</v>
      </c>
      <c r="L8" s="752">
        <v>46200</v>
      </c>
      <c r="M8" s="941" t="s">
        <v>631</v>
      </c>
      <c r="N8" s="941"/>
      <c r="O8" s="750" t="s">
        <v>3490</v>
      </c>
      <c r="P8" s="750">
        <v>8</v>
      </c>
      <c r="Q8" s="858" t="s">
        <v>3708</v>
      </c>
    </row>
    <row r="9" spans="1:17" s="1039" customFormat="1" ht="50">
      <c r="A9" s="1012">
        <f t="shared" ref="A9:A18" si="1">A8+1</f>
        <v>3</v>
      </c>
      <c r="B9" s="1013" t="s">
        <v>3027</v>
      </c>
      <c r="C9" s="1012" t="s">
        <v>3488</v>
      </c>
      <c r="D9" s="1012" t="s">
        <v>92</v>
      </c>
      <c r="E9" s="1014">
        <f t="shared" si="0"/>
        <v>36.108999999999995</v>
      </c>
      <c r="F9" s="1015">
        <v>46110</v>
      </c>
      <c r="G9" s="1015"/>
      <c r="H9" s="1015"/>
      <c r="I9" s="1015"/>
      <c r="J9" s="1015"/>
      <c r="K9" s="1015"/>
      <c r="L9" s="1015"/>
      <c r="M9" s="811" t="s">
        <v>22</v>
      </c>
      <c r="N9" s="811"/>
      <c r="O9" s="1012" t="s">
        <v>3497</v>
      </c>
      <c r="P9" s="1012">
        <v>7</v>
      </c>
      <c r="Q9" s="794" t="s">
        <v>3725</v>
      </c>
    </row>
    <row r="10" spans="1:17" s="1039" customFormat="1" ht="40.5" customHeight="1">
      <c r="A10" s="1012">
        <f t="shared" si="1"/>
        <v>4</v>
      </c>
      <c r="B10" s="1013" t="s">
        <v>3029</v>
      </c>
      <c r="C10" s="1012" t="s">
        <v>3489</v>
      </c>
      <c r="D10" s="1012" t="s">
        <v>92</v>
      </c>
      <c r="E10" s="1014">
        <f t="shared" si="0"/>
        <v>36.108999999999995</v>
      </c>
      <c r="F10" s="1015">
        <v>46140</v>
      </c>
      <c r="G10" s="1015"/>
      <c r="H10" s="1015"/>
      <c r="I10" s="1015"/>
      <c r="J10" s="1015"/>
      <c r="K10" s="1015"/>
      <c r="L10" s="1015"/>
      <c r="M10" s="811" t="s">
        <v>22</v>
      </c>
      <c r="N10" s="811"/>
      <c r="O10" s="1012" t="s">
        <v>3497</v>
      </c>
      <c r="P10" s="1012">
        <v>6</v>
      </c>
      <c r="Q10" s="794" t="s">
        <v>3491</v>
      </c>
    </row>
    <row r="11" spans="1:17" s="1039" customFormat="1" ht="40.5" customHeight="1">
      <c r="A11" s="750">
        <f t="shared" si="1"/>
        <v>5</v>
      </c>
      <c r="B11" s="751" t="s">
        <v>3285</v>
      </c>
      <c r="C11" s="750" t="s">
        <v>3489</v>
      </c>
      <c r="D11" s="750" t="s">
        <v>92</v>
      </c>
      <c r="E11" s="782">
        <f t="shared" si="0"/>
        <v>36.108999999999995</v>
      </c>
      <c r="F11" s="752">
        <v>46160</v>
      </c>
      <c r="G11" s="752">
        <v>46193</v>
      </c>
      <c r="H11" s="752">
        <v>46194</v>
      </c>
      <c r="I11" s="752">
        <v>46194</v>
      </c>
      <c r="J11" s="752">
        <v>46195</v>
      </c>
      <c r="K11" s="752">
        <v>46195</v>
      </c>
      <c r="L11" s="752">
        <v>46195</v>
      </c>
      <c r="M11" s="941" t="s">
        <v>631</v>
      </c>
      <c r="N11" s="941"/>
      <c r="O11" s="750" t="s">
        <v>3490</v>
      </c>
      <c r="P11" s="750">
        <v>5</v>
      </c>
      <c r="Q11" s="858" t="s">
        <v>3652</v>
      </c>
    </row>
    <row r="12" spans="1:17" s="1039" customFormat="1" ht="40.5" customHeight="1">
      <c r="A12" s="750">
        <f t="shared" si="1"/>
        <v>6</v>
      </c>
      <c r="B12" s="751" t="s">
        <v>3024</v>
      </c>
      <c r="C12" s="750" t="s">
        <v>3488</v>
      </c>
      <c r="D12" s="750" t="s">
        <v>92</v>
      </c>
      <c r="E12" s="782">
        <f t="shared" si="0"/>
        <v>36.108999999999995</v>
      </c>
      <c r="F12" s="752">
        <v>46150</v>
      </c>
      <c r="G12" s="752">
        <v>46192</v>
      </c>
      <c r="H12" s="752">
        <v>46196</v>
      </c>
      <c r="I12" s="752">
        <v>46196</v>
      </c>
      <c r="J12" s="752">
        <v>46197</v>
      </c>
      <c r="K12" s="752">
        <v>46197</v>
      </c>
      <c r="L12" s="752">
        <v>46197</v>
      </c>
      <c r="M12" s="941" t="s">
        <v>631</v>
      </c>
      <c r="N12" s="941"/>
      <c r="O12" s="750" t="s">
        <v>3204</v>
      </c>
      <c r="P12" s="750">
        <v>12</v>
      </c>
      <c r="Q12" s="858" t="s">
        <v>3652</v>
      </c>
    </row>
    <row r="13" spans="1:17" s="1039" customFormat="1" ht="40.5" customHeight="1">
      <c r="A13" s="750">
        <f t="shared" si="1"/>
        <v>7</v>
      </c>
      <c r="B13" s="751" t="s">
        <v>3023</v>
      </c>
      <c r="C13" s="750" t="s">
        <v>3488</v>
      </c>
      <c r="D13" s="750" t="s">
        <v>92</v>
      </c>
      <c r="E13" s="782">
        <f t="shared" si="0"/>
        <v>36.108999999999995</v>
      </c>
      <c r="F13" s="752">
        <v>46179</v>
      </c>
      <c r="G13" s="752">
        <v>46188</v>
      </c>
      <c r="H13" s="752">
        <v>46202</v>
      </c>
      <c r="I13" s="752">
        <v>46202</v>
      </c>
      <c r="J13" s="752">
        <v>46202</v>
      </c>
      <c r="K13" s="752">
        <v>46203</v>
      </c>
      <c r="L13" s="752">
        <v>46203</v>
      </c>
      <c r="M13" s="941" t="s">
        <v>631</v>
      </c>
      <c r="N13" s="1003">
        <v>46205</v>
      </c>
      <c r="O13" s="750" t="s">
        <v>3616</v>
      </c>
      <c r="P13" s="750">
        <v>12</v>
      </c>
      <c r="Q13" s="858"/>
    </row>
    <row r="14" spans="1:17" s="1039" customFormat="1" ht="40.5" customHeight="1">
      <c r="A14" s="1012">
        <f t="shared" si="1"/>
        <v>8</v>
      </c>
      <c r="B14" s="1013" t="s">
        <v>3634</v>
      </c>
      <c r="C14" s="1012" t="s">
        <v>3489</v>
      </c>
      <c r="D14" s="1012" t="s">
        <v>92</v>
      </c>
      <c r="E14" s="1014">
        <f t="shared" si="0"/>
        <v>36.108999999999995</v>
      </c>
      <c r="F14" s="1015">
        <v>46187</v>
      </c>
      <c r="G14" s="1015"/>
      <c r="H14" s="1015"/>
      <c r="I14" s="1015"/>
      <c r="J14" s="1015"/>
      <c r="K14" s="1015"/>
      <c r="L14" s="1015"/>
      <c r="M14" s="811" t="s">
        <v>22</v>
      </c>
      <c r="N14" s="811"/>
      <c r="O14" s="1012" t="s">
        <v>3204</v>
      </c>
      <c r="P14" s="1012">
        <v>12</v>
      </c>
      <c r="Q14" s="794" t="s">
        <v>3713</v>
      </c>
    </row>
    <row r="15" spans="1:17" s="1039" customFormat="1" ht="40.5" customHeight="1">
      <c r="A15" s="1012">
        <f t="shared" si="1"/>
        <v>9</v>
      </c>
      <c r="B15" s="1013" t="s">
        <v>3030</v>
      </c>
      <c r="C15" s="1012" t="s">
        <v>3489</v>
      </c>
      <c r="D15" s="1012" t="s">
        <v>92</v>
      </c>
      <c r="E15" s="1014">
        <f t="shared" si="0"/>
        <v>36.108999999999995</v>
      </c>
      <c r="F15" s="1015">
        <v>46193</v>
      </c>
      <c r="G15" s="1015"/>
      <c r="H15" s="1015"/>
      <c r="I15" s="1015"/>
      <c r="J15" s="1015"/>
      <c r="K15" s="1015"/>
      <c r="L15" s="1015"/>
      <c r="M15" s="811" t="s">
        <v>22</v>
      </c>
      <c r="N15" s="811"/>
      <c r="O15" s="1012" t="s">
        <v>3213</v>
      </c>
      <c r="P15" s="1012">
        <v>14</v>
      </c>
      <c r="Q15" s="794" t="s">
        <v>3712</v>
      </c>
    </row>
    <row r="16" spans="1:17" s="1039" customFormat="1" ht="40.5" customHeight="1">
      <c r="A16" s="1012">
        <f t="shared" si="1"/>
        <v>10</v>
      </c>
      <c r="B16" s="1013" t="s">
        <v>3031</v>
      </c>
      <c r="C16" s="1012" t="s">
        <v>3659</v>
      </c>
      <c r="D16" s="1012" t="s">
        <v>92</v>
      </c>
      <c r="E16" s="1014">
        <f t="shared" si="0"/>
        <v>36.108999999999995</v>
      </c>
      <c r="F16" s="1015">
        <v>46201</v>
      </c>
      <c r="G16" s="1015"/>
      <c r="H16" s="1015"/>
      <c r="I16" s="1015"/>
      <c r="J16" s="1015"/>
      <c r="K16" s="1015"/>
      <c r="L16" s="1015"/>
      <c r="M16" s="811" t="s">
        <v>22</v>
      </c>
      <c r="N16" s="811"/>
      <c r="O16" s="1012" t="s">
        <v>3213</v>
      </c>
      <c r="P16" s="1012">
        <v>6</v>
      </c>
      <c r="Q16" s="794" t="s">
        <v>3726</v>
      </c>
    </row>
    <row r="17" spans="1:17" s="1039" customFormat="1" ht="40.5" customHeight="1">
      <c r="A17" s="1012">
        <f t="shared" si="1"/>
        <v>11</v>
      </c>
      <c r="B17" s="1013" t="s">
        <v>3661</v>
      </c>
      <c r="C17" s="1012" t="s">
        <v>3489</v>
      </c>
      <c r="D17" s="1012" t="s">
        <v>92</v>
      </c>
      <c r="E17" s="1014">
        <f t="shared" si="0"/>
        <v>36.108999999999995</v>
      </c>
      <c r="F17" s="1015">
        <v>46202</v>
      </c>
      <c r="G17" s="1015">
        <v>46208</v>
      </c>
      <c r="H17" s="1015"/>
      <c r="I17" s="1015"/>
      <c r="J17" s="1015"/>
      <c r="K17" s="1015"/>
      <c r="L17" s="1015"/>
      <c r="M17" s="811" t="s">
        <v>22</v>
      </c>
      <c r="N17" s="811"/>
      <c r="O17" s="1012" t="s">
        <v>3616</v>
      </c>
      <c r="P17" s="1012">
        <v>6</v>
      </c>
      <c r="Q17" s="794" t="s">
        <v>3679</v>
      </c>
    </row>
    <row r="18" spans="1:17" s="1039" customFormat="1" ht="40.5" customHeight="1">
      <c r="A18" s="1012">
        <f t="shared" si="1"/>
        <v>12</v>
      </c>
      <c r="B18" s="1013" t="s">
        <v>3676</v>
      </c>
      <c r="C18" s="1012" t="s">
        <v>3489</v>
      </c>
      <c r="D18" s="1012" t="s">
        <v>92</v>
      </c>
      <c r="E18" s="1014">
        <f t="shared" si="0"/>
        <v>36.108999999999995</v>
      </c>
      <c r="F18" s="1015">
        <v>46206</v>
      </c>
      <c r="G18" s="1015"/>
      <c r="H18" s="1015"/>
      <c r="I18" s="1015"/>
      <c r="J18" s="1015"/>
      <c r="K18" s="1015"/>
      <c r="L18" s="1015"/>
      <c r="M18" s="811" t="s">
        <v>22</v>
      </c>
      <c r="N18" s="811"/>
      <c r="O18" s="1012" t="s">
        <v>3616</v>
      </c>
      <c r="P18" s="1012">
        <v>6</v>
      </c>
      <c r="Q18" s="794" t="s">
        <v>3727</v>
      </c>
    </row>
  </sheetData>
  <autoFilter ref="A6:Q7" xr:uid="{25B1D0EB-708F-4A06-9C00-687ACFD68158}"/>
  <mergeCells count="10">
    <mergeCell ref="N5:N6"/>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70C0"/>
  </sheetPr>
  <dimension ref="A1:L161"/>
  <sheetViews>
    <sheetView zoomScale="90" zoomScaleNormal="90" workbookViewId="0">
      <pane ySplit="6" topLeftCell="A153" activePane="bottomLeft" state="frozen"/>
      <selection activeCell="H158" sqref="H158"/>
      <selection pane="bottomLeft" activeCell="H160" sqref="H160"/>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12.08984375" style="648" bestFit="1" customWidth="1"/>
    <col min="7" max="7" width="10.7265625" style="649" bestFit="1" customWidth="1"/>
    <col min="8" max="8" width="14.81640625" style="648" bestFit="1" customWidth="1"/>
    <col min="9" max="9" width="19.08984375" style="650" bestFit="1" customWidth="1"/>
    <col min="10" max="10" width="12.6328125" style="650" bestFit="1" customWidth="1"/>
    <col min="11" max="11" width="12.6328125" style="1305" hidden="1" customWidth="1"/>
    <col min="12" max="12" width="38.81640625" style="648" bestFit="1" customWidth="1"/>
    <col min="13" max="13" width="7.90625" style="648" customWidth="1"/>
    <col min="14" max="14" width="12.453125" style="648" customWidth="1"/>
    <col min="15" max="16384" width="7.90625" style="648"/>
  </cols>
  <sheetData>
    <row r="1" spans="1:12" ht="12.5">
      <c r="A1" s="1572" t="s">
        <v>37</v>
      </c>
      <c r="B1" s="1572"/>
      <c r="C1" s="1572"/>
      <c r="D1" s="1572"/>
      <c r="E1" s="1572"/>
      <c r="F1" s="1572"/>
      <c r="G1" s="1572"/>
      <c r="H1" s="1572"/>
      <c r="I1" s="698" t="s">
        <v>38</v>
      </c>
      <c r="J1" s="699">
        <f>'TB-605'!E1</f>
        <v>46219</v>
      </c>
      <c r="K1" s="699"/>
    </row>
    <row r="2" spans="1:12" ht="12.5">
      <c r="A2" s="651" t="s">
        <v>2825</v>
      </c>
      <c r="B2" s="652"/>
      <c r="C2" s="653"/>
      <c r="D2" s="653"/>
      <c r="E2" s="653"/>
      <c r="F2" s="653"/>
      <c r="H2" s="653"/>
      <c r="K2" s="650"/>
    </row>
    <row r="3" spans="1:12" ht="12.5">
      <c r="A3" s="651" t="s">
        <v>3200</v>
      </c>
      <c r="B3" s="651"/>
      <c r="C3" s="654"/>
      <c r="D3" s="654"/>
      <c r="E3" s="654"/>
      <c r="F3" s="654"/>
      <c r="H3" s="654"/>
      <c r="K3" s="650"/>
    </row>
    <row r="4" spans="1:12" ht="12.9" customHeight="1">
      <c r="K4" s="650"/>
    </row>
    <row r="5" spans="1:12" s="661" customFormat="1" ht="17.5" customHeight="1">
      <c r="A5" s="1368" t="s">
        <v>1782</v>
      </c>
      <c r="B5" s="1368" t="s">
        <v>998</v>
      </c>
      <c r="C5" s="1368" t="s">
        <v>44</v>
      </c>
      <c r="D5" s="1562" t="s">
        <v>3199</v>
      </c>
      <c r="E5" s="1368" t="s">
        <v>1761</v>
      </c>
      <c r="F5" s="1562" t="s">
        <v>3234</v>
      </c>
      <c r="G5" s="1562" t="s">
        <v>3201</v>
      </c>
      <c r="H5" s="1368" t="s">
        <v>627</v>
      </c>
      <c r="I5" s="1368" t="s">
        <v>1762</v>
      </c>
      <c r="J5" s="1562" t="s">
        <v>1763</v>
      </c>
      <c r="K5" s="1562" t="s">
        <v>3636</v>
      </c>
      <c r="L5" s="660" t="s">
        <v>1764</v>
      </c>
    </row>
    <row r="6" spans="1:12" s="661" customFormat="1" ht="17.5" customHeight="1">
      <c r="A6" s="1369"/>
      <c r="B6" s="1369"/>
      <c r="C6" s="1369"/>
      <c r="D6" s="1369"/>
      <c r="E6" s="1369"/>
      <c r="F6" s="1369"/>
      <c r="G6" s="1369"/>
      <c r="H6" s="1369"/>
      <c r="I6" s="1369"/>
      <c r="J6" s="1563"/>
      <c r="K6" s="1563"/>
      <c r="L6" s="660"/>
    </row>
    <row r="7" spans="1:12" s="1039" customFormat="1" ht="31" customHeight="1">
      <c r="A7" s="750">
        <v>1</v>
      </c>
      <c r="B7" s="751" t="s">
        <v>2851</v>
      </c>
      <c r="C7" s="750" t="s">
        <v>62</v>
      </c>
      <c r="D7" s="750">
        <v>19.440000000000001</v>
      </c>
      <c r="E7" s="782">
        <v>34.389000000000003</v>
      </c>
      <c r="F7" s="752">
        <v>46055</v>
      </c>
      <c r="G7" s="752">
        <v>46059</v>
      </c>
      <c r="H7" s="750" t="s">
        <v>631</v>
      </c>
      <c r="I7" s="750" t="s">
        <v>3264</v>
      </c>
      <c r="J7" s="750">
        <v>30</v>
      </c>
      <c r="K7" s="1012"/>
      <c r="L7" s="1093"/>
    </row>
    <row r="8" spans="1:12" s="1039" customFormat="1" ht="31" customHeight="1">
      <c r="A8" s="750">
        <f t="shared" ref="A8:A91" si="0">A7+1</f>
        <v>2</v>
      </c>
      <c r="B8" s="751" t="s">
        <v>2379</v>
      </c>
      <c r="C8" s="750" t="s">
        <v>76</v>
      </c>
      <c r="D8" s="1123">
        <v>18.338999999999999</v>
      </c>
      <c r="E8" s="782"/>
      <c r="F8" s="752">
        <v>46056</v>
      </c>
      <c r="G8" s="752">
        <v>46060</v>
      </c>
      <c r="H8" s="750" t="s">
        <v>631</v>
      </c>
      <c r="I8" s="750" t="s">
        <v>3279</v>
      </c>
      <c r="J8" s="750">
        <v>34</v>
      </c>
      <c r="K8" s="1012"/>
      <c r="L8" s="1093"/>
    </row>
    <row r="9" spans="1:12" s="1039" customFormat="1" ht="31" customHeight="1">
      <c r="A9" s="750">
        <f t="shared" si="0"/>
        <v>3</v>
      </c>
      <c r="B9" s="751" t="s">
        <v>2869</v>
      </c>
      <c r="C9" s="750" t="s">
        <v>76</v>
      </c>
      <c r="D9" s="1123">
        <v>18.338999999999999</v>
      </c>
      <c r="E9" s="782"/>
      <c r="F9" s="752">
        <v>46059</v>
      </c>
      <c r="G9" s="752">
        <v>46061</v>
      </c>
      <c r="H9" s="750" t="s">
        <v>631</v>
      </c>
      <c r="I9" s="750" t="s">
        <v>3264</v>
      </c>
      <c r="J9" s="750">
        <v>30</v>
      </c>
      <c r="K9" s="1012" t="s">
        <v>631</v>
      </c>
      <c r="L9" s="1093"/>
    </row>
    <row r="10" spans="1:12" s="1039" customFormat="1" ht="31" customHeight="1">
      <c r="A10" s="750">
        <f t="shared" si="0"/>
        <v>4</v>
      </c>
      <c r="B10" s="751" t="s">
        <v>2860</v>
      </c>
      <c r="C10" s="750" t="s">
        <v>76</v>
      </c>
      <c r="D10" s="1123">
        <v>18.338999999999999</v>
      </c>
      <c r="E10" s="782"/>
      <c r="F10" s="752">
        <v>46058</v>
      </c>
      <c r="G10" s="752">
        <v>46062</v>
      </c>
      <c r="H10" s="750" t="s">
        <v>631</v>
      </c>
      <c r="I10" s="750" t="s">
        <v>3284</v>
      </c>
      <c r="J10" s="750">
        <v>22</v>
      </c>
      <c r="K10" s="1012"/>
      <c r="L10" s="1093"/>
    </row>
    <row r="11" spans="1:12" s="1039" customFormat="1" ht="31" customHeight="1">
      <c r="A11" s="750">
        <f t="shared" si="0"/>
        <v>5</v>
      </c>
      <c r="B11" s="751" t="s">
        <v>2847</v>
      </c>
      <c r="C11" s="750" t="s">
        <v>53</v>
      </c>
      <c r="D11" s="750">
        <v>22.68</v>
      </c>
      <c r="E11" s="782">
        <v>21.318000000000001</v>
      </c>
      <c r="F11" s="752">
        <v>46055</v>
      </c>
      <c r="G11" s="752">
        <v>46063</v>
      </c>
      <c r="H11" s="750" t="s">
        <v>631</v>
      </c>
      <c r="I11" s="750" t="s">
        <v>3265</v>
      </c>
      <c r="J11" s="750">
        <v>32</v>
      </c>
      <c r="K11" s="1012"/>
      <c r="L11" s="1093"/>
    </row>
    <row r="12" spans="1:12" s="1039" customFormat="1" ht="31" customHeight="1">
      <c r="A12" s="750">
        <f t="shared" si="0"/>
        <v>6</v>
      </c>
      <c r="B12" s="751" t="s">
        <v>2378</v>
      </c>
      <c r="C12" s="750" t="s">
        <v>76</v>
      </c>
      <c r="D12" s="1123">
        <v>18.338999999999999</v>
      </c>
      <c r="E12" s="782"/>
      <c r="F12" s="752">
        <v>46060</v>
      </c>
      <c r="G12" s="752">
        <v>46064</v>
      </c>
      <c r="H12" s="750" t="s">
        <v>631</v>
      </c>
      <c r="I12" s="750" t="s">
        <v>3279</v>
      </c>
      <c r="J12" s="750">
        <v>34</v>
      </c>
      <c r="K12" s="1012"/>
      <c r="L12" s="1093"/>
    </row>
    <row r="13" spans="1:12" s="1039" customFormat="1" ht="31" customHeight="1">
      <c r="A13" s="750">
        <f t="shared" si="0"/>
        <v>7</v>
      </c>
      <c r="B13" s="751" t="s">
        <v>2858</v>
      </c>
      <c r="C13" s="750" t="s">
        <v>76</v>
      </c>
      <c r="D13" s="1123">
        <v>18.338999999999999</v>
      </c>
      <c r="E13" s="782"/>
      <c r="F13" s="752">
        <v>46061</v>
      </c>
      <c r="G13" s="752">
        <v>46064</v>
      </c>
      <c r="H13" s="750" t="s">
        <v>631</v>
      </c>
      <c r="I13" s="750" t="s">
        <v>3264</v>
      </c>
      <c r="J13" s="750">
        <v>30</v>
      </c>
      <c r="K13" s="1012" t="s">
        <v>631</v>
      </c>
      <c r="L13" s="1093"/>
    </row>
    <row r="14" spans="1:12" s="1039" customFormat="1" ht="31" customHeight="1">
      <c r="A14" s="750">
        <f t="shared" si="0"/>
        <v>8</v>
      </c>
      <c r="B14" s="751" t="s">
        <v>2870</v>
      </c>
      <c r="C14" s="750" t="s">
        <v>76</v>
      </c>
      <c r="D14" s="1123">
        <v>18.338999999999999</v>
      </c>
      <c r="E14" s="782"/>
      <c r="F14" s="752">
        <v>46062</v>
      </c>
      <c r="G14" s="752">
        <v>46065</v>
      </c>
      <c r="H14" s="750" t="s">
        <v>631</v>
      </c>
      <c r="I14" s="750" t="s">
        <v>3284</v>
      </c>
      <c r="J14" s="750">
        <v>22</v>
      </c>
      <c r="K14" s="1012"/>
      <c r="L14" s="1093"/>
    </row>
    <row r="15" spans="1:12" s="1039" customFormat="1" ht="31" customHeight="1">
      <c r="A15" s="750">
        <f t="shared" si="0"/>
        <v>9</v>
      </c>
      <c r="B15" s="751" t="s">
        <v>3094</v>
      </c>
      <c r="C15" s="750" t="s">
        <v>76</v>
      </c>
      <c r="D15" s="1123">
        <v>18.338999999999999</v>
      </c>
      <c r="E15" s="782"/>
      <c r="F15" s="752">
        <v>46064</v>
      </c>
      <c r="G15" s="752">
        <v>46066</v>
      </c>
      <c r="H15" s="750" t="s">
        <v>631</v>
      </c>
      <c r="I15" s="750" t="s">
        <v>3264</v>
      </c>
      <c r="J15" s="750">
        <v>30</v>
      </c>
      <c r="K15" s="1012" t="s">
        <v>631</v>
      </c>
      <c r="L15" s="1093"/>
    </row>
    <row r="16" spans="1:12" s="1039" customFormat="1" ht="31" customHeight="1">
      <c r="A16" s="750">
        <f t="shared" si="0"/>
        <v>10</v>
      </c>
      <c r="B16" s="751" t="s">
        <v>2453</v>
      </c>
      <c r="C16" s="750" t="s">
        <v>62</v>
      </c>
      <c r="D16" s="750">
        <v>19.440000000000001</v>
      </c>
      <c r="E16" s="782"/>
      <c r="F16" s="752">
        <v>46064</v>
      </c>
      <c r="G16" s="752">
        <v>46069</v>
      </c>
      <c r="H16" s="750" t="s">
        <v>631</v>
      </c>
      <c r="I16" s="750" t="s">
        <v>3296</v>
      </c>
      <c r="J16" s="750">
        <v>34</v>
      </c>
      <c r="K16" s="1012"/>
      <c r="L16" s="1093"/>
    </row>
    <row r="17" spans="1:12" s="1039" customFormat="1" ht="31" customHeight="1">
      <c r="A17" s="750">
        <f t="shared" si="0"/>
        <v>11</v>
      </c>
      <c r="B17" s="751" t="s">
        <v>2842</v>
      </c>
      <c r="C17" s="750" t="s">
        <v>76</v>
      </c>
      <c r="D17" s="1123">
        <v>18.338999999999999</v>
      </c>
      <c r="E17" s="782"/>
      <c r="F17" s="752">
        <v>46065</v>
      </c>
      <c r="G17" s="752">
        <v>46069</v>
      </c>
      <c r="H17" s="750" t="s">
        <v>631</v>
      </c>
      <c r="I17" s="750" t="s">
        <v>3297</v>
      </c>
      <c r="J17" s="750">
        <v>30</v>
      </c>
      <c r="K17" s="1012"/>
      <c r="L17" s="1093"/>
    </row>
    <row r="18" spans="1:12" s="1039" customFormat="1" ht="31" customHeight="1">
      <c r="A18" s="750">
        <f t="shared" si="0"/>
        <v>12</v>
      </c>
      <c r="B18" s="751" t="s">
        <v>2503</v>
      </c>
      <c r="C18" s="750" t="s">
        <v>76</v>
      </c>
      <c r="D18" s="1123">
        <v>18.338999999999999</v>
      </c>
      <c r="E18" s="782"/>
      <c r="F18" s="752">
        <v>46065</v>
      </c>
      <c r="G18" s="752">
        <v>46070</v>
      </c>
      <c r="H18" s="750" t="s">
        <v>631</v>
      </c>
      <c r="I18" s="750" t="s">
        <v>3293</v>
      </c>
      <c r="J18" s="750">
        <v>30</v>
      </c>
      <c r="K18" s="1012"/>
      <c r="L18" s="1093"/>
    </row>
    <row r="19" spans="1:12" s="1039" customFormat="1" ht="31" customHeight="1">
      <c r="A19" s="750">
        <f t="shared" si="0"/>
        <v>13</v>
      </c>
      <c r="B19" s="751" t="s">
        <v>3093</v>
      </c>
      <c r="C19" s="750" t="s">
        <v>62</v>
      </c>
      <c r="D19" s="750">
        <v>19.440000000000001</v>
      </c>
      <c r="E19" s="782"/>
      <c r="F19" s="752">
        <v>46065</v>
      </c>
      <c r="G19" s="752">
        <v>46070</v>
      </c>
      <c r="H19" s="750" t="s">
        <v>631</v>
      </c>
      <c r="I19" s="750" t="s">
        <v>3284</v>
      </c>
      <c r="J19" s="750">
        <v>22</v>
      </c>
      <c r="K19" s="1012"/>
      <c r="L19" s="1093"/>
    </row>
    <row r="20" spans="1:12" s="1039" customFormat="1" ht="31" customHeight="1">
      <c r="A20" s="750">
        <f t="shared" si="0"/>
        <v>14</v>
      </c>
      <c r="B20" s="751" t="s">
        <v>2960</v>
      </c>
      <c r="C20" s="750" t="s">
        <v>1277</v>
      </c>
      <c r="D20" s="1123">
        <v>32.222000000000001</v>
      </c>
      <c r="E20" s="782"/>
      <c r="F20" s="752">
        <v>46066</v>
      </c>
      <c r="G20" s="752">
        <v>46070</v>
      </c>
      <c r="H20" s="750" t="s">
        <v>631</v>
      </c>
      <c r="I20" s="750" t="s">
        <v>3264</v>
      </c>
      <c r="J20" s="750">
        <v>30</v>
      </c>
      <c r="K20" s="1012" t="s">
        <v>631</v>
      </c>
      <c r="L20" s="1093"/>
    </row>
    <row r="21" spans="1:12" s="1039" customFormat="1" ht="31" customHeight="1">
      <c r="A21" s="750">
        <f t="shared" si="0"/>
        <v>15</v>
      </c>
      <c r="B21" s="751" t="s">
        <v>2859</v>
      </c>
      <c r="C21" s="750" t="s">
        <v>76</v>
      </c>
      <c r="D21" s="1123">
        <v>18.338999999999999</v>
      </c>
      <c r="E21" s="782"/>
      <c r="F21" s="752">
        <v>46070</v>
      </c>
      <c r="G21" s="752">
        <v>46073</v>
      </c>
      <c r="H21" s="750" t="s">
        <v>631</v>
      </c>
      <c r="I21" s="750" t="s">
        <v>3297</v>
      </c>
      <c r="J21" s="750">
        <v>30</v>
      </c>
      <c r="K21" s="1012" t="s">
        <v>631</v>
      </c>
      <c r="L21" s="1093"/>
    </row>
    <row r="22" spans="1:12" s="1039" customFormat="1" ht="31" customHeight="1">
      <c r="A22" s="750">
        <f t="shared" si="0"/>
        <v>16</v>
      </c>
      <c r="B22" s="751" t="s">
        <v>2995</v>
      </c>
      <c r="C22" s="750" t="s">
        <v>1269</v>
      </c>
      <c r="D22" s="1123">
        <v>27.92</v>
      </c>
      <c r="E22" s="782"/>
      <c r="F22" s="752">
        <v>46069</v>
      </c>
      <c r="G22" s="752">
        <v>46073</v>
      </c>
      <c r="H22" s="750" t="s">
        <v>631</v>
      </c>
      <c r="I22" s="750" t="s">
        <v>3296</v>
      </c>
      <c r="J22" s="750">
        <v>34</v>
      </c>
      <c r="K22" s="1012" t="s">
        <v>631</v>
      </c>
      <c r="L22" s="1093"/>
    </row>
    <row r="23" spans="1:12" s="1039" customFormat="1" ht="31" customHeight="1">
      <c r="A23" s="750">
        <f t="shared" si="0"/>
        <v>17</v>
      </c>
      <c r="B23" s="751" t="s">
        <v>3108</v>
      </c>
      <c r="C23" s="750" t="s">
        <v>62</v>
      </c>
      <c r="D23" s="1123">
        <v>19.440000000000001</v>
      </c>
      <c r="E23" s="782"/>
      <c r="F23" s="752">
        <v>46070</v>
      </c>
      <c r="G23" s="752">
        <v>46073</v>
      </c>
      <c r="H23" s="750" t="s">
        <v>631</v>
      </c>
      <c r="I23" s="750" t="s">
        <v>3284</v>
      </c>
      <c r="J23" s="750">
        <v>22</v>
      </c>
      <c r="K23" s="1012"/>
      <c r="L23" s="1093"/>
    </row>
    <row r="24" spans="1:12" s="1039" customFormat="1" ht="31" customHeight="1">
      <c r="A24" s="1047">
        <f t="shared" si="0"/>
        <v>18</v>
      </c>
      <c r="B24" s="1048" t="s">
        <v>2201</v>
      </c>
      <c r="C24" s="1047" t="s">
        <v>76</v>
      </c>
      <c r="D24" s="1123">
        <v>18.338999999999999</v>
      </c>
      <c r="E24" s="947"/>
      <c r="F24" s="1049">
        <v>46070</v>
      </c>
      <c r="G24" s="1049">
        <v>46075</v>
      </c>
      <c r="H24" s="750" t="s">
        <v>631</v>
      </c>
      <c r="I24" s="1047" t="s">
        <v>1783</v>
      </c>
      <c r="J24" s="1047">
        <v>23</v>
      </c>
      <c r="K24" s="1012" t="s">
        <v>631</v>
      </c>
      <c r="L24" s="1093"/>
    </row>
    <row r="25" spans="1:12" s="1039" customFormat="1" ht="31" customHeight="1">
      <c r="A25" s="1047">
        <f t="shared" si="0"/>
        <v>19</v>
      </c>
      <c r="B25" s="1048" t="s">
        <v>2957</v>
      </c>
      <c r="C25" s="1047" t="s">
        <v>1269</v>
      </c>
      <c r="D25" s="1124">
        <v>27.92</v>
      </c>
      <c r="E25" s="947"/>
      <c r="F25" s="1049">
        <v>46070</v>
      </c>
      <c r="G25" s="1049">
        <v>46074</v>
      </c>
      <c r="H25" s="750" t="s">
        <v>631</v>
      </c>
      <c r="I25" s="1047" t="s">
        <v>3264</v>
      </c>
      <c r="J25" s="1047">
        <v>30</v>
      </c>
      <c r="K25" s="1012" t="s">
        <v>631</v>
      </c>
      <c r="L25" s="1093"/>
    </row>
    <row r="26" spans="1:12" s="1039" customFormat="1" ht="31" customHeight="1">
      <c r="A26" s="1047">
        <f t="shared" si="0"/>
        <v>20</v>
      </c>
      <c r="B26" s="1048" t="s">
        <v>2504</v>
      </c>
      <c r="C26" s="1047" t="s">
        <v>62</v>
      </c>
      <c r="D26" s="1124">
        <v>19.440000000000001</v>
      </c>
      <c r="E26" s="947"/>
      <c r="F26" s="1049">
        <v>46070</v>
      </c>
      <c r="G26" s="1049">
        <v>46075</v>
      </c>
      <c r="H26" s="1047" t="s">
        <v>631</v>
      </c>
      <c r="I26" s="1047" t="s">
        <v>3293</v>
      </c>
      <c r="J26" s="1047">
        <v>30</v>
      </c>
      <c r="K26" s="1012"/>
      <c r="L26" s="1093"/>
    </row>
    <row r="27" spans="1:12" s="1039" customFormat="1" ht="31" customHeight="1">
      <c r="A27" s="750">
        <f t="shared" si="0"/>
        <v>21</v>
      </c>
      <c r="B27" s="751" t="s">
        <v>2377</v>
      </c>
      <c r="C27" s="750" t="s">
        <v>76</v>
      </c>
      <c r="D27" s="1123">
        <v>18.338999999999999</v>
      </c>
      <c r="E27" s="782"/>
      <c r="F27" s="752">
        <v>46074</v>
      </c>
      <c r="G27" s="752">
        <v>46076</v>
      </c>
      <c r="H27" s="750" t="s">
        <v>631</v>
      </c>
      <c r="I27" s="750" t="s">
        <v>3296</v>
      </c>
      <c r="J27" s="750">
        <v>34</v>
      </c>
      <c r="K27" s="1012"/>
      <c r="L27" s="1093"/>
    </row>
    <row r="28" spans="1:12" s="1039" customFormat="1" ht="31" customHeight="1">
      <c r="A28" s="750">
        <f t="shared" si="0"/>
        <v>22</v>
      </c>
      <c r="B28" s="751" t="s">
        <v>2963</v>
      </c>
      <c r="C28" s="750" t="s">
        <v>90</v>
      </c>
      <c r="D28" s="1123">
        <v>29.492000000000001</v>
      </c>
      <c r="E28" s="782"/>
      <c r="F28" s="752">
        <v>46075</v>
      </c>
      <c r="G28" s="752">
        <v>46079</v>
      </c>
      <c r="H28" s="750" t="s">
        <v>631</v>
      </c>
      <c r="I28" s="750" t="s">
        <v>3284</v>
      </c>
      <c r="J28" s="750">
        <v>22</v>
      </c>
      <c r="K28" s="1012"/>
      <c r="L28" s="1093"/>
    </row>
    <row r="29" spans="1:12" s="1039" customFormat="1" ht="31" customHeight="1">
      <c r="A29" s="750">
        <f t="shared" si="0"/>
        <v>23</v>
      </c>
      <c r="B29" s="751" t="s">
        <v>2955</v>
      </c>
      <c r="C29" s="750" t="s">
        <v>1277</v>
      </c>
      <c r="D29" s="1123">
        <v>32.222000000000001</v>
      </c>
      <c r="E29" s="782"/>
      <c r="F29" s="752">
        <v>46073</v>
      </c>
      <c r="G29" s="752">
        <v>46078</v>
      </c>
      <c r="H29" s="750" t="s">
        <v>631</v>
      </c>
      <c r="I29" s="750" t="s">
        <v>3297</v>
      </c>
      <c r="J29" s="750">
        <v>30</v>
      </c>
      <c r="K29" s="1012" t="s">
        <v>631</v>
      </c>
      <c r="L29" s="1093"/>
    </row>
    <row r="30" spans="1:12" s="1039" customFormat="1" ht="31" customHeight="1">
      <c r="A30" s="750">
        <f t="shared" si="0"/>
        <v>24</v>
      </c>
      <c r="B30" s="751" t="s">
        <v>2958</v>
      </c>
      <c r="C30" s="750" t="s">
        <v>1361</v>
      </c>
      <c r="D30" s="1123">
        <v>33.53</v>
      </c>
      <c r="E30" s="782"/>
      <c r="F30" s="752">
        <v>46074</v>
      </c>
      <c r="G30" s="752">
        <v>46078</v>
      </c>
      <c r="H30" s="750" t="s">
        <v>631</v>
      </c>
      <c r="I30" s="750" t="s">
        <v>3264</v>
      </c>
      <c r="J30" s="750">
        <v>30</v>
      </c>
      <c r="K30" s="1012" t="s">
        <v>631</v>
      </c>
      <c r="L30" s="1093"/>
    </row>
    <row r="31" spans="1:12" s="1039" customFormat="1" ht="31" customHeight="1">
      <c r="A31" s="1047">
        <f t="shared" si="0"/>
        <v>25</v>
      </c>
      <c r="B31" s="1048" t="s">
        <v>2202</v>
      </c>
      <c r="C31" s="1047" t="s">
        <v>62</v>
      </c>
      <c r="D31" s="1124">
        <v>19.440000000000001</v>
      </c>
      <c r="E31" s="947"/>
      <c r="F31" s="1049">
        <v>46075</v>
      </c>
      <c r="G31" s="1049">
        <v>46080</v>
      </c>
      <c r="H31" s="1047" t="s">
        <v>631</v>
      </c>
      <c r="I31" s="1047" t="s">
        <v>1783</v>
      </c>
      <c r="J31" s="1047">
        <v>23</v>
      </c>
      <c r="K31" s="1012" t="s">
        <v>631</v>
      </c>
      <c r="L31" s="1093"/>
    </row>
    <row r="32" spans="1:12" s="1039" customFormat="1" ht="31" customHeight="1">
      <c r="A32" s="1047">
        <f t="shared" si="0"/>
        <v>26</v>
      </c>
      <c r="B32" s="1048" t="s">
        <v>2502</v>
      </c>
      <c r="C32" s="1047" t="s">
        <v>62</v>
      </c>
      <c r="D32" s="1124">
        <v>19.440000000000001</v>
      </c>
      <c r="E32" s="947"/>
      <c r="F32" s="1049">
        <v>46076</v>
      </c>
      <c r="G32" s="1049">
        <v>46080</v>
      </c>
      <c r="H32" s="1047" t="s">
        <v>631</v>
      </c>
      <c r="I32" s="1047" t="s">
        <v>3293</v>
      </c>
      <c r="J32" s="1047">
        <v>30</v>
      </c>
      <c r="K32" s="1012"/>
      <c r="L32" s="1093"/>
    </row>
    <row r="33" spans="1:12" s="1039" customFormat="1" ht="31" customHeight="1">
      <c r="A33" s="750">
        <f t="shared" si="0"/>
        <v>27</v>
      </c>
      <c r="B33" s="751" t="s">
        <v>2997</v>
      </c>
      <c r="C33" s="750" t="s">
        <v>1269</v>
      </c>
      <c r="D33" s="1123">
        <v>27.92</v>
      </c>
      <c r="E33" s="782"/>
      <c r="F33" s="752">
        <v>46077</v>
      </c>
      <c r="G33" s="752">
        <v>46081</v>
      </c>
      <c r="H33" s="750" t="s">
        <v>631</v>
      </c>
      <c r="I33" s="750" t="s">
        <v>3297</v>
      </c>
      <c r="J33" s="750">
        <v>30</v>
      </c>
      <c r="K33" s="1012" t="s">
        <v>631</v>
      </c>
      <c r="L33" s="1093"/>
    </row>
    <row r="34" spans="1:12" s="1039" customFormat="1" ht="31" customHeight="1">
      <c r="A34" s="750">
        <f t="shared" si="0"/>
        <v>28</v>
      </c>
      <c r="B34" s="751" t="s">
        <v>3247</v>
      </c>
      <c r="C34" s="750" t="s">
        <v>62</v>
      </c>
      <c r="D34" s="1123">
        <v>19.440000000000001</v>
      </c>
      <c r="E34" s="782"/>
      <c r="F34" s="752">
        <v>46078</v>
      </c>
      <c r="G34" s="752">
        <v>46081</v>
      </c>
      <c r="H34" s="750" t="s">
        <v>631</v>
      </c>
      <c r="I34" s="750" t="s">
        <v>3264</v>
      </c>
      <c r="J34" s="750">
        <v>30</v>
      </c>
      <c r="K34" s="1012"/>
      <c r="L34" s="1093"/>
    </row>
    <row r="35" spans="1:12" s="1039" customFormat="1" ht="31" customHeight="1">
      <c r="A35" s="750">
        <f t="shared" si="0"/>
        <v>29</v>
      </c>
      <c r="B35" s="751" t="s">
        <v>2871</v>
      </c>
      <c r="C35" s="750" t="s">
        <v>62</v>
      </c>
      <c r="D35" s="1123">
        <v>19.440000000000001</v>
      </c>
      <c r="E35" s="782"/>
      <c r="F35" s="752">
        <v>46078</v>
      </c>
      <c r="G35" s="752">
        <v>46081</v>
      </c>
      <c r="H35" s="750" t="s">
        <v>631</v>
      </c>
      <c r="I35" s="750" t="s">
        <v>3297</v>
      </c>
      <c r="J35" s="750">
        <v>30</v>
      </c>
      <c r="K35" s="1012"/>
      <c r="L35" s="1093"/>
    </row>
    <row r="36" spans="1:12" s="1039" customFormat="1" ht="31" customHeight="1">
      <c r="A36" s="750">
        <f t="shared" si="0"/>
        <v>30</v>
      </c>
      <c r="B36" s="751" t="s">
        <v>2965</v>
      </c>
      <c r="C36" s="750" t="s">
        <v>1269</v>
      </c>
      <c r="D36" s="1123">
        <v>27.92</v>
      </c>
      <c r="E36" s="782"/>
      <c r="F36" s="752">
        <v>46079</v>
      </c>
      <c r="G36" s="752">
        <v>46083</v>
      </c>
      <c r="H36" s="750" t="s">
        <v>631</v>
      </c>
      <c r="I36" s="750" t="s">
        <v>3284</v>
      </c>
      <c r="J36" s="750">
        <v>22</v>
      </c>
      <c r="K36" s="1012"/>
      <c r="L36" s="1093"/>
    </row>
    <row r="37" spans="1:12" s="1039" customFormat="1" ht="31" customHeight="1">
      <c r="A37" s="1047">
        <f t="shared" si="0"/>
        <v>31</v>
      </c>
      <c r="B37" s="1048" t="s">
        <v>495</v>
      </c>
      <c r="C37" s="1047" t="s">
        <v>249</v>
      </c>
      <c r="D37" s="1124">
        <v>24.149000000000001</v>
      </c>
      <c r="E37" s="947"/>
      <c r="F37" s="1049">
        <v>46080</v>
      </c>
      <c r="G37" s="1049">
        <v>46086</v>
      </c>
      <c r="H37" s="1047" t="s">
        <v>631</v>
      </c>
      <c r="I37" s="1047" t="s">
        <v>1783</v>
      </c>
      <c r="J37" s="1047">
        <v>23</v>
      </c>
      <c r="K37" s="1012" t="s">
        <v>631</v>
      </c>
      <c r="L37" s="1093"/>
    </row>
    <row r="38" spans="1:12" s="1039" customFormat="1" ht="31" customHeight="1">
      <c r="A38" s="750">
        <f t="shared" si="0"/>
        <v>32</v>
      </c>
      <c r="B38" s="751" t="s">
        <v>2500</v>
      </c>
      <c r="C38" s="750" t="s">
        <v>62</v>
      </c>
      <c r="D38" s="1123">
        <v>19.440000000000001</v>
      </c>
      <c r="E38" s="782"/>
      <c r="F38" s="752">
        <v>46080</v>
      </c>
      <c r="G38" s="752">
        <v>46083</v>
      </c>
      <c r="H38" s="750" t="s">
        <v>631</v>
      </c>
      <c r="I38" s="750" t="s">
        <v>3293</v>
      </c>
      <c r="J38" s="750">
        <v>30</v>
      </c>
      <c r="K38" s="1012"/>
      <c r="L38" s="1093"/>
    </row>
    <row r="39" spans="1:12" s="1039" customFormat="1" ht="31" customHeight="1">
      <c r="A39" s="1047">
        <f t="shared" si="0"/>
        <v>33</v>
      </c>
      <c r="B39" s="1048" t="s">
        <v>2389</v>
      </c>
      <c r="C39" s="1047" t="s">
        <v>1995</v>
      </c>
      <c r="D39" s="1124">
        <v>44.070999999999998</v>
      </c>
      <c r="E39" s="947"/>
      <c r="F39" s="1049">
        <v>46082</v>
      </c>
      <c r="G39" s="1049">
        <v>46090</v>
      </c>
      <c r="H39" s="1047" t="s">
        <v>631</v>
      </c>
      <c r="I39" s="1047" t="s">
        <v>3264</v>
      </c>
      <c r="J39" s="1047">
        <v>30</v>
      </c>
      <c r="K39" s="1012" t="s">
        <v>631</v>
      </c>
      <c r="L39" s="1093"/>
    </row>
    <row r="40" spans="1:12" s="1039" customFormat="1" ht="31" customHeight="1">
      <c r="A40" s="1047">
        <f t="shared" si="0"/>
        <v>34</v>
      </c>
      <c r="B40" s="1048" t="s">
        <v>2387</v>
      </c>
      <c r="C40" s="1047" t="s">
        <v>1935</v>
      </c>
      <c r="D40" s="1124">
        <v>52.662999999999997</v>
      </c>
      <c r="E40" s="947"/>
      <c r="F40" s="1049">
        <v>46082</v>
      </c>
      <c r="G40" s="1049">
        <v>46094</v>
      </c>
      <c r="H40" s="1047" t="s">
        <v>631</v>
      </c>
      <c r="I40" s="1047" t="s">
        <v>3279</v>
      </c>
      <c r="J40" s="1047">
        <v>30</v>
      </c>
      <c r="K40" s="1012"/>
      <c r="L40" s="1093"/>
    </row>
    <row r="41" spans="1:12" s="1039" customFormat="1" ht="31" customHeight="1">
      <c r="A41" s="1047">
        <f t="shared" si="0"/>
        <v>35</v>
      </c>
      <c r="B41" s="1048" t="s">
        <v>3109</v>
      </c>
      <c r="C41" s="1047" t="s">
        <v>76</v>
      </c>
      <c r="D41" s="1124">
        <v>18.338999999999999</v>
      </c>
      <c r="E41" s="947"/>
      <c r="F41" s="1049">
        <v>46083</v>
      </c>
      <c r="G41" s="1049">
        <v>46088</v>
      </c>
      <c r="H41" s="1047" t="s">
        <v>631</v>
      </c>
      <c r="I41" s="1047" t="s">
        <v>3284</v>
      </c>
      <c r="J41" s="1047">
        <v>22</v>
      </c>
      <c r="K41" s="1012"/>
      <c r="L41" s="1093"/>
    </row>
    <row r="42" spans="1:12" s="1039" customFormat="1" ht="31" customHeight="1">
      <c r="A42" s="750">
        <f t="shared" si="0"/>
        <v>36</v>
      </c>
      <c r="B42" s="751" t="s">
        <v>2508</v>
      </c>
      <c r="C42" s="750" t="s">
        <v>62</v>
      </c>
      <c r="D42" s="1123">
        <v>19.442</v>
      </c>
      <c r="E42" s="782"/>
      <c r="F42" s="752">
        <v>46083</v>
      </c>
      <c r="G42" s="752">
        <v>46089</v>
      </c>
      <c r="H42" s="750" t="s">
        <v>631</v>
      </c>
      <c r="I42" s="750" t="s">
        <v>3293</v>
      </c>
      <c r="J42" s="750">
        <v>30</v>
      </c>
      <c r="K42" s="1012"/>
      <c r="L42" s="1093"/>
    </row>
    <row r="43" spans="1:12" s="1039" customFormat="1" ht="31" customHeight="1">
      <c r="A43" s="750">
        <f t="shared" si="0"/>
        <v>37</v>
      </c>
      <c r="B43" s="751" t="s">
        <v>2203</v>
      </c>
      <c r="C43" s="750" t="s">
        <v>62</v>
      </c>
      <c r="D43" s="1123">
        <v>19.442</v>
      </c>
      <c r="E43" s="782"/>
      <c r="F43" s="752">
        <v>46086</v>
      </c>
      <c r="G43" s="752">
        <v>46091</v>
      </c>
      <c r="H43" s="750" t="s">
        <v>631</v>
      </c>
      <c r="I43" s="750" t="s">
        <v>1783</v>
      </c>
      <c r="J43" s="750">
        <v>23</v>
      </c>
      <c r="K43" s="1012" t="s">
        <v>631</v>
      </c>
      <c r="L43" s="1093"/>
    </row>
    <row r="44" spans="1:12" s="1039" customFormat="1" ht="31" customHeight="1">
      <c r="A44" s="1047">
        <f t="shared" si="0"/>
        <v>38</v>
      </c>
      <c r="B44" s="1048" t="s">
        <v>2450</v>
      </c>
      <c r="C44" s="1047" t="s">
        <v>76</v>
      </c>
      <c r="D44" s="1124">
        <v>18.34</v>
      </c>
      <c r="E44" s="947"/>
      <c r="F44" s="1049">
        <v>46088</v>
      </c>
      <c r="G44" s="1049">
        <v>46090</v>
      </c>
      <c r="H44" s="750" t="s">
        <v>631</v>
      </c>
      <c r="I44" s="1047" t="s">
        <v>3284</v>
      </c>
      <c r="J44" s="1047">
        <v>22</v>
      </c>
      <c r="K44" s="1012"/>
      <c r="L44" s="1093"/>
    </row>
    <row r="45" spans="1:12" s="1039" customFormat="1" ht="31" customHeight="1">
      <c r="A45" s="1047">
        <f t="shared" si="0"/>
        <v>39</v>
      </c>
      <c r="B45" s="1048" t="s">
        <v>3160</v>
      </c>
      <c r="C45" s="1047" t="s">
        <v>76</v>
      </c>
      <c r="D45" s="1124">
        <v>18.34</v>
      </c>
      <c r="E45" s="947"/>
      <c r="F45" s="1049">
        <v>46088</v>
      </c>
      <c r="G45" s="1049">
        <v>46094</v>
      </c>
      <c r="H45" s="750" t="s">
        <v>631</v>
      </c>
      <c r="I45" s="1047" t="s">
        <v>3327</v>
      </c>
      <c r="J45" s="1047">
        <v>25</v>
      </c>
      <c r="K45" s="1012"/>
      <c r="L45" s="1093"/>
    </row>
    <row r="46" spans="1:12" s="1039" customFormat="1" ht="31" customHeight="1">
      <c r="A46" s="1047">
        <f t="shared" si="0"/>
        <v>40</v>
      </c>
      <c r="B46" s="1048" t="s">
        <v>3118</v>
      </c>
      <c r="C46" s="1047" t="s">
        <v>76</v>
      </c>
      <c r="D46" s="1124">
        <v>18.34</v>
      </c>
      <c r="E46" s="947"/>
      <c r="F46" s="1049">
        <v>46089</v>
      </c>
      <c r="G46" s="1049">
        <v>46094</v>
      </c>
      <c r="H46" s="750" t="s">
        <v>631</v>
      </c>
      <c r="I46" s="1047" t="s">
        <v>3293</v>
      </c>
      <c r="J46" s="1047">
        <v>30</v>
      </c>
      <c r="K46" s="1012"/>
      <c r="L46" s="1059" t="s">
        <v>3330</v>
      </c>
    </row>
    <row r="47" spans="1:12" s="1039" customFormat="1" ht="31" customHeight="1">
      <c r="A47" s="750">
        <f t="shared" si="0"/>
        <v>41</v>
      </c>
      <c r="B47" s="751" t="s">
        <v>3243</v>
      </c>
      <c r="C47" s="750" t="s">
        <v>76</v>
      </c>
      <c r="D47" s="1123">
        <v>18.34</v>
      </c>
      <c r="E47" s="782"/>
      <c r="F47" s="752">
        <v>46090</v>
      </c>
      <c r="G47" s="752">
        <v>46093</v>
      </c>
      <c r="H47" s="750" t="s">
        <v>631</v>
      </c>
      <c r="I47" s="750" t="s">
        <v>3264</v>
      </c>
      <c r="J47" s="750">
        <v>30</v>
      </c>
      <c r="K47" s="1012"/>
      <c r="L47" s="1093"/>
    </row>
    <row r="48" spans="1:12" s="1039" customFormat="1" ht="31" customHeight="1">
      <c r="A48" s="750">
        <f t="shared" si="0"/>
        <v>42</v>
      </c>
      <c r="B48" s="751" t="s">
        <v>2971</v>
      </c>
      <c r="C48" s="750" t="s">
        <v>1269</v>
      </c>
      <c r="D48" s="1123">
        <v>27.92</v>
      </c>
      <c r="E48" s="782"/>
      <c r="F48" s="752">
        <v>46092</v>
      </c>
      <c r="G48" s="752">
        <v>46095</v>
      </c>
      <c r="H48" s="750" t="s">
        <v>631</v>
      </c>
      <c r="I48" s="750" t="s">
        <v>3284</v>
      </c>
      <c r="J48" s="750">
        <v>22</v>
      </c>
      <c r="K48" s="1012"/>
      <c r="L48" s="1093"/>
    </row>
    <row r="49" spans="1:12" s="1039" customFormat="1" ht="31" customHeight="1">
      <c r="A49" s="750">
        <f t="shared" si="0"/>
        <v>43</v>
      </c>
      <c r="B49" s="751" t="s">
        <v>2927</v>
      </c>
      <c r="C49" s="750" t="s">
        <v>90</v>
      </c>
      <c r="D49" s="1166">
        <v>29.492000000000001</v>
      </c>
      <c r="E49" s="782"/>
      <c r="F49" s="752">
        <v>46092</v>
      </c>
      <c r="G49" s="752">
        <v>46098</v>
      </c>
      <c r="H49" s="750" t="s">
        <v>631</v>
      </c>
      <c r="I49" s="750" t="s">
        <v>1783</v>
      </c>
      <c r="J49" s="750">
        <v>23</v>
      </c>
      <c r="K49" s="1012" t="s">
        <v>631</v>
      </c>
      <c r="L49" s="1093"/>
    </row>
    <row r="50" spans="1:12" s="1039" customFormat="1" ht="31" customHeight="1">
      <c r="A50" s="750">
        <f t="shared" si="0"/>
        <v>44</v>
      </c>
      <c r="B50" s="751" t="s">
        <v>3091</v>
      </c>
      <c r="C50" s="750" t="s">
        <v>76</v>
      </c>
      <c r="D50" s="1123">
        <v>18.34</v>
      </c>
      <c r="E50" s="782"/>
      <c r="F50" s="752">
        <v>46093</v>
      </c>
      <c r="G50" s="752">
        <v>46096</v>
      </c>
      <c r="H50" s="750" t="s">
        <v>631</v>
      </c>
      <c r="I50" s="750" t="s">
        <v>3264</v>
      </c>
      <c r="J50" s="750">
        <v>30</v>
      </c>
      <c r="K50" s="1012" t="s">
        <v>631</v>
      </c>
      <c r="L50" s="1093"/>
    </row>
    <row r="51" spans="1:12" s="1039" customFormat="1" ht="31" customHeight="1">
      <c r="A51" s="750">
        <f t="shared" si="0"/>
        <v>45</v>
      </c>
      <c r="B51" s="751" t="s">
        <v>2505</v>
      </c>
      <c r="C51" s="750" t="s">
        <v>249</v>
      </c>
      <c r="D51" s="1123">
        <v>24.149000000000001</v>
      </c>
      <c r="E51" s="782"/>
      <c r="F51" s="752">
        <v>46094</v>
      </c>
      <c r="G51" s="752">
        <v>46100</v>
      </c>
      <c r="H51" s="750" t="s">
        <v>631</v>
      </c>
      <c r="I51" s="750" t="s">
        <v>3293</v>
      </c>
      <c r="J51" s="750">
        <v>30</v>
      </c>
      <c r="K51" s="1012"/>
      <c r="L51" s="1093"/>
    </row>
    <row r="52" spans="1:12" s="1039" customFormat="1" ht="31" customHeight="1">
      <c r="A52" s="750">
        <f t="shared" si="0"/>
        <v>46</v>
      </c>
      <c r="B52" s="751" t="s">
        <v>3186</v>
      </c>
      <c r="C52" s="750" t="s">
        <v>1269</v>
      </c>
      <c r="D52" s="1123">
        <v>27.92</v>
      </c>
      <c r="E52" s="782"/>
      <c r="F52" s="752">
        <v>46094</v>
      </c>
      <c r="G52" s="752">
        <v>46102</v>
      </c>
      <c r="H52" s="750" t="s">
        <v>631</v>
      </c>
      <c r="I52" s="750" t="s">
        <v>3327</v>
      </c>
      <c r="J52" s="750">
        <v>25</v>
      </c>
      <c r="K52" s="1012"/>
      <c r="L52" s="1093"/>
    </row>
    <row r="53" spans="1:12" s="1039" customFormat="1" ht="31" customHeight="1">
      <c r="A53" s="750">
        <f t="shared" si="0"/>
        <v>47</v>
      </c>
      <c r="B53" s="751" t="s">
        <v>2988</v>
      </c>
      <c r="C53" s="750" t="s">
        <v>1277</v>
      </c>
      <c r="D53" s="1123">
        <v>32.222000000000001</v>
      </c>
      <c r="E53" s="782"/>
      <c r="F53" s="752">
        <v>46094</v>
      </c>
      <c r="G53" s="752">
        <v>46103</v>
      </c>
      <c r="H53" s="750" t="s">
        <v>631</v>
      </c>
      <c r="I53" s="750" t="s">
        <v>3279</v>
      </c>
      <c r="J53" s="750">
        <v>30</v>
      </c>
      <c r="K53" s="1012"/>
      <c r="L53" s="1093"/>
    </row>
    <row r="54" spans="1:12" s="1039" customFormat="1" ht="31" customHeight="1">
      <c r="A54" s="750">
        <f t="shared" si="0"/>
        <v>48</v>
      </c>
      <c r="B54" s="751" t="s">
        <v>2967</v>
      </c>
      <c r="C54" s="750" t="s">
        <v>1361</v>
      </c>
      <c r="D54" s="1123">
        <v>33.53</v>
      </c>
      <c r="E54" s="782"/>
      <c r="F54" s="752">
        <v>46095</v>
      </c>
      <c r="G54" s="752">
        <v>46100</v>
      </c>
      <c r="H54" s="750" t="s">
        <v>631</v>
      </c>
      <c r="I54" s="750" t="s">
        <v>3284</v>
      </c>
      <c r="J54" s="750">
        <v>22</v>
      </c>
      <c r="K54" s="1012"/>
      <c r="L54" s="1093"/>
    </row>
    <row r="55" spans="1:12" s="1039" customFormat="1" ht="31" customHeight="1">
      <c r="A55" s="750">
        <f t="shared" si="0"/>
        <v>49</v>
      </c>
      <c r="B55" s="751" t="s">
        <v>853</v>
      </c>
      <c r="C55" s="750" t="s">
        <v>76</v>
      </c>
      <c r="D55" s="1123">
        <v>18.34</v>
      </c>
      <c r="E55" s="782"/>
      <c r="F55" s="752">
        <v>46098</v>
      </c>
      <c r="G55" s="752">
        <v>46102</v>
      </c>
      <c r="H55" s="750" t="s">
        <v>631</v>
      </c>
      <c r="I55" s="750" t="s">
        <v>3264</v>
      </c>
      <c r="J55" s="750">
        <v>30</v>
      </c>
      <c r="K55" s="1012"/>
      <c r="L55" s="1093"/>
    </row>
    <row r="56" spans="1:12" s="1039" customFormat="1" ht="31" customHeight="1">
      <c r="A56" s="750">
        <f t="shared" si="0"/>
        <v>50</v>
      </c>
      <c r="B56" s="751" t="s">
        <v>2206</v>
      </c>
      <c r="C56" s="750" t="s">
        <v>62</v>
      </c>
      <c r="D56" s="1123">
        <v>19.440000000000001</v>
      </c>
      <c r="E56" s="782"/>
      <c r="F56" s="752">
        <v>46098</v>
      </c>
      <c r="G56" s="752">
        <v>46103</v>
      </c>
      <c r="H56" s="750" t="s">
        <v>631</v>
      </c>
      <c r="I56" s="750" t="s">
        <v>1783</v>
      </c>
      <c r="J56" s="750">
        <v>23</v>
      </c>
      <c r="K56" s="1012" t="s">
        <v>631</v>
      </c>
      <c r="L56" s="1093"/>
    </row>
    <row r="57" spans="1:12" s="1039" customFormat="1" ht="31" customHeight="1">
      <c r="A57" s="750">
        <f t="shared" si="0"/>
        <v>51</v>
      </c>
      <c r="B57" s="751" t="s">
        <v>2519</v>
      </c>
      <c r="C57" s="750" t="s">
        <v>62</v>
      </c>
      <c r="D57" s="1123">
        <v>19.440000000000001</v>
      </c>
      <c r="E57" s="782"/>
      <c r="F57" s="752">
        <v>46102</v>
      </c>
      <c r="G57" s="752">
        <v>46112</v>
      </c>
      <c r="H57" s="750" t="s">
        <v>631</v>
      </c>
      <c r="I57" s="750" t="s">
        <v>3293</v>
      </c>
      <c r="J57" s="750">
        <v>30</v>
      </c>
      <c r="K57" s="1012"/>
      <c r="L57" s="1093"/>
    </row>
    <row r="58" spans="1:12" s="1039" customFormat="1" ht="31" customHeight="1">
      <c r="A58" s="750">
        <f t="shared" si="0"/>
        <v>52</v>
      </c>
      <c r="B58" s="751" t="s">
        <v>2976</v>
      </c>
      <c r="C58" s="750" t="s">
        <v>1269</v>
      </c>
      <c r="D58" s="1123">
        <v>27.92</v>
      </c>
      <c r="E58" s="1014"/>
      <c r="F58" s="752">
        <v>46101</v>
      </c>
      <c r="G58" s="752">
        <v>46104</v>
      </c>
      <c r="H58" s="750" t="s">
        <v>631</v>
      </c>
      <c r="I58" s="750" t="s">
        <v>3284</v>
      </c>
      <c r="J58" s="750">
        <v>22</v>
      </c>
      <c r="K58" s="1012"/>
      <c r="L58" s="1093"/>
    </row>
    <row r="59" spans="1:12" s="1039" customFormat="1" ht="31" customHeight="1">
      <c r="A59" s="750">
        <f t="shared" si="0"/>
        <v>53</v>
      </c>
      <c r="B59" s="751" t="s">
        <v>850</v>
      </c>
      <c r="C59" s="750" t="s">
        <v>76</v>
      </c>
      <c r="D59" s="1123">
        <v>18.34</v>
      </c>
      <c r="E59" s="782"/>
      <c r="F59" s="752">
        <v>46102</v>
      </c>
      <c r="G59" s="752">
        <v>46105</v>
      </c>
      <c r="H59" s="750" t="s">
        <v>631</v>
      </c>
      <c r="I59" s="750" t="s">
        <v>3264</v>
      </c>
      <c r="J59" s="750">
        <v>30</v>
      </c>
      <c r="K59" s="1012"/>
      <c r="L59" s="1093"/>
    </row>
    <row r="60" spans="1:12" s="1039" customFormat="1" ht="31" customHeight="1">
      <c r="A60" s="750">
        <f t="shared" si="0"/>
        <v>54</v>
      </c>
      <c r="B60" s="751" t="s">
        <v>3185</v>
      </c>
      <c r="C60" s="750" t="s">
        <v>1277</v>
      </c>
      <c r="D60" s="1123">
        <v>32.22</v>
      </c>
      <c r="E60" s="782"/>
      <c r="F60" s="752">
        <v>46102</v>
      </c>
      <c r="G60" s="752">
        <v>46110</v>
      </c>
      <c r="H60" s="750" t="s">
        <v>631</v>
      </c>
      <c r="I60" s="750" t="s">
        <v>3327</v>
      </c>
      <c r="J60" s="750">
        <v>25</v>
      </c>
      <c r="K60" s="1012"/>
      <c r="L60" s="1093"/>
    </row>
    <row r="61" spans="1:12" s="1039" customFormat="1" ht="31" customHeight="1">
      <c r="A61" s="750">
        <f t="shared" si="0"/>
        <v>55</v>
      </c>
      <c r="B61" s="751" t="s">
        <v>2207</v>
      </c>
      <c r="C61" s="750" t="s">
        <v>1269</v>
      </c>
      <c r="D61" s="1123">
        <v>27.92</v>
      </c>
      <c r="E61" s="782"/>
      <c r="F61" s="752">
        <v>46103</v>
      </c>
      <c r="G61" s="752">
        <v>46109</v>
      </c>
      <c r="H61" s="750" t="s">
        <v>631</v>
      </c>
      <c r="I61" s="750" t="s">
        <v>1783</v>
      </c>
      <c r="J61" s="750">
        <v>23</v>
      </c>
      <c r="K61" s="1012" t="s">
        <v>631</v>
      </c>
      <c r="L61" s="1093"/>
    </row>
    <row r="62" spans="1:12" s="1039" customFormat="1" ht="31" customHeight="1">
      <c r="A62" s="750">
        <f t="shared" si="0"/>
        <v>56</v>
      </c>
      <c r="B62" s="751" t="s">
        <v>3134</v>
      </c>
      <c r="C62" s="750" t="s">
        <v>62</v>
      </c>
      <c r="D62" s="1123">
        <v>19.440000000000001</v>
      </c>
      <c r="E62" s="782"/>
      <c r="F62" s="752">
        <v>46104</v>
      </c>
      <c r="G62" s="752">
        <v>46106</v>
      </c>
      <c r="H62" s="750" t="s">
        <v>631</v>
      </c>
      <c r="I62" s="750" t="s">
        <v>3284</v>
      </c>
      <c r="J62" s="750">
        <v>22</v>
      </c>
      <c r="K62" s="1012"/>
      <c r="L62" s="1093"/>
    </row>
    <row r="63" spans="1:12" s="1039" customFormat="1" ht="31" customHeight="1">
      <c r="A63" s="750">
        <f t="shared" si="0"/>
        <v>57</v>
      </c>
      <c r="B63" s="751" t="s">
        <v>2447</v>
      </c>
      <c r="C63" s="750" t="s">
        <v>53</v>
      </c>
      <c r="D63" s="1123">
        <v>22.68</v>
      </c>
      <c r="E63" s="782"/>
      <c r="F63" s="752">
        <v>46107</v>
      </c>
      <c r="G63" s="752">
        <v>46112</v>
      </c>
      <c r="H63" s="750" t="s">
        <v>631</v>
      </c>
      <c r="I63" s="750" t="s">
        <v>3348</v>
      </c>
      <c r="J63" s="750">
        <v>18</v>
      </c>
      <c r="K63" s="1012"/>
      <c r="L63" s="1093"/>
    </row>
    <row r="64" spans="1:12" s="1039" customFormat="1" ht="31" customHeight="1">
      <c r="A64" s="750">
        <f t="shared" si="0"/>
        <v>58</v>
      </c>
      <c r="B64" s="751" t="s">
        <v>2910</v>
      </c>
      <c r="C64" s="750" t="s">
        <v>1269</v>
      </c>
      <c r="D64" s="1123">
        <v>27.92</v>
      </c>
      <c r="E64" s="782"/>
      <c r="F64" s="752">
        <v>46105</v>
      </c>
      <c r="G64" s="752">
        <v>46110</v>
      </c>
      <c r="H64" s="750" t="s">
        <v>631</v>
      </c>
      <c r="I64" s="750" t="s">
        <v>3264</v>
      </c>
      <c r="J64" s="750">
        <v>30</v>
      </c>
      <c r="K64" s="1012"/>
      <c r="L64" s="1093"/>
    </row>
    <row r="65" spans="1:12" s="1039" customFormat="1" ht="31" customHeight="1">
      <c r="A65" s="750">
        <f t="shared" si="0"/>
        <v>59</v>
      </c>
      <c r="B65" s="751" t="s">
        <v>2974</v>
      </c>
      <c r="C65" s="750" t="s">
        <v>1319</v>
      </c>
      <c r="D65" s="1123">
        <v>42.225999999999999</v>
      </c>
      <c r="E65" s="782"/>
      <c r="F65" s="752">
        <v>46107</v>
      </c>
      <c r="G65" s="752">
        <v>46112</v>
      </c>
      <c r="H65" s="750" t="s">
        <v>631</v>
      </c>
      <c r="I65" s="750" t="s">
        <v>3284</v>
      </c>
      <c r="J65" s="750">
        <v>22</v>
      </c>
      <c r="K65" s="1012"/>
      <c r="L65" s="1093"/>
    </row>
    <row r="66" spans="1:12" s="1039" customFormat="1" ht="31" customHeight="1">
      <c r="A66" s="750">
        <f t="shared" si="0"/>
        <v>60</v>
      </c>
      <c r="B66" s="751" t="s">
        <v>2933</v>
      </c>
      <c r="C66" s="750" t="s">
        <v>1319</v>
      </c>
      <c r="D66" s="1123">
        <v>42.225999999999999</v>
      </c>
      <c r="E66" s="782"/>
      <c r="F66" s="752">
        <v>46109</v>
      </c>
      <c r="G66" s="752">
        <v>46117</v>
      </c>
      <c r="H66" s="750" t="s">
        <v>631</v>
      </c>
      <c r="I66" s="750" t="s">
        <v>1783</v>
      </c>
      <c r="J66" s="750">
        <v>23</v>
      </c>
      <c r="K66" s="1012" t="s">
        <v>631</v>
      </c>
      <c r="L66" s="1093"/>
    </row>
    <row r="67" spans="1:12" s="1039" customFormat="1" ht="31" customHeight="1">
      <c r="A67" s="750">
        <f t="shared" si="0"/>
        <v>61</v>
      </c>
      <c r="B67" s="751" t="s">
        <v>394</v>
      </c>
      <c r="C67" s="750" t="s">
        <v>76</v>
      </c>
      <c r="D67" s="1123">
        <v>18.34</v>
      </c>
      <c r="E67" s="782"/>
      <c r="F67" s="752">
        <v>46110</v>
      </c>
      <c r="G67" s="752">
        <v>46112</v>
      </c>
      <c r="H67" s="750" t="s">
        <v>631</v>
      </c>
      <c r="I67" s="750" t="s">
        <v>3264</v>
      </c>
      <c r="J67" s="750">
        <v>30</v>
      </c>
      <c r="K67" s="1012"/>
      <c r="L67" s="1093"/>
    </row>
    <row r="68" spans="1:12" s="1039" customFormat="1" ht="31" customHeight="1">
      <c r="A68" s="750">
        <f t="shared" si="0"/>
        <v>62</v>
      </c>
      <c r="B68" s="751" t="s">
        <v>3161</v>
      </c>
      <c r="C68" s="750" t="s">
        <v>76</v>
      </c>
      <c r="D68" s="1123">
        <v>18.34</v>
      </c>
      <c r="E68" s="782"/>
      <c r="F68" s="752">
        <v>46110</v>
      </c>
      <c r="G68" s="752">
        <v>46115</v>
      </c>
      <c r="H68" s="750" t="s">
        <v>631</v>
      </c>
      <c r="I68" s="750" t="s">
        <v>3327</v>
      </c>
      <c r="J68" s="750">
        <v>20</v>
      </c>
      <c r="K68" s="1012"/>
      <c r="L68" s="1093"/>
    </row>
    <row r="69" spans="1:12" s="1039" customFormat="1" ht="31" customHeight="1">
      <c r="A69" s="750">
        <f t="shared" si="0"/>
        <v>63</v>
      </c>
      <c r="B69" s="751" t="s">
        <v>2942</v>
      </c>
      <c r="C69" s="750" t="s">
        <v>1269</v>
      </c>
      <c r="D69" s="1123">
        <v>27.92</v>
      </c>
      <c r="E69" s="782"/>
      <c r="F69" s="752">
        <v>46116</v>
      </c>
      <c r="G69" s="752">
        <v>46124</v>
      </c>
      <c r="H69" s="750" t="s">
        <v>631</v>
      </c>
      <c r="I69" s="750" t="s">
        <v>3348</v>
      </c>
      <c r="J69" s="750">
        <v>20</v>
      </c>
      <c r="K69" s="1012"/>
      <c r="L69" s="1059"/>
    </row>
    <row r="70" spans="1:12" s="1039" customFormat="1" ht="31" customHeight="1">
      <c r="A70" s="750">
        <f t="shared" si="0"/>
        <v>64</v>
      </c>
      <c r="B70" s="751" t="s">
        <v>2558</v>
      </c>
      <c r="C70" s="750" t="s">
        <v>76</v>
      </c>
      <c r="D70" s="1123">
        <v>18.34</v>
      </c>
      <c r="E70" s="782"/>
      <c r="F70" s="752">
        <v>46112</v>
      </c>
      <c r="G70" s="752">
        <v>46116</v>
      </c>
      <c r="H70" s="750" t="s">
        <v>631</v>
      </c>
      <c r="I70" s="750" t="s">
        <v>3284</v>
      </c>
      <c r="J70" s="750">
        <v>25</v>
      </c>
      <c r="K70" s="1012"/>
      <c r="L70" s="1093"/>
    </row>
    <row r="71" spans="1:12" s="1039" customFormat="1" ht="31" customHeight="1">
      <c r="A71" s="750">
        <f t="shared" si="0"/>
        <v>65</v>
      </c>
      <c r="B71" s="751" t="s">
        <v>2915</v>
      </c>
      <c r="C71" s="750" t="s">
        <v>1361</v>
      </c>
      <c r="D71" s="1123">
        <v>33.53</v>
      </c>
      <c r="E71" s="782"/>
      <c r="F71" s="752">
        <v>46112</v>
      </c>
      <c r="G71" s="752">
        <v>46119</v>
      </c>
      <c r="H71" s="750" t="s">
        <v>631</v>
      </c>
      <c r="I71" s="750" t="s">
        <v>3264</v>
      </c>
      <c r="J71" s="750">
        <v>24</v>
      </c>
      <c r="K71" s="1012"/>
      <c r="L71" s="1093"/>
    </row>
    <row r="72" spans="1:12" s="1039" customFormat="1" ht="31" customHeight="1">
      <c r="A72" s="750">
        <f t="shared" si="0"/>
        <v>66</v>
      </c>
      <c r="B72" s="751" t="s">
        <v>2515</v>
      </c>
      <c r="C72" s="750" t="s">
        <v>53</v>
      </c>
      <c r="D72" s="1123">
        <v>22.68</v>
      </c>
      <c r="E72" s="782"/>
      <c r="F72" s="752">
        <v>46116</v>
      </c>
      <c r="G72" s="752">
        <v>46125</v>
      </c>
      <c r="H72" s="750" t="s">
        <v>631</v>
      </c>
      <c r="I72" s="750" t="s">
        <v>3293</v>
      </c>
      <c r="J72" s="750">
        <v>20</v>
      </c>
      <c r="K72" s="1012"/>
      <c r="L72" s="1059"/>
    </row>
    <row r="73" spans="1:12" s="1039" customFormat="1" ht="31" customHeight="1">
      <c r="A73" s="750">
        <f t="shared" si="0"/>
        <v>67</v>
      </c>
      <c r="B73" s="751" t="s">
        <v>3015</v>
      </c>
      <c r="C73" s="750" t="s">
        <v>1277</v>
      </c>
      <c r="D73" s="1123">
        <v>32.22</v>
      </c>
      <c r="E73" s="782"/>
      <c r="F73" s="752">
        <v>46116</v>
      </c>
      <c r="G73" s="752">
        <v>46122</v>
      </c>
      <c r="H73" s="750" t="s">
        <v>631</v>
      </c>
      <c r="I73" s="750" t="s">
        <v>3284</v>
      </c>
      <c r="J73" s="750">
        <v>25</v>
      </c>
      <c r="K73" s="1012"/>
      <c r="L73" s="1093"/>
    </row>
    <row r="74" spans="1:12" s="1039" customFormat="1" ht="31" customHeight="1">
      <c r="A74" s="750">
        <f t="shared" si="0"/>
        <v>68</v>
      </c>
      <c r="B74" s="751" t="s">
        <v>3158</v>
      </c>
      <c r="C74" s="750" t="s">
        <v>76</v>
      </c>
      <c r="D74" s="1123">
        <v>18.34</v>
      </c>
      <c r="E74" s="782"/>
      <c r="F74" s="752">
        <v>46116</v>
      </c>
      <c r="G74" s="752">
        <v>46121</v>
      </c>
      <c r="H74" s="750" t="s">
        <v>631</v>
      </c>
      <c r="I74" s="750" t="s">
        <v>3417</v>
      </c>
      <c r="J74" s="750">
        <v>25</v>
      </c>
      <c r="K74" s="1012"/>
      <c r="L74" s="1093"/>
    </row>
    <row r="75" spans="1:12" s="1039" customFormat="1" ht="31" customHeight="1">
      <c r="A75" s="750">
        <f t="shared" si="0"/>
        <v>69</v>
      </c>
      <c r="B75" s="751" t="s">
        <v>2930</v>
      </c>
      <c r="C75" s="750" t="s">
        <v>2212</v>
      </c>
      <c r="D75" s="1123">
        <v>56.128999999999998</v>
      </c>
      <c r="E75" s="782"/>
      <c r="F75" s="752">
        <v>46118</v>
      </c>
      <c r="G75" s="752">
        <v>46129</v>
      </c>
      <c r="H75" s="750" t="s">
        <v>631</v>
      </c>
      <c r="I75" s="750" t="s">
        <v>1783</v>
      </c>
      <c r="J75" s="750">
        <v>20</v>
      </c>
      <c r="K75" s="1012" t="s">
        <v>631</v>
      </c>
      <c r="L75" s="1093"/>
    </row>
    <row r="76" spans="1:12" s="1039" customFormat="1" ht="31" customHeight="1">
      <c r="A76" s="750">
        <f t="shared" si="0"/>
        <v>70</v>
      </c>
      <c r="B76" s="751" t="s">
        <v>2573</v>
      </c>
      <c r="C76" s="750" t="s">
        <v>76</v>
      </c>
      <c r="D76" s="1123">
        <v>18.34</v>
      </c>
      <c r="E76" s="782"/>
      <c r="F76" s="752">
        <v>46122</v>
      </c>
      <c r="G76" s="752">
        <v>46124</v>
      </c>
      <c r="H76" s="750" t="s">
        <v>631</v>
      </c>
      <c r="I76" s="750" t="s">
        <v>3284</v>
      </c>
      <c r="J76" s="750">
        <v>25</v>
      </c>
      <c r="K76" s="1012"/>
      <c r="L76" s="1093"/>
    </row>
    <row r="77" spans="1:12" s="1039" customFormat="1" ht="31" customHeight="1">
      <c r="A77" s="750">
        <f t="shared" si="0"/>
        <v>71</v>
      </c>
      <c r="B77" s="751" t="s">
        <v>3159</v>
      </c>
      <c r="C77" s="750" t="s">
        <v>76</v>
      </c>
      <c r="D77" s="1123">
        <v>18.34</v>
      </c>
      <c r="E77" s="782"/>
      <c r="F77" s="752">
        <v>46122</v>
      </c>
      <c r="G77" s="752">
        <v>46126</v>
      </c>
      <c r="H77" s="750" t="s">
        <v>631</v>
      </c>
      <c r="I77" s="750" t="s">
        <v>3417</v>
      </c>
      <c r="J77" s="750">
        <v>25</v>
      </c>
      <c r="K77" s="1012"/>
      <c r="L77" s="1093"/>
    </row>
    <row r="78" spans="1:12" s="1039" customFormat="1" ht="31" customHeight="1">
      <c r="A78" s="750">
        <f t="shared" si="0"/>
        <v>72</v>
      </c>
      <c r="B78" s="751" t="s">
        <v>200</v>
      </c>
      <c r="C78" s="750" t="s">
        <v>76</v>
      </c>
      <c r="D78" s="1123">
        <v>18.34</v>
      </c>
      <c r="E78" s="782"/>
      <c r="F78" s="752">
        <v>46123</v>
      </c>
      <c r="G78" s="752">
        <v>46125</v>
      </c>
      <c r="H78" s="750" t="s">
        <v>631</v>
      </c>
      <c r="I78" s="750" t="s">
        <v>3264</v>
      </c>
      <c r="J78" s="750">
        <v>24</v>
      </c>
      <c r="K78" s="1012"/>
      <c r="L78" s="1093"/>
    </row>
    <row r="79" spans="1:12" s="1039" customFormat="1" ht="31" customHeight="1">
      <c r="A79" s="750">
        <f t="shared" si="0"/>
        <v>73</v>
      </c>
      <c r="B79" s="751" t="s">
        <v>2994</v>
      </c>
      <c r="C79" s="750" t="s">
        <v>1269</v>
      </c>
      <c r="D79" s="1123">
        <v>27.92</v>
      </c>
      <c r="E79" s="782"/>
      <c r="F79" s="752">
        <v>46124</v>
      </c>
      <c r="G79" s="752">
        <v>46131</v>
      </c>
      <c r="H79" s="750" t="s">
        <v>631</v>
      </c>
      <c r="I79" s="750" t="s">
        <v>3348</v>
      </c>
      <c r="J79" s="750">
        <v>20</v>
      </c>
      <c r="K79" s="1012"/>
      <c r="L79" s="1093"/>
    </row>
    <row r="80" spans="1:12" s="1039" customFormat="1" ht="31" customHeight="1">
      <c r="A80" s="750">
        <f t="shared" si="0"/>
        <v>74</v>
      </c>
      <c r="B80" s="751" t="s">
        <v>2570</v>
      </c>
      <c r="C80" s="750" t="s">
        <v>76</v>
      </c>
      <c r="D80" s="1123">
        <v>18.34</v>
      </c>
      <c r="E80" s="782"/>
      <c r="F80" s="752">
        <v>46124</v>
      </c>
      <c r="G80" s="752">
        <v>46128</v>
      </c>
      <c r="H80" s="750" t="s">
        <v>631</v>
      </c>
      <c r="I80" s="750" t="s">
        <v>3284</v>
      </c>
      <c r="J80" s="750">
        <v>25</v>
      </c>
      <c r="K80" s="1012"/>
      <c r="L80" s="1093"/>
    </row>
    <row r="81" spans="1:12" s="1039" customFormat="1" ht="31" customHeight="1">
      <c r="A81" s="750">
        <f t="shared" si="0"/>
        <v>75</v>
      </c>
      <c r="B81" s="751" t="s">
        <v>529</v>
      </c>
      <c r="C81" s="750" t="s">
        <v>76</v>
      </c>
      <c r="D81" s="1123">
        <v>18.34</v>
      </c>
      <c r="E81" s="782"/>
      <c r="F81" s="752">
        <v>46125</v>
      </c>
      <c r="G81" s="752">
        <v>46129</v>
      </c>
      <c r="H81" s="750" t="s">
        <v>631</v>
      </c>
      <c r="I81" s="750" t="s">
        <v>3264</v>
      </c>
      <c r="J81" s="750">
        <v>24</v>
      </c>
      <c r="K81" s="1012"/>
      <c r="L81" s="1093"/>
    </row>
    <row r="82" spans="1:12" s="1039" customFormat="1" ht="31" customHeight="1">
      <c r="A82" s="750">
        <f t="shared" si="0"/>
        <v>76</v>
      </c>
      <c r="B82" s="751" t="s">
        <v>2520</v>
      </c>
      <c r="C82" s="750" t="s">
        <v>62</v>
      </c>
      <c r="D82" s="1123">
        <v>19.440000000000001</v>
      </c>
      <c r="E82" s="782"/>
      <c r="F82" s="752">
        <v>46125</v>
      </c>
      <c r="G82" s="752">
        <v>46129</v>
      </c>
      <c r="H82" s="750" t="s">
        <v>631</v>
      </c>
      <c r="I82" s="750" t="s">
        <v>3293</v>
      </c>
      <c r="J82" s="750">
        <v>20</v>
      </c>
      <c r="K82" s="1012"/>
      <c r="L82" s="1093"/>
    </row>
    <row r="83" spans="1:12" s="1039" customFormat="1" ht="31" customHeight="1">
      <c r="A83" s="750">
        <f t="shared" si="0"/>
        <v>77</v>
      </c>
      <c r="B83" s="751" t="s">
        <v>3154</v>
      </c>
      <c r="C83" s="750" t="s">
        <v>76</v>
      </c>
      <c r="D83" s="1123">
        <v>18.34</v>
      </c>
      <c r="E83" s="782"/>
      <c r="F83" s="752">
        <v>46126</v>
      </c>
      <c r="G83" s="752">
        <v>46129</v>
      </c>
      <c r="H83" s="750" t="s">
        <v>631</v>
      </c>
      <c r="I83" s="750" t="s">
        <v>3417</v>
      </c>
      <c r="J83" s="750">
        <v>25</v>
      </c>
      <c r="K83" s="1012"/>
      <c r="L83" s="1093"/>
    </row>
    <row r="84" spans="1:12" s="1039" customFormat="1" ht="31" customHeight="1">
      <c r="A84" s="750">
        <f t="shared" si="0"/>
        <v>78</v>
      </c>
      <c r="B84" s="751" t="s">
        <v>2577</v>
      </c>
      <c r="C84" s="750" t="s">
        <v>62</v>
      </c>
      <c r="D84" s="1123">
        <v>19.440000000000001</v>
      </c>
      <c r="E84" s="782"/>
      <c r="F84" s="752">
        <v>46128</v>
      </c>
      <c r="G84" s="752">
        <v>46131</v>
      </c>
      <c r="H84" s="750" t="s">
        <v>631</v>
      </c>
      <c r="I84" s="750" t="s">
        <v>3284</v>
      </c>
      <c r="J84" s="750">
        <v>25</v>
      </c>
      <c r="K84" s="1012"/>
      <c r="L84" s="1093"/>
    </row>
    <row r="85" spans="1:12" s="1039" customFormat="1" ht="31" customHeight="1">
      <c r="A85" s="750">
        <f t="shared" si="0"/>
        <v>79</v>
      </c>
      <c r="B85" s="751" t="s">
        <v>2912</v>
      </c>
      <c r="C85" s="750" t="s">
        <v>1269</v>
      </c>
      <c r="D85" s="1123">
        <v>27.92</v>
      </c>
      <c r="E85" s="782"/>
      <c r="F85" s="752">
        <v>46129</v>
      </c>
      <c r="G85" s="752">
        <v>46133</v>
      </c>
      <c r="H85" s="750" t="s">
        <v>631</v>
      </c>
      <c r="I85" s="750" t="s">
        <v>3264</v>
      </c>
      <c r="J85" s="750">
        <v>24</v>
      </c>
      <c r="K85" s="1012"/>
      <c r="L85" s="1093"/>
    </row>
    <row r="86" spans="1:12" s="1039" customFormat="1" ht="31" customHeight="1">
      <c r="A86" s="750">
        <f t="shared" si="0"/>
        <v>80</v>
      </c>
      <c r="B86" s="751" t="s">
        <v>2221</v>
      </c>
      <c r="C86" s="750" t="s">
        <v>76</v>
      </c>
      <c r="D86" s="1123">
        <v>18.34</v>
      </c>
      <c r="E86" s="782"/>
      <c r="F86" s="752">
        <v>46129</v>
      </c>
      <c r="G86" s="752">
        <v>46133</v>
      </c>
      <c r="H86" s="750" t="s">
        <v>631</v>
      </c>
      <c r="I86" s="750" t="s">
        <v>1783</v>
      </c>
      <c r="J86" s="750">
        <v>20</v>
      </c>
      <c r="K86" s="1012" t="s">
        <v>631</v>
      </c>
      <c r="L86" s="1093"/>
    </row>
    <row r="87" spans="1:12" s="1039" customFormat="1" ht="31" customHeight="1">
      <c r="A87" s="750">
        <f t="shared" si="0"/>
        <v>81</v>
      </c>
      <c r="B87" s="751" t="s">
        <v>3008</v>
      </c>
      <c r="C87" s="750" t="s">
        <v>90</v>
      </c>
      <c r="D87" s="1123">
        <v>29.492000000000001</v>
      </c>
      <c r="E87" s="782"/>
      <c r="F87" s="752">
        <v>46130</v>
      </c>
      <c r="G87" s="752">
        <v>46137</v>
      </c>
      <c r="H87" s="750" t="s">
        <v>631</v>
      </c>
      <c r="I87" s="750" t="s">
        <v>3293</v>
      </c>
      <c r="J87" s="750">
        <v>20</v>
      </c>
      <c r="K87" s="1012"/>
      <c r="L87" s="1093"/>
    </row>
    <row r="88" spans="1:12" s="1039" customFormat="1" ht="31" customHeight="1">
      <c r="A88" s="750">
        <f t="shared" si="0"/>
        <v>82</v>
      </c>
      <c r="B88" s="751" t="s">
        <v>3155</v>
      </c>
      <c r="C88" s="750" t="s">
        <v>76</v>
      </c>
      <c r="D88" s="1123">
        <v>18.34</v>
      </c>
      <c r="E88" s="782"/>
      <c r="F88" s="752">
        <v>46130</v>
      </c>
      <c r="G88" s="752">
        <v>46134</v>
      </c>
      <c r="H88" s="941" t="s">
        <v>631</v>
      </c>
      <c r="I88" s="750" t="s">
        <v>3417</v>
      </c>
      <c r="J88" s="750">
        <v>25</v>
      </c>
      <c r="K88" s="1012"/>
      <c r="L88" s="1093"/>
    </row>
    <row r="89" spans="1:12" s="1039" customFormat="1" ht="31" customHeight="1">
      <c r="A89" s="750">
        <f t="shared" si="0"/>
        <v>83</v>
      </c>
      <c r="B89" s="751" t="s">
        <v>3135</v>
      </c>
      <c r="C89" s="750" t="s">
        <v>249</v>
      </c>
      <c r="D89" s="1123">
        <v>24.149000000000001</v>
      </c>
      <c r="E89" s="782"/>
      <c r="F89" s="752">
        <v>46131</v>
      </c>
      <c r="G89" s="752">
        <v>46139</v>
      </c>
      <c r="H89" s="941" t="s">
        <v>631</v>
      </c>
      <c r="I89" s="750" t="s">
        <v>3348</v>
      </c>
      <c r="J89" s="750">
        <v>20</v>
      </c>
      <c r="K89" s="1012"/>
      <c r="L89" s="1093"/>
    </row>
    <row r="90" spans="1:12" s="1039" customFormat="1" ht="31" customHeight="1">
      <c r="A90" s="750">
        <f t="shared" si="0"/>
        <v>84</v>
      </c>
      <c r="B90" s="751" t="s">
        <v>2559</v>
      </c>
      <c r="C90" s="750" t="s">
        <v>62</v>
      </c>
      <c r="D90" s="1123">
        <v>19.440000000000001</v>
      </c>
      <c r="E90" s="782"/>
      <c r="F90" s="752">
        <v>46131</v>
      </c>
      <c r="G90" s="752">
        <v>46134</v>
      </c>
      <c r="H90" s="941" t="s">
        <v>631</v>
      </c>
      <c r="I90" s="750" t="s">
        <v>3284</v>
      </c>
      <c r="J90" s="750">
        <v>25</v>
      </c>
      <c r="K90" s="1012"/>
      <c r="L90" s="1093"/>
    </row>
    <row r="91" spans="1:12" s="1039" customFormat="1" ht="31" customHeight="1">
      <c r="A91" s="750">
        <f t="shared" si="0"/>
        <v>85</v>
      </c>
      <c r="B91" s="751" t="s">
        <v>458</v>
      </c>
      <c r="C91" s="750" t="s">
        <v>62</v>
      </c>
      <c r="D91" s="1123">
        <v>19.440000000000001</v>
      </c>
      <c r="E91" s="782"/>
      <c r="F91" s="752">
        <v>46133</v>
      </c>
      <c r="G91" s="752">
        <v>46137</v>
      </c>
      <c r="H91" s="941" t="s">
        <v>631</v>
      </c>
      <c r="I91" s="750" t="s">
        <v>3264</v>
      </c>
      <c r="J91" s="750">
        <v>24</v>
      </c>
      <c r="K91" s="1012"/>
      <c r="L91" s="1093"/>
    </row>
    <row r="92" spans="1:12" s="1039" customFormat="1" ht="31" customHeight="1">
      <c r="A92" s="750">
        <f t="shared" ref="A92:A161" si="1">A91+1</f>
        <v>86</v>
      </c>
      <c r="B92" s="751" t="s">
        <v>2924</v>
      </c>
      <c r="C92" s="750" t="s">
        <v>1977</v>
      </c>
      <c r="D92" s="1123">
        <v>36.353999999999999</v>
      </c>
      <c r="E92" s="782"/>
      <c r="F92" s="752">
        <v>46133</v>
      </c>
      <c r="G92" s="752">
        <v>46140</v>
      </c>
      <c r="H92" s="941" t="s">
        <v>631</v>
      </c>
      <c r="I92" s="750" t="s">
        <v>1783</v>
      </c>
      <c r="J92" s="750">
        <v>20</v>
      </c>
      <c r="K92" s="1012" t="s">
        <v>631</v>
      </c>
      <c r="L92" s="1093"/>
    </row>
    <row r="93" spans="1:12" s="1039" customFormat="1" ht="31" customHeight="1">
      <c r="A93" s="750">
        <f t="shared" si="1"/>
        <v>87</v>
      </c>
      <c r="B93" s="751" t="s">
        <v>3156</v>
      </c>
      <c r="C93" s="750" t="s">
        <v>76</v>
      </c>
      <c r="D93" s="1123">
        <v>18.34</v>
      </c>
      <c r="E93" s="782"/>
      <c r="F93" s="752">
        <v>46134</v>
      </c>
      <c r="G93" s="752">
        <v>46139</v>
      </c>
      <c r="H93" s="941" t="s">
        <v>631</v>
      </c>
      <c r="I93" s="750" t="s">
        <v>3417</v>
      </c>
      <c r="J93" s="750">
        <v>25</v>
      </c>
      <c r="K93" s="1012"/>
      <c r="L93" s="1093"/>
    </row>
    <row r="94" spans="1:12" s="1039" customFormat="1" ht="31" customHeight="1">
      <c r="A94" s="750">
        <f t="shared" si="1"/>
        <v>88</v>
      </c>
      <c r="B94" s="751" t="s">
        <v>2569</v>
      </c>
      <c r="C94" s="750" t="s">
        <v>76</v>
      </c>
      <c r="D94" s="1123">
        <v>18.34</v>
      </c>
      <c r="E94" s="782"/>
      <c r="F94" s="752">
        <v>46134</v>
      </c>
      <c r="G94" s="752">
        <v>46138</v>
      </c>
      <c r="H94" s="941" t="s">
        <v>631</v>
      </c>
      <c r="I94" s="750" t="s">
        <v>3284</v>
      </c>
      <c r="J94" s="750">
        <v>25</v>
      </c>
      <c r="K94" s="1012"/>
      <c r="L94" s="1093"/>
    </row>
    <row r="95" spans="1:12" s="1039" customFormat="1" ht="31" customHeight="1">
      <c r="A95" s="750">
        <f t="shared" si="1"/>
        <v>89</v>
      </c>
      <c r="B95" s="751" t="s">
        <v>2521</v>
      </c>
      <c r="C95" s="750" t="s">
        <v>76</v>
      </c>
      <c r="D95" s="1123">
        <v>18.34</v>
      </c>
      <c r="E95" s="782"/>
      <c r="F95" s="752">
        <v>46137</v>
      </c>
      <c r="G95" s="752">
        <v>46142</v>
      </c>
      <c r="H95" s="941" t="s">
        <v>631</v>
      </c>
      <c r="I95" s="750" t="s">
        <v>3293</v>
      </c>
      <c r="J95" s="750">
        <v>20</v>
      </c>
      <c r="K95" s="1012"/>
      <c r="L95" s="1093"/>
    </row>
    <row r="96" spans="1:12" s="1039" customFormat="1" ht="31" customHeight="1">
      <c r="A96" s="750">
        <f t="shared" si="1"/>
        <v>90</v>
      </c>
      <c r="B96" s="751" t="s">
        <v>402</v>
      </c>
      <c r="C96" s="750" t="s">
        <v>53</v>
      </c>
      <c r="D96" s="1123">
        <v>22.68</v>
      </c>
      <c r="E96" s="782"/>
      <c r="F96" s="752">
        <v>46137</v>
      </c>
      <c r="G96" s="752">
        <v>46142</v>
      </c>
      <c r="H96" s="941" t="s">
        <v>631</v>
      </c>
      <c r="I96" s="750" t="s">
        <v>3264</v>
      </c>
      <c r="J96" s="750">
        <v>24</v>
      </c>
      <c r="K96" s="1012"/>
      <c r="L96" s="1093"/>
    </row>
    <row r="97" spans="1:12" s="1039" customFormat="1" ht="31" customHeight="1">
      <c r="A97" s="750">
        <f t="shared" si="1"/>
        <v>91</v>
      </c>
      <c r="B97" s="751" t="s">
        <v>3016</v>
      </c>
      <c r="C97" s="750" t="s">
        <v>1269</v>
      </c>
      <c r="D97" s="1123">
        <v>27.92</v>
      </c>
      <c r="E97" s="782"/>
      <c r="F97" s="752">
        <v>46138</v>
      </c>
      <c r="G97" s="752">
        <v>46142</v>
      </c>
      <c r="H97" s="941" t="s">
        <v>631</v>
      </c>
      <c r="I97" s="750" t="s">
        <v>3284</v>
      </c>
      <c r="J97" s="750">
        <v>25</v>
      </c>
      <c r="K97" s="1012"/>
      <c r="L97" s="1093"/>
    </row>
    <row r="98" spans="1:12" s="1039" customFormat="1" ht="31" customHeight="1">
      <c r="A98" s="750">
        <f t="shared" si="1"/>
        <v>92</v>
      </c>
      <c r="B98" s="751" t="s">
        <v>3157</v>
      </c>
      <c r="C98" s="750" t="s">
        <v>53</v>
      </c>
      <c r="D98" s="1123">
        <v>22.68</v>
      </c>
      <c r="E98" s="782"/>
      <c r="F98" s="752">
        <v>46139</v>
      </c>
      <c r="G98" s="752">
        <v>46146</v>
      </c>
      <c r="H98" s="941" t="s">
        <v>631</v>
      </c>
      <c r="I98" s="750" t="s">
        <v>3417</v>
      </c>
      <c r="J98" s="750">
        <v>25</v>
      </c>
      <c r="K98" s="1012"/>
      <c r="L98" s="1093"/>
    </row>
    <row r="99" spans="1:12" s="1039" customFormat="1" ht="31" customHeight="1">
      <c r="A99" s="750">
        <f t="shared" si="1"/>
        <v>93</v>
      </c>
      <c r="B99" s="751" t="s">
        <v>2998</v>
      </c>
      <c r="C99" s="750" t="s">
        <v>1277</v>
      </c>
      <c r="D99" s="1123">
        <v>32.22</v>
      </c>
      <c r="E99" s="782"/>
      <c r="F99" s="752">
        <v>46139</v>
      </c>
      <c r="G99" s="752">
        <v>46147</v>
      </c>
      <c r="H99" s="941" t="s">
        <v>631</v>
      </c>
      <c r="I99" s="750" t="s">
        <v>3348</v>
      </c>
      <c r="J99" s="750">
        <v>20</v>
      </c>
      <c r="K99" s="1012"/>
      <c r="L99" s="1093"/>
    </row>
    <row r="100" spans="1:12" s="1039" customFormat="1" ht="31" customHeight="1">
      <c r="A100" s="750">
        <f t="shared" si="1"/>
        <v>94</v>
      </c>
      <c r="B100" s="751" t="s">
        <v>2922</v>
      </c>
      <c r="C100" s="750" t="s">
        <v>1269</v>
      </c>
      <c r="D100" s="1123">
        <v>27.92</v>
      </c>
      <c r="E100" s="782"/>
      <c r="F100" s="752">
        <v>46140</v>
      </c>
      <c r="G100" s="752">
        <v>46145</v>
      </c>
      <c r="H100" s="941" t="s">
        <v>631</v>
      </c>
      <c r="I100" s="750" t="s">
        <v>1783</v>
      </c>
      <c r="J100" s="750">
        <v>20</v>
      </c>
      <c r="K100" s="1012" t="s">
        <v>631</v>
      </c>
      <c r="L100" s="1093"/>
    </row>
    <row r="101" spans="1:12" s="1039" customFormat="1" ht="31" customHeight="1">
      <c r="A101" s="750">
        <f t="shared" si="1"/>
        <v>95</v>
      </c>
      <c r="B101" s="751" t="s">
        <v>2920</v>
      </c>
      <c r="C101" s="750" t="s">
        <v>90</v>
      </c>
      <c r="D101" s="1123">
        <v>29.492000000000001</v>
      </c>
      <c r="E101" s="782"/>
      <c r="F101" s="752">
        <v>46142</v>
      </c>
      <c r="G101" s="752">
        <v>46147</v>
      </c>
      <c r="H101" s="941" t="s">
        <v>631</v>
      </c>
      <c r="I101" s="750" t="s">
        <v>3264</v>
      </c>
      <c r="J101" s="750">
        <v>24</v>
      </c>
      <c r="K101" s="1012"/>
      <c r="L101" s="1093"/>
    </row>
    <row r="102" spans="1:12" s="1039" customFormat="1" ht="31" customHeight="1">
      <c r="A102" s="750">
        <f t="shared" si="1"/>
        <v>96</v>
      </c>
      <c r="B102" s="751" t="s">
        <v>2501</v>
      </c>
      <c r="C102" s="750" t="s">
        <v>62</v>
      </c>
      <c r="D102" s="1123">
        <v>19.442</v>
      </c>
      <c r="E102" s="782"/>
      <c r="F102" s="752">
        <v>46142</v>
      </c>
      <c r="G102" s="752">
        <v>46147</v>
      </c>
      <c r="H102" s="941" t="s">
        <v>631</v>
      </c>
      <c r="I102" s="750" t="s">
        <v>3293</v>
      </c>
      <c r="J102" s="750">
        <v>20</v>
      </c>
      <c r="K102" s="1012"/>
      <c r="L102" s="1093"/>
    </row>
    <row r="103" spans="1:12" s="1039" customFormat="1" ht="31" customHeight="1">
      <c r="A103" s="750">
        <f t="shared" si="1"/>
        <v>97</v>
      </c>
      <c r="B103" s="751" t="s">
        <v>3150</v>
      </c>
      <c r="C103" s="750" t="s">
        <v>76</v>
      </c>
      <c r="D103" s="1123">
        <v>18.34</v>
      </c>
      <c r="E103" s="782"/>
      <c r="F103" s="752">
        <v>46142</v>
      </c>
      <c r="G103" s="752">
        <v>46146</v>
      </c>
      <c r="H103" s="941" t="s">
        <v>631</v>
      </c>
      <c r="I103" s="750" t="s">
        <v>3284</v>
      </c>
      <c r="J103" s="750">
        <v>25</v>
      </c>
      <c r="K103" s="1012"/>
      <c r="L103" s="1093"/>
    </row>
    <row r="104" spans="1:12" s="1039" customFormat="1" ht="31" customHeight="1">
      <c r="A104" s="1047">
        <f t="shared" si="1"/>
        <v>98</v>
      </c>
      <c r="B104" s="1048" t="s">
        <v>2222</v>
      </c>
      <c r="C104" s="1047" t="s">
        <v>62</v>
      </c>
      <c r="D104" s="1124">
        <v>19.440000000000001</v>
      </c>
      <c r="E104" s="947"/>
      <c r="F104" s="1049">
        <v>46145</v>
      </c>
      <c r="G104" s="1049">
        <v>46150</v>
      </c>
      <c r="H104" s="1050" t="s">
        <v>631</v>
      </c>
      <c r="I104" s="1047" t="s">
        <v>1783</v>
      </c>
      <c r="J104" s="1047">
        <v>20</v>
      </c>
      <c r="K104" s="1012" t="s">
        <v>631</v>
      </c>
      <c r="L104" s="1093"/>
    </row>
    <row r="105" spans="1:12" s="1039" customFormat="1" ht="31" customHeight="1">
      <c r="A105" s="750">
        <f t="shared" si="1"/>
        <v>99</v>
      </c>
      <c r="B105" s="751" t="s">
        <v>3124</v>
      </c>
      <c r="C105" s="750" t="s">
        <v>1977</v>
      </c>
      <c r="D105" s="1123">
        <v>36.353999999999999</v>
      </c>
      <c r="E105" s="782"/>
      <c r="F105" s="752">
        <v>46147</v>
      </c>
      <c r="G105" s="752">
        <v>46157</v>
      </c>
      <c r="H105" s="941" t="s">
        <v>631</v>
      </c>
      <c r="I105" s="750" t="s">
        <v>3348</v>
      </c>
      <c r="J105" s="750">
        <v>20</v>
      </c>
      <c r="K105" s="1012"/>
      <c r="L105" s="1093"/>
    </row>
    <row r="106" spans="1:12" s="1039" customFormat="1" ht="31" customHeight="1">
      <c r="A106" s="1047">
        <f t="shared" si="1"/>
        <v>100</v>
      </c>
      <c r="B106" s="1048" t="s">
        <v>490</v>
      </c>
      <c r="C106" s="1047" t="s">
        <v>53</v>
      </c>
      <c r="D106" s="1124">
        <v>22.678999999999998</v>
      </c>
      <c r="E106" s="947"/>
      <c r="F106" s="1049">
        <v>46147</v>
      </c>
      <c r="G106" s="1049">
        <v>46150</v>
      </c>
      <c r="H106" s="1050" t="s">
        <v>631</v>
      </c>
      <c r="I106" s="1047" t="s">
        <v>3264</v>
      </c>
      <c r="J106" s="1047">
        <v>24</v>
      </c>
      <c r="K106" s="1012"/>
      <c r="L106" s="1093"/>
    </row>
    <row r="107" spans="1:12" s="1039" customFormat="1" ht="31" customHeight="1">
      <c r="A107" s="750">
        <f t="shared" si="1"/>
        <v>101</v>
      </c>
      <c r="B107" s="751" t="s">
        <v>2525</v>
      </c>
      <c r="C107" s="750" t="s">
        <v>76</v>
      </c>
      <c r="D107" s="1123">
        <v>18.34</v>
      </c>
      <c r="E107" s="782"/>
      <c r="F107" s="752">
        <v>46147</v>
      </c>
      <c r="G107" s="752">
        <v>46156</v>
      </c>
      <c r="H107" s="941" t="s">
        <v>631</v>
      </c>
      <c r="I107" s="750" t="s">
        <v>3293</v>
      </c>
      <c r="J107" s="750">
        <v>20</v>
      </c>
      <c r="K107" s="1012"/>
      <c r="L107" s="1093"/>
    </row>
    <row r="108" spans="1:12" s="1039" customFormat="1" ht="31" customHeight="1">
      <c r="A108" s="750">
        <f t="shared" si="1"/>
        <v>102</v>
      </c>
      <c r="B108" s="751" t="s">
        <v>3014</v>
      </c>
      <c r="C108" s="750" t="s">
        <v>1269</v>
      </c>
      <c r="D108" s="1123">
        <v>27.920999999999999</v>
      </c>
      <c r="E108" s="782"/>
      <c r="F108" s="752">
        <v>46147</v>
      </c>
      <c r="G108" s="752">
        <v>46149</v>
      </c>
      <c r="H108" s="941" t="s">
        <v>631</v>
      </c>
      <c r="I108" s="750" t="s">
        <v>3284</v>
      </c>
      <c r="J108" s="750">
        <v>25</v>
      </c>
      <c r="K108" s="1012"/>
      <c r="L108" s="1093"/>
    </row>
    <row r="109" spans="1:12" s="1039" customFormat="1" ht="31" customHeight="1">
      <c r="A109" s="750">
        <f t="shared" si="1"/>
        <v>103</v>
      </c>
      <c r="B109" s="751" t="s">
        <v>2574</v>
      </c>
      <c r="C109" s="750" t="s">
        <v>62</v>
      </c>
      <c r="D109" s="1123">
        <v>19.440000000000001</v>
      </c>
      <c r="E109" s="782"/>
      <c r="F109" s="752">
        <v>46149</v>
      </c>
      <c r="G109" s="752">
        <v>46152</v>
      </c>
      <c r="H109" s="941" t="s">
        <v>631</v>
      </c>
      <c r="I109" s="750" t="s">
        <v>3284</v>
      </c>
      <c r="J109" s="750">
        <v>25</v>
      </c>
      <c r="K109" s="1012"/>
      <c r="L109" s="1093"/>
    </row>
    <row r="110" spans="1:12" s="1039" customFormat="1" ht="31" customHeight="1">
      <c r="A110" s="750">
        <f t="shared" si="1"/>
        <v>104</v>
      </c>
      <c r="B110" s="751" t="s">
        <v>2852</v>
      </c>
      <c r="C110" s="750" t="s">
        <v>76</v>
      </c>
      <c r="D110" s="1123">
        <v>18.34</v>
      </c>
      <c r="E110" s="782"/>
      <c r="F110" s="752">
        <v>46150</v>
      </c>
      <c r="G110" s="752">
        <v>46152</v>
      </c>
      <c r="H110" s="941" t="s">
        <v>631</v>
      </c>
      <c r="I110" s="750" t="s">
        <v>3264</v>
      </c>
      <c r="J110" s="750">
        <v>24</v>
      </c>
      <c r="K110" s="1012" t="s">
        <v>631</v>
      </c>
      <c r="L110" s="1093"/>
    </row>
    <row r="111" spans="1:12" s="1039" customFormat="1" ht="31" customHeight="1">
      <c r="A111" s="750">
        <f t="shared" si="1"/>
        <v>105</v>
      </c>
      <c r="B111" s="751" t="s">
        <v>3309</v>
      </c>
      <c r="C111" s="750" t="s">
        <v>76</v>
      </c>
      <c r="D111" s="1123">
        <v>18.34</v>
      </c>
      <c r="E111" s="782"/>
      <c r="F111" s="752">
        <v>46150</v>
      </c>
      <c r="G111" s="752">
        <v>46155</v>
      </c>
      <c r="H111" s="941" t="s">
        <v>631</v>
      </c>
      <c r="I111" s="750" t="s">
        <v>1783</v>
      </c>
      <c r="J111" s="750">
        <v>20</v>
      </c>
      <c r="K111" s="1012" t="s">
        <v>631</v>
      </c>
      <c r="L111" s="1093"/>
    </row>
    <row r="112" spans="1:12" s="1039" customFormat="1" ht="31" customHeight="1">
      <c r="A112" s="750">
        <f t="shared" si="1"/>
        <v>106</v>
      </c>
      <c r="B112" s="751" t="s">
        <v>2724</v>
      </c>
      <c r="C112" s="750" t="s">
        <v>62</v>
      </c>
      <c r="D112" s="1123">
        <v>19.440000000000001</v>
      </c>
      <c r="E112" s="782"/>
      <c r="F112" s="752">
        <v>46152</v>
      </c>
      <c r="G112" s="752">
        <v>46155</v>
      </c>
      <c r="H112" s="941" t="s">
        <v>631</v>
      </c>
      <c r="I112" s="750" t="s">
        <v>3264</v>
      </c>
      <c r="J112" s="750">
        <v>24</v>
      </c>
      <c r="K112" s="1012"/>
      <c r="L112" s="1093"/>
    </row>
    <row r="113" spans="1:12" s="1039" customFormat="1" ht="31" customHeight="1">
      <c r="A113" s="750">
        <f t="shared" si="1"/>
        <v>107</v>
      </c>
      <c r="B113" s="751" t="s">
        <v>3152</v>
      </c>
      <c r="C113" s="750" t="s">
        <v>76</v>
      </c>
      <c r="D113" s="1123">
        <v>18.34</v>
      </c>
      <c r="E113" s="782"/>
      <c r="F113" s="752">
        <v>46152</v>
      </c>
      <c r="G113" s="752">
        <v>46155</v>
      </c>
      <c r="H113" s="941" t="s">
        <v>631</v>
      </c>
      <c r="I113" s="750" t="s">
        <v>3284</v>
      </c>
      <c r="J113" s="750">
        <v>25</v>
      </c>
      <c r="K113" s="1012"/>
      <c r="L113" s="1093"/>
    </row>
    <row r="114" spans="1:12" s="1039" customFormat="1" ht="31" customHeight="1">
      <c r="A114" s="750">
        <f t="shared" si="1"/>
        <v>108</v>
      </c>
      <c r="B114" s="751" t="s">
        <v>3236</v>
      </c>
      <c r="C114" s="750" t="s">
        <v>62</v>
      </c>
      <c r="D114" s="1123">
        <v>19.440000000000001</v>
      </c>
      <c r="E114" s="782"/>
      <c r="F114" s="752">
        <v>46156</v>
      </c>
      <c r="G114" s="752">
        <v>46158</v>
      </c>
      <c r="H114" s="941" t="s">
        <v>631</v>
      </c>
      <c r="I114" s="750" t="s">
        <v>3264</v>
      </c>
      <c r="J114" s="750">
        <v>24</v>
      </c>
      <c r="K114" s="1012"/>
      <c r="L114" s="1093"/>
    </row>
    <row r="115" spans="1:12" s="1039" customFormat="1" ht="31" customHeight="1">
      <c r="A115" s="750">
        <f t="shared" si="1"/>
        <v>109</v>
      </c>
      <c r="B115" s="751" t="s">
        <v>2580</v>
      </c>
      <c r="C115" s="750" t="s">
        <v>76</v>
      </c>
      <c r="D115" s="1123">
        <v>18.34</v>
      </c>
      <c r="E115" s="782"/>
      <c r="F115" s="752">
        <v>46156</v>
      </c>
      <c r="G115" s="752">
        <v>46158</v>
      </c>
      <c r="H115" s="941" t="s">
        <v>631</v>
      </c>
      <c r="I115" s="750" t="s">
        <v>3284</v>
      </c>
      <c r="J115" s="750">
        <v>25</v>
      </c>
      <c r="K115" s="1012"/>
      <c r="L115" s="1093"/>
    </row>
    <row r="116" spans="1:12" s="1039" customFormat="1" ht="31" customHeight="1">
      <c r="A116" s="750">
        <f>A115+1</f>
        <v>110</v>
      </c>
      <c r="B116" s="751" t="s">
        <v>3117</v>
      </c>
      <c r="C116" s="750" t="s">
        <v>76</v>
      </c>
      <c r="D116" s="1123">
        <v>18.34</v>
      </c>
      <c r="E116" s="782"/>
      <c r="F116" s="752">
        <v>46157</v>
      </c>
      <c r="G116" s="752">
        <v>46162</v>
      </c>
      <c r="H116" s="941" t="s">
        <v>631</v>
      </c>
      <c r="I116" s="750" t="s">
        <v>3348</v>
      </c>
      <c r="J116" s="750">
        <v>20</v>
      </c>
      <c r="K116" s="1012"/>
      <c r="L116" s="1093"/>
    </row>
    <row r="117" spans="1:12" s="1039" customFormat="1" ht="31" customHeight="1">
      <c r="A117" s="750">
        <f t="shared" si="1"/>
        <v>111</v>
      </c>
      <c r="B117" s="751" t="s">
        <v>2867</v>
      </c>
      <c r="C117" s="750" t="s">
        <v>1319</v>
      </c>
      <c r="D117" s="1123">
        <v>42.225999999999999</v>
      </c>
      <c r="E117" s="782"/>
      <c r="F117" s="752">
        <v>46158</v>
      </c>
      <c r="G117" s="752">
        <v>46163</v>
      </c>
      <c r="H117" s="941" t="s">
        <v>631</v>
      </c>
      <c r="I117" s="750" t="s">
        <v>3264</v>
      </c>
      <c r="J117" s="750">
        <v>24</v>
      </c>
      <c r="K117" s="1012"/>
      <c r="L117" s="1093"/>
    </row>
    <row r="118" spans="1:12" s="1039" customFormat="1" ht="31" customHeight="1">
      <c r="A118" s="750">
        <f t="shared" si="1"/>
        <v>112</v>
      </c>
      <c r="B118" s="751" t="s">
        <v>2579</v>
      </c>
      <c r="C118" s="750" t="s">
        <v>76</v>
      </c>
      <c r="D118" s="1123">
        <v>18.34</v>
      </c>
      <c r="E118" s="782"/>
      <c r="F118" s="752">
        <v>46158</v>
      </c>
      <c r="G118" s="752">
        <v>46161</v>
      </c>
      <c r="H118" s="941" t="s">
        <v>631</v>
      </c>
      <c r="I118" s="750" t="s">
        <v>3284</v>
      </c>
      <c r="J118" s="750">
        <v>25</v>
      </c>
      <c r="K118" s="1012"/>
      <c r="L118" s="1093"/>
    </row>
    <row r="119" spans="1:12" s="1039" customFormat="1" ht="31" customHeight="1">
      <c r="A119" s="750">
        <f t="shared" si="1"/>
        <v>113</v>
      </c>
      <c r="B119" s="751" t="s">
        <v>3153</v>
      </c>
      <c r="C119" s="750" t="s">
        <v>62</v>
      </c>
      <c r="D119" s="1123">
        <v>19.440000000000001</v>
      </c>
      <c r="E119" s="782"/>
      <c r="F119" s="752">
        <v>46161</v>
      </c>
      <c r="G119" s="752">
        <v>46165</v>
      </c>
      <c r="H119" s="941" t="s">
        <v>631</v>
      </c>
      <c r="I119" s="750" t="s">
        <v>3284</v>
      </c>
      <c r="J119" s="750">
        <v>25</v>
      </c>
      <c r="K119" s="1012"/>
      <c r="L119" s="1093"/>
    </row>
    <row r="120" spans="1:12" s="1039" customFormat="1" ht="31" customHeight="1">
      <c r="A120" s="750">
        <f t="shared" si="1"/>
        <v>114</v>
      </c>
      <c r="B120" s="751" t="s">
        <v>3009</v>
      </c>
      <c r="C120" s="750" t="s">
        <v>1361</v>
      </c>
      <c r="D120" s="1123">
        <v>33.53</v>
      </c>
      <c r="E120" s="782"/>
      <c r="F120" s="752">
        <v>46162</v>
      </c>
      <c r="G120" s="752">
        <v>46170</v>
      </c>
      <c r="H120" s="941" t="s">
        <v>631</v>
      </c>
      <c r="I120" s="750" t="s">
        <v>3348</v>
      </c>
      <c r="J120" s="750">
        <v>20</v>
      </c>
      <c r="K120" s="1012"/>
      <c r="L120" s="1093"/>
    </row>
    <row r="121" spans="1:12" s="1039" customFormat="1" ht="31" customHeight="1">
      <c r="A121" s="750">
        <f t="shared" si="1"/>
        <v>115</v>
      </c>
      <c r="B121" s="751" t="s">
        <v>2904</v>
      </c>
      <c r="C121" s="750" t="s">
        <v>1319</v>
      </c>
      <c r="D121" s="1123">
        <v>42.225999999999999</v>
      </c>
      <c r="E121" s="782"/>
      <c r="F121" s="752">
        <v>46164</v>
      </c>
      <c r="G121" s="752">
        <v>46170</v>
      </c>
      <c r="H121" s="941" t="s">
        <v>631</v>
      </c>
      <c r="I121" s="750" t="s">
        <v>3264</v>
      </c>
      <c r="J121" s="750">
        <v>24</v>
      </c>
      <c r="K121" s="1012"/>
      <c r="L121" s="1093"/>
    </row>
    <row r="122" spans="1:12" s="1039" customFormat="1" ht="31" customHeight="1">
      <c r="A122" s="750">
        <f t="shared" si="1"/>
        <v>116</v>
      </c>
      <c r="B122" s="751" t="s">
        <v>3022</v>
      </c>
      <c r="C122" s="750" t="s">
        <v>1277</v>
      </c>
      <c r="D122" s="1123">
        <v>32.222999999999999</v>
      </c>
      <c r="E122" s="782"/>
      <c r="F122" s="752">
        <v>46165</v>
      </c>
      <c r="G122" s="752">
        <v>46169</v>
      </c>
      <c r="H122" s="941" t="s">
        <v>631</v>
      </c>
      <c r="I122" s="750" t="s">
        <v>3284</v>
      </c>
      <c r="J122" s="750">
        <v>25</v>
      </c>
      <c r="K122" s="1012"/>
      <c r="L122" s="1093"/>
    </row>
    <row r="123" spans="1:12" s="1039" customFormat="1" ht="31" customHeight="1">
      <c r="A123" s="750">
        <f t="shared" si="1"/>
        <v>117</v>
      </c>
      <c r="B123" s="751" t="s">
        <v>3184</v>
      </c>
      <c r="C123" s="750" t="s">
        <v>1319</v>
      </c>
      <c r="D123" s="1123">
        <v>42.225999999999999</v>
      </c>
      <c r="E123" s="782"/>
      <c r="F123" s="752">
        <v>46166</v>
      </c>
      <c r="G123" s="752">
        <v>46177</v>
      </c>
      <c r="H123" s="941" t="s">
        <v>631</v>
      </c>
      <c r="I123" s="750" t="s">
        <v>3417</v>
      </c>
      <c r="J123" s="750">
        <v>20</v>
      </c>
      <c r="K123" s="1012"/>
      <c r="L123" s="1093"/>
    </row>
    <row r="124" spans="1:12" s="1039" customFormat="1" ht="31" customHeight="1">
      <c r="A124" s="750">
        <f t="shared" si="1"/>
        <v>118</v>
      </c>
      <c r="B124" s="751" t="s">
        <v>2467</v>
      </c>
      <c r="C124" s="750" t="s">
        <v>62</v>
      </c>
      <c r="D124" s="1123">
        <v>19.442</v>
      </c>
      <c r="E124" s="782"/>
      <c r="F124" s="752">
        <v>46167</v>
      </c>
      <c r="G124" s="752">
        <v>46176</v>
      </c>
      <c r="H124" s="941" t="s">
        <v>631</v>
      </c>
      <c r="I124" s="750" t="s">
        <v>1360</v>
      </c>
      <c r="J124" s="750">
        <v>26</v>
      </c>
      <c r="K124" s="1012"/>
      <c r="L124" s="1093"/>
    </row>
    <row r="125" spans="1:12" s="1039" customFormat="1" ht="31" customHeight="1">
      <c r="A125" s="750">
        <f t="shared" si="1"/>
        <v>119</v>
      </c>
      <c r="B125" s="751" t="s">
        <v>3149</v>
      </c>
      <c r="C125" s="750" t="s">
        <v>62</v>
      </c>
      <c r="D125" s="1123">
        <v>19.442</v>
      </c>
      <c r="E125" s="782"/>
      <c r="F125" s="752">
        <v>46170</v>
      </c>
      <c r="G125" s="752">
        <v>46173</v>
      </c>
      <c r="H125" s="941" t="s">
        <v>631</v>
      </c>
      <c r="I125" s="750" t="s">
        <v>3284</v>
      </c>
      <c r="J125" s="750">
        <v>25</v>
      </c>
      <c r="K125" s="1012"/>
      <c r="L125" s="1093"/>
    </row>
    <row r="126" spans="1:12" s="1039" customFormat="1" ht="31" customHeight="1">
      <c r="A126" s="750">
        <f t="shared" si="1"/>
        <v>120</v>
      </c>
      <c r="B126" s="751" t="s">
        <v>2522</v>
      </c>
      <c r="C126" s="750" t="s">
        <v>62</v>
      </c>
      <c r="D126" s="1123">
        <v>19.442</v>
      </c>
      <c r="E126" s="782"/>
      <c r="F126" s="752">
        <v>46170</v>
      </c>
      <c r="G126" s="752">
        <v>46175</v>
      </c>
      <c r="H126" s="941" t="s">
        <v>631</v>
      </c>
      <c r="I126" s="750" t="s">
        <v>3348</v>
      </c>
      <c r="J126" s="750">
        <v>20</v>
      </c>
      <c r="K126" s="1012"/>
      <c r="L126" s="1093"/>
    </row>
    <row r="127" spans="1:12" s="1039" customFormat="1" ht="31" customHeight="1">
      <c r="A127" s="750">
        <f t="shared" si="1"/>
        <v>121</v>
      </c>
      <c r="B127" s="751" t="s">
        <v>163</v>
      </c>
      <c r="C127" s="750" t="s">
        <v>62</v>
      </c>
      <c r="D127" s="1123">
        <v>19.442</v>
      </c>
      <c r="E127" s="782"/>
      <c r="F127" s="752">
        <v>46170</v>
      </c>
      <c r="G127" s="752">
        <v>46172</v>
      </c>
      <c r="H127" s="941" t="s">
        <v>631</v>
      </c>
      <c r="I127" s="750" t="s">
        <v>3264</v>
      </c>
      <c r="J127" s="750">
        <v>24</v>
      </c>
      <c r="K127" s="1012"/>
      <c r="L127" s="1093"/>
    </row>
    <row r="128" spans="1:12" s="1039" customFormat="1" ht="31" customHeight="1">
      <c r="A128" s="750">
        <f t="shared" si="1"/>
        <v>122</v>
      </c>
      <c r="B128" s="751" t="s">
        <v>2902</v>
      </c>
      <c r="C128" s="750" t="s">
        <v>1277</v>
      </c>
      <c r="D128" s="1123">
        <v>32.222999999999999</v>
      </c>
      <c r="E128" s="782"/>
      <c r="F128" s="752">
        <v>46172</v>
      </c>
      <c r="G128" s="752">
        <v>46177</v>
      </c>
      <c r="H128" s="941" t="s">
        <v>631</v>
      </c>
      <c r="I128" s="750" t="s">
        <v>3264</v>
      </c>
      <c r="J128" s="750">
        <v>24</v>
      </c>
      <c r="K128" s="1012"/>
      <c r="L128" s="1093"/>
    </row>
    <row r="129" spans="1:12" s="1039" customFormat="1" ht="31" customHeight="1">
      <c r="A129" s="750">
        <f t="shared" si="1"/>
        <v>123</v>
      </c>
      <c r="B129" s="751" t="s">
        <v>3143</v>
      </c>
      <c r="C129" s="750" t="s">
        <v>76</v>
      </c>
      <c r="D129" s="1123">
        <v>18.34</v>
      </c>
      <c r="E129" s="782"/>
      <c r="F129" s="752">
        <v>46173</v>
      </c>
      <c r="G129" s="752">
        <v>46176</v>
      </c>
      <c r="H129" s="941" t="s">
        <v>631</v>
      </c>
      <c r="I129" s="750" t="s">
        <v>3284</v>
      </c>
      <c r="J129" s="750">
        <v>25</v>
      </c>
      <c r="K129" s="1012"/>
      <c r="L129" s="1093"/>
    </row>
    <row r="130" spans="1:12" s="1039" customFormat="1" ht="31" customHeight="1">
      <c r="A130" s="750">
        <f t="shared" si="1"/>
        <v>124</v>
      </c>
      <c r="B130" s="751" t="s">
        <v>3004</v>
      </c>
      <c r="C130" s="750" t="s">
        <v>1277</v>
      </c>
      <c r="D130" s="1123">
        <v>32.222999999999999</v>
      </c>
      <c r="E130" s="782"/>
      <c r="F130" s="752">
        <v>46175</v>
      </c>
      <c r="G130" s="752">
        <v>46181</v>
      </c>
      <c r="H130" s="941" t="s">
        <v>631</v>
      </c>
      <c r="I130" s="750" t="s">
        <v>3348</v>
      </c>
      <c r="J130" s="750">
        <v>20</v>
      </c>
      <c r="K130" s="1012"/>
      <c r="L130" s="1093"/>
    </row>
    <row r="131" spans="1:12" s="1039" customFormat="1" ht="31" customHeight="1">
      <c r="A131" s="750">
        <f t="shared" si="1"/>
        <v>125</v>
      </c>
      <c r="B131" s="751" t="s">
        <v>497</v>
      </c>
      <c r="C131" s="750" t="s">
        <v>62</v>
      </c>
      <c r="D131" s="1123">
        <v>19.442</v>
      </c>
      <c r="E131" s="782"/>
      <c r="F131" s="752">
        <v>46175</v>
      </c>
      <c r="G131" s="752">
        <v>46183</v>
      </c>
      <c r="H131" s="941" t="s">
        <v>631</v>
      </c>
      <c r="I131" s="750" t="s">
        <v>3605</v>
      </c>
      <c r="J131" s="750">
        <v>22</v>
      </c>
      <c r="K131" s="1012"/>
      <c r="L131" s="1093"/>
    </row>
    <row r="132" spans="1:12" s="1039" customFormat="1" ht="31" customHeight="1">
      <c r="A132" s="750">
        <f t="shared" si="1"/>
        <v>126</v>
      </c>
      <c r="B132" s="751" t="s">
        <v>2938</v>
      </c>
      <c r="C132" s="750" t="s">
        <v>1995</v>
      </c>
      <c r="D132" s="1123">
        <v>44.070999999999998</v>
      </c>
      <c r="E132" s="782"/>
      <c r="F132" s="752">
        <v>46176</v>
      </c>
      <c r="G132" s="752">
        <v>46188</v>
      </c>
      <c r="H132" s="941" t="s">
        <v>631</v>
      </c>
      <c r="I132" s="750" t="s">
        <v>3604</v>
      </c>
      <c r="J132" s="750">
        <v>24</v>
      </c>
      <c r="K132" s="1012"/>
      <c r="L132" s="1093"/>
    </row>
    <row r="133" spans="1:12" s="1039" customFormat="1" ht="31" customHeight="1">
      <c r="A133" s="750">
        <f t="shared" si="1"/>
        <v>127</v>
      </c>
      <c r="B133" s="751" t="s">
        <v>3005</v>
      </c>
      <c r="C133" s="750" t="s">
        <v>1953</v>
      </c>
      <c r="D133" s="1123">
        <v>41.843000000000004</v>
      </c>
      <c r="E133" s="782"/>
      <c r="F133" s="752">
        <v>46176</v>
      </c>
      <c r="G133" s="752">
        <v>46186</v>
      </c>
      <c r="H133" s="941" t="s">
        <v>631</v>
      </c>
      <c r="I133" s="750" t="s">
        <v>1360</v>
      </c>
      <c r="J133" s="750">
        <v>26</v>
      </c>
      <c r="K133" s="1012"/>
      <c r="L133" s="1093"/>
    </row>
    <row r="134" spans="1:12" s="1039" customFormat="1" ht="31" customHeight="1">
      <c r="A134" s="750">
        <f t="shared" si="1"/>
        <v>128</v>
      </c>
      <c r="B134" s="751" t="s">
        <v>3180</v>
      </c>
      <c r="C134" s="750" t="s">
        <v>1319</v>
      </c>
      <c r="D134" s="1123">
        <v>42.225999999999999</v>
      </c>
      <c r="E134" s="782"/>
      <c r="F134" s="752">
        <v>46176</v>
      </c>
      <c r="G134" s="752">
        <v>46183</v>
      </c>
      <c r="H134" s="941" t="s">
        <v>631</v>
      </c>
      <c r="I134" s="750" t="s">
        <v>3284</v>
      </c>
      <c r="J134" s="750">
        <v>25</v>
      </c>
      <c r="K134" s="1012"/>
      <c r="L134" s="1093"/>
    </row>
    <row r="135" spans="1:12" s="1039" customFormat="1" ht="31" customHeight="1">
      <c r="A135" s="750">
        <f t="shared" si="1"/>
        <v>129</v>
      </c>
      <c r="B135" s="751" t="s">
        <v>2900</v>
      </c>
      <c r="C135" s="750" t="s">
        <v>1269</v>
      </c>
      <c r="D135" s="1123">
        <v>27.920999999999999</v>
      </c>
      <c r="E135" s="782"/>
      <c r="F135" s="752">
        <v>46177</v>
      </c>
      <c r="G135" s="752">
        <v>46180</v>
      </c>
      <c r="H135" s="941" t="s">
        <v>631</v>
      </c>
      <c r="I135" s="750" t="s">
        <v>3264</v>
      </c>
      <c r="J135" s="750">
        <v>24</v>
      </c>
      <c r="K135" s="1012"/>
      <c r="L135" s="1093"/>
    </row>
    <row r="136" spans="1:12" s="1039" customFormat="1" ht="31" customHeight="1">
      <c r="A136" s="750">
        <f t="shared" si="1"/>
        <v>130</v>
      </c>
      <c r="B136" s="751" t="s">
        <v>3019</v>
      </c>
      <c r="C136" s="750" t="s">
        <v>1277</v>
      </c>
      <c r="D136" s="1123">
        <v>32.222999999999999</v>
      </c>
      <c r="E136" s="782"/>
      <c r="F136" s="752">
        <v>46182</v>
      </c>
      <c r="G136" s="752">
        <v>46186</v>
      </c>
      <c r="H136" s="941" t="s">
        <v>631</v>
      </c>
      <c r="I136" s="750" t="s">
        <v>3417</v>
      </c>
      <c r="J136" s="750">
        <v>20</v>
      </c>
      <c r="K136" s="1012"/>
      <c r="L136" s="1295"/>
    </row>
    <row r="137" spans="1:12" s="1039" customFormat="1" ht="31" customHeight="1">
      <c r="A137" s="750">
        <f t="shared" si="1"/>
        <v>131</v>
      </c>
      <c r="B137" s="751" t="s">
        <v>3010</v>
      </c>
      <c r="C137" s="750" t="s">
        <v>1361</v>
      </c>
      <c r="D137" s="1123">
        <v>33.53</v>
      </c>
      <c r="E137" s="782"/>
      <c r="F137" s="752">
        <v>46178</v>
      </c>
      <c r="G137" s="752">
        <v>46185</v>
      </c>
      <c r="H137" s="941" t="s">
        <v>631</v>
      </c>
      <c r="I137" s="750" t="s">
        <v>3614</v>
      </c>
      <c r="J137" s="750">
        <v>22</v>
      </c>
      <c r="K137" s="1012"/>
      <c r="L137" s="1093"/>
    </row>
    <row r="138" spans="1:12" s="1039" customFormat="1" ht="31" customHeight="1">
      <c r="A138" s="750">
        <f t="shared" si="1"/>
        <v>132</v>
      </c>
      <c r="B138" s="751" t="s">
        <v>251</v>
      </c>
      <c r="C138" s="750" t="s">
        <v>76</v>
      </c>
      <c r="D138" s="1123">
        <v>18.34</v>
      </c>
      <c r="E138" s="782"/>
      <c r="F138" s="752">
        <v>46180</v>
      </c>
      <c r="G138" s="752">
        <v>46184</v>
      </c>
      <c r="H138" s="941" t="s">
        <v>631</v>
      </c>
      <c r="I138" s="750" t="s">
        <v>3264</v>
      </c>
      <c r="J138" s="750">
        <v>24</v>
      </c>
      <c r="K138" s="1012"/>
      <c r="L138" s="1093"/>
    </row>
    <row r="139" spans="1:12" s="1039" customFormat="1" ht="31" customHeight="1">
      <c r="A139" s="750">
        <f t="shared" si="1"/>
        <v>133</v>
      </c>
      <c r="B139" s="751" t="s">
        <v>3119</v>
      </c>
      <c r="C139" s="750" t="s">
        <v>1977</v>
      </c>
      <c r="D139" s="1123">
        <v>36.353999999999999</v>
      </c>
      <c r="E139" s="782"/>
      <c r="F139" s="752">
        <v>46181</v>
      </c>
      <c r="G139" s="752">
        <v>46190</v>
      </c>
      <c r="H139" s="941" t="s">
        <v>631</v>
      </c>
      <c r="I139" s="750" t="s">
        <v>3348</v>
      </c>
      <c r="J139" s="750">
        <v>20</v>
      </c>
      <c r="K139" s="1012"/>
      <c r="L139" s="1093"/>
    </row>
    <row r="140" spans="1:12" s="1039" customFormat="1" ht="31" customHeight="1">
      <c r="A140" s="750">
        <f t="shared" si="1"/>
        <v>134</v>
      </c>
      <c r="B140" s="751" t="s">
        <v>2917</v>
      </c>
      <c r="C140" s="750" t="s">
        <v>2197</v>
      </c>
      <c r="D140" s="1123"/>
      <c r="E140" s="782"/>
      <c r="F140" s="752">
        <v>46183</v>
      </c>
      <c r="G140" s="752">
        <v>46199</v>
      </c>
      <c r="H140" s="941" t="s">
        <v>631</v>
      </c>
      <c r="I140" s="750" t="s">
        <v>3605</v>
      </c>
      <c r="J140" s="750">
        <v>22</v>
      </c>
      <c r="K140" s="1012"/>
      <c r="L140" s="1093"/>
    </row>
    <row r="141" spans="1:12" s="1039" customFormat="1" ht="31" customHeight="1">
      <c r="A141" s="750">
        <f t="shared" si="1"/>
        <v>135</v>
      </c>
      <c r="B141" s="751" t="s">
        <v>3181</v>
      </c>
      <c r="C141" s="750" t="s">
        <v>1269</v>
      </c>
      <c r="D141" s="1123">
        <v>27.920999999999999</v>
      </c>
      <c r="E141" s="782"/>
      <c r="F141" s="752">
        <v>46183</v>
      </c>
      <c r="G141" s="752">
        <v>46190</v>
      </c>
      <c r="H141" s="941" t="s">
        <v>631</v>
      </c>
      <c r="I141" s="750" t="s">
        <v>3284</v>
      </c>
      <c r="J141" s="750">
        <v>25</v>
      </c>
      <c r="K141" s="1012"/>
      <c r="L141" s="1093"/>
    </row>
    <row r="142" spans="1:12" s="1039" customFormat="1" ht="31" customHeight="1">
      <c r="A142" s="750">
        <f t="shared" si="1"/>
        <v>136</v>
      </c>
      <c r="B142" s="751" t="s">
        <v>144</v>
      </c>
      <c r="C142" s="750" t="s">
        <v>76</v>
      </c>
      <c r="D142" s="1123">
        <v>18.338999999999999</v>
      </c>
      <c r="E142" s="782"/>
      <c r="F142" s="752">
        <v>46184</v>
      </c>
      <c r="G142" s="752">
        <v>46186</v>
      </c>
      <c r="H142" s="941" t="s">
        <v>631</v>
      </c>
      <c r="I142" s="750" t="s">
        <v>3264</v>
      </c>
      <c r="J142" s="750">
        <v>24</v>
      </c>
      <c r="K142" s="1012"/>
      <c r="L142" s="1093"/>
    </row>
    <row r="143" spans="1:12" s="1039" customFormat="1" ht="31" customHeight="1">
      <c r="A143" s="750">
        <f t="shared" si="1"/>
        <v>137</v>
      </c>
      <c r="B143" s="751" t="s">
        <v>2516</v>
      </c>
      <c r="C143" s="750" t="s">
        <v>62</v>
      </c>
      <c r="D143" s="1123">
        <v>19.442</v>
      </c>
      <c r="E143" s="782"/>
      <c r="F143" s="752">
        <v>46185</v>
      </c>
      <c r="G143" s="752">
        <v>46188</v>
      </c>
      <c r="H143" s="941" t="s">
        <v>631</v>
      </c>
      <c r="I143" s="750" t="s">
        <v>3614</v>
      </c>
      <c r="J143" s="750">
        <v>22</v>
      </c>
      <c r="K143" s="1012"/>
      <c r="L143" s="1093"/>
    </row>
    <row r="144" spans="1:12" s="1039" customFormat="1" ht="31" customHeight="1">
      <c r="A144" s="750">
        <f t="shared" si="1"/>
        <v>138</v>
      </c>
      <c r="B144" s="751" t="s">
        <v>2892</v>
      </c>
      <c r="C144" s="750" t="s">
        <v>1934</v>
      </c>
      <c r="D144" s="1123">
        <v>34.578000000000003</v>
      </c>
      <c r="E144" s="782"/>
      <c r="F144" s="752">
        <v>46187</v>
      </c>
      <c r="G144" s="752">
        <v>46191</v>
      </c>
      <c r="H144" s="941" t="s">
        <v>631</v>
      </c>
      <c r="I144" s="750" t="s">
        <v>3264</v>
      </c>
      <c r="J144" s="750">
        <v>24</v>
      </c>
      <c r="K144" s="1012"/>
      <c r="L144" s="1093"/>
    </row>
    <row r="145" spans="1:12" s="1039" customFormat="1" ht="31" customHeight="1">
      <c r="A145" s="750">
        <f t="shared" si="1"/>
        <v>139</v>
      </c>
      <c r="B145" s="751" t="s">
        <v>3003</v>
      </c>
      <c r="C145" s="750" t="s">
        <v>1277</v>
      </c>
      <c r="D145" s="1123">
        <v>32.222999999999999</v>
      </c>
      <c r="E145" s="782"/>
      <c r="F145" s="752">
        <v>46187</v>
      </c>
      <c r="G145" s="752">
        <v>46193</v>
      </c>
      <c r="H145" s="941" t="s">
        <v>631</v>
      </c>
      <c r="I145" s="750" t="s">
        <v>1360</v>
      </c>
      <c r="J145" s="750">
        <v>26</v>
      </c>
      <c r="K145" s="1012"/>
      <c r="L145" s="1093"/>
    </row>
    <row r="146" spans="1:12" s="1039" customFormat="1" ht="31" customHeight="1">
      <c r="A146" s="750">
        <f t="shared" si="1"/>
        <v>140</v>
      </c>
      <c r="B146" s="751" t="s">
        <v>3183</v>
      </c>
      <c r="C146" s="750" t="s">
        <v>1277</v>
      </c>
      <c r="D146" s="1123">
        <v>32.222999999999999</v>
      </c>
      <c r="E146" s="782"/>
      <c r="F146" s="752">
        <v>46189</v>
      </c>
      <c r="G146" s="752">
        <v>46192</v>
      </c>
      <c r="H146" s="941" t="s">
        <v>631</v>
      </c>
      <c r="I146" s="750" t="s">
        <v>3417</v>
      </c>
      <c r="J146" s="750">
        <v>20</v>
      </c>
      <c r="K146" s="1012"/>
      <c r="L146" s="1295" t="s">
        <v>3638</v>
      </c>
    </row>
    <row r="147" spans="1:12" s="1039" customFormat="1" ht="31" customHeight="1">
      <c r="A147" s="750">
        <f t="shared" si="1"/>
        <v>141</v>
      </c>
      <c r="B147" s="751" t="s">
        <v>2216</v>
      </c>
      <c r="C147" s="750" t="s">
        <v>90</v>
      </c>
      <c r="D147" s="1123">
        <v>29.492000000000001</v>
      </c>
      <c r="E147" s="782"/>
      <c r="F147" s="752">
        <v>46188</v>
      </c>
      <c r="G147" s="752">
        <v>46195</v>
      </c>
      <c r="H147" s="941" t="s">
        <v>631</v>
      </c>
      <c r="I147" s="750" t="s">
        <v>3604</v>
      </c>
      <c r="J147" s="750">
        <v>24</v>
      </c>
      <c r="K147" s="1012"/>
      <c r="L147" s="1093"/>
    </row>
    <row r="148" spans="1:12" s="1039" customFormat="1" ht="31" customHeight="1">
      <c r="A148" s="750">
        <f t="shared" si="1"/>
        <v>142</v>
      </c>
      <c r="B148" s="751" t="s">
        <v>2926</v>
      </c>
      <c r="C148" s="750" t="s">
        <v>1953</v>
      </c>
      <c r="D148" s="1123">
        <v>41.843000000000004</v>
      </c>
      <c r="E148" s="782"/>
      <c r="F148" s="752">
        <v>46188</v>
      </c>
      <c r="G148" s="752">
        <v>46194</v>
      </c>
      <c r="H148" s="941" t="s">
        <v>631</v>
      </c>
      <c r="I148" s="750" t="s">
        <v>3614</v>
      </c>
      <c r="J148" s="750">
        <v>22</v>
      </c>
      <c r="K148" s="1012"/>
      <c r="L148" s="1093"/>
    </row>
    <row r="149" spans="1:12" s="1039" customFormat="1" ht="31" customHeight="1">
      <c r="A149" s="750">
        <f t="shared" si="1"/>
        <v>143</v>
      </c>
      <c r="B149" s="751" t="s">
        <v>401</v>
      </c>
      <c r="C149" s="750" t="s">
        <v>62</v>
      </c>
      <c r="D149" s="1123">
        <v>19.442</v>
      </c>
      <c r="E149" s="782"/>
      <c r="F149" s="752">
        <v>46190</v>
      </c>
      <c r="G149" s="752">
        <v>46195</v>
      </c>
      <c r="H149" s="941" t="s">
        <v>631</v>
      </c>
      <c r="I149" s="750" t="s">
        <v>3264</v>
      </c>
      <c r="J149" s="750">
        <v>24</v>
      </c>
      <c r="K149" s="1012"/>
      <c r="L149" s="1093"/>
    </row>
    <row r="150" spans="1:12" s="1039" customFormat="1" ht="31" customHeight="1">
      <c r="A150" s="750">
        <f t="shared" si="1"/>
        <v>144</v>
      </c>
      <c r="B150" s="751" t="s">
        <v>3148</v>
      </c>
      <c r="C150" s="750" t="s">
        <v>76</v>
      </c>
      <c r="D150" s="1123">
        <v>18.338999999999999</v>
      </c>
      <c r="E150" s="782"/>
      <c r="F150" s="752">
        <v>46190</v>
      </c>
      <c r="G150" s="752">
        <v>46194</v>
      </c>
      <c r="H150" s="941" t="s">
        <v>631</v>
      </c>
      <c r="I150" s="750" t="s">
        <v>3284</v>
      </c>
      <c r="J150" s="750">
        <v>25</v>
      </c>
      <c r="K150" s="1012"/>
      <c r="L150" s="1093">
        <v>0</v>
      </c>
    </row>
    <row r="151" spans="1:12" s="1039" customFormat="1" ht="31" customHeight="1">
      <c r="A151" s="750">
        <f t="shared" si="1"/>
        <v>145</v>
      </c>
      <c r="B151" s="751" t="s">
        <v>2534</v>
      </c>
      <c r="C151" s="750" t="s">
        <v>62</v>
      </c>
      <c r="D151" s="1123">
        <v>19.442</v>
      </c>
      <c r="E151" s="782"/>
      <c r="F151" s="752">
        <v>46194</v>
      </c>
      <c r="G151" s="752">
        <v>46198</v>
      </c>
      <c r="H151" s="941" t="s">
        <v>631</v>
      </c>
      <c r="I151" s="750" t="s">
        <v>1360</v>
      </c>
      <c r="J151" s="750">
        <v>26</v>
      </c>
      <c r="K151" s="1012"/>
      <c r="L151" s="1093"/>
    </row>
    <row r="152" spans="1:12" s="1039" customFormat="1" ht="31" customHeight="1">
      <c r="A152" s="750">
        <f t="shared" si="1"/>
        <v>146</v>
      </c>
      <c r="B152" s="751" t="s">
        <v>2918</v>
      </c>
      <c r="C152" s="750" t="s">
        <v>1953</v>
      </c>
      <c r="D152" s="1123">
        <v>41.843000000000004</v>
      </c>
      <c r="E152" s="782"/>
      <c r="F152" s="752">
        <v>46194</v>
      </c>
      <c r="G152" s="752">
        <v>46202</v>
      </c>
      <c r="H152" s="941" t="s">
        <v>631</v>
      </c>
      <c r="I152" s="750" t="s">
        <v>3264</v>
      </c>
      <c r="J152" s="750">
        <v>24</v>
      </c>
      <c r="K152" s="1012"/>
      <c r="L152" s="1093"/>
    </row>
    <row r="153" spans="1:12" s="1039" customFormat="1" ht="31" customHeight="1">
      <c r="A153" s="750">
        <f t="shared" si="1"/>
        <v>147</v>
      </c>
      <c r="B153" s="751" t="s">
        <v>3147</v>
      </c>
      <c r="C153" s="750" t="s">
        <v>62</v>
      </c>
      <c r="D153" s="1123">
        <v>19.442</v>
      </c>
      <c r="E153" s="782"/>
      <c r="F153" s="752">
        <v>46194</v>
      </c>
      <c r="G153" s="752">
        <v>46198</v>
      </c>
      <c r="H153" s="941" t="s">
        <v>631</v>
      </c>
      <c r="I153" s="750" t="s">
        <v>3284</v>
      </c>
      <c r="J153" s="750">
        <v>25</v>
      </c>
      <c r="K153" s="1012"/>
      <c r="L153" s="1093"/>
    </row>
    <row r="154" spans="1:12" s="1039" customFormat="1" ht="31" customHeight="1">
      <c r="A154" s="750">
        <f t="shared" si="1"/>
        <v>148</v>
      </c>
      <c r="B154" s="751" t="s">
        <v>3194</v>
      </c>
      <c r="C154" s="750" t="s">
        <v>1934</v>
      </c>
      <c r="D154" s="1123">
        <v>34.578000000000003</v>
      </c>
      <c r="E154" s="782"/>
      <c r="F154" s="752">
        <v>46194</v>
      </c>
      <c r="G154" s="752">
        <v>46201</v>
      </c>
      <c r="H154" s="941" t="s">
        <v>631</v>
      </c>
      <c r="I154" s="750" t="s">
        <v>3417</v>
      </c>
      <c r="J154" s="750">
        <v>20</v>
      </c>
      <c r="K154" s="1012"/>
      <c r="L154" s="1093"/>
    </row>
    <row r="155" spans="1:12" s="1039" customFormat="1" ht="31" customHeight="1">
      <c r="A155" s="750">
        <f t="shared" si="1"/>
        <v>149</v>
      </c>
      <c r="B155" s="751" t="s">
        <v>2885</v>
      </c>
      <c r="C155" s="750" t="s">
        <v>1361</v>
      </c>
      <c r="D155" s="1123">
        <v>33.53</v>
      </c>
      <c r="E155" s="782"/>
      <c r="F155" s="752">
        <v>46196</v>
      </c>
      <c r="G155" s="752">
        <v>46203</v>
      </c>
      <c r="H155" s="941" t="s">
        <v>631</v>
      </c>
      <c r="I155" s="750" t="s">
        <v>3604</v>
      </c>
      <c r="J155" s="750">
        <v>24</v>
      </c>
      <c r="K155" s="1012"/>
      <c r="L155" s="1093"/>
    </row>
    <row r="156" spans="1:12" s="1039" customFormat="1" ht="31" customHeight="1">
      <c r="A156" s="750">
        <f t="shared" si="1"/>
        <v>150</v>
      </c>
      <c r="B156" s="751" t="s">
        <v>2531</v>
      </c>
      <c r="C156" s="750" t="s">
        <v>76</v>
      </c>
      <c r="D156" s="1123">
        <v>18.338999999999999</v>
      </c>
      <c r="E156" s="782"/>
      <c r="F156" s="752">
        <v>46198</v>
      </c>
      <c r="G156" s="752">
        <v>46202</v>
      </c>
      <c r="H156" s="941" t="s">
        <v>631</v>
      </c>
      <c r="I156" s="750" t="s">
        <v>1360</v>
      </c>
      <c r="J156" s="750">
        <v>26</v>
      </c>
      <c r="K156" s="1012"/>
      <c r="L156" s="1093"/>
    </row>
    <row r="157" spans="1:12" s="1039" customFormat="1" ht="31" customHeight="1">
      <c r="A157" s="750">
        <f t="shared" si="1"/>
        <v>151</v>
      </c>
      <c r="B157" s="751" t="s">
        <v>538</v>
      </c>
      <c r="C157" s="750" t="s">
        <v>249</v>
      </c>
      <c r="D157" s="1123">
        <v>24.149000000000001</v>
      </c>
      <c r="E157" s="782"/>
      <c r="F157" s="752">
        <v>46199</v>
      </c>
      <c r="G157" s="752">
        <v>46205</v>
      </c>
      <c r="H157" s="941" t="s">
        <v>631</v>
      </c>
      <c r="I157" s="750" t="s">
        <v>3605</v>
      </c>
      <c r="J157" s="750">
        <v>22</v>
      </c>
      <c r="K157" s="1012"/>
      <c r="L157" s="1093"/>
    </row>
    <row r="158" spans="1:12" s="1039" customFormat="1" ht="31" customHeight="1">
      <c r="A158" s="750">
        <f t="shared" si="1"/>
        <v>152</v>
      </c>
      <c r="B158" s="751" t="s">
        <v>3621</v>
      </c>
      <c r="C158" s="750" t="s">
        <v>1995</v>
      </c>
      <c r="D158" s="1123"/>
      <c r="E158" s="782"/>
      <c r="F158" s="752">
        <v>46201</v>
      </c>
      <c r="G158" s="752">
        <v>46210</v>
      </c>
      <c r="H158" s="941" t="s">
        <v>631</v>
      </c>
      <c r="I158" s="750" t="s">
        <v>3417</v>
      </c>
      <c r="J158" s="750">
        <v>20</v>
      </c>
      <c r="K158" s="1012"/>
      <c r="L158" s="1093"/>
    </row>
    <row r="159" spans="1:12" s="1039" customFormat="1" ht="31" customHeight="1">
      <c r="A159" s="1012">
        <f t="shared" si="1"/>
        <v>153</v>
      </c>
      <c r="B159" s="1013" t="s">
        <v>3013</v>
      </c>
      <c r="C159" s="1012" t="s">
        <v>2023</v>
      </c>
      <c r="D159" s="1120"/>
      <c r="E159" s="1014"/>
      <c r="F159" s="1015">
        <v>46202</v>
      </c>
      <c r="G159" s="1015"/>
      <c r="H159" s="811" t="s">
        <v>3710</v>
      </c>
      <c r="I159" s="1012" t="s">
        <v>1360</v>
      </c>
      <c r="J159" s="1012">
        <v>26</v>
      </c>
      <c r="K159" s="1012"/>
      <c r="L159" s="1093"/>
    </row>
    <row r="160" spans="1:12" s="1039" customFormat="1" ht="31" customHeight="1">
      <c r="A160" s="750">
        <f t="shared" si="1"/>
        <v>154</v>
      </c>
      <c r="B160" s="751" t="s">
        <v>702</v>
      </c>
      <c r="C160" s="750" t="s">
        <v>53</v>
      </c>
      <c r="D160" s="1123"/>
      <c r="E160" s="782"/>
      <c r="F160" s="752">
        <v>46203</v>
      </c>
      <c r="G160" s="752">
        <v>46210</v>
      </c>
      <c r="H160" s="941" t="s">
        <v>631</v>
      </c>
      <c r="I160" s="750" t="s">
        <v>3604</v>
      </c>
      <c r="J160" s="750">
        <v>24</v>
      </c>
      <c r="K160" s="1012"/>
      <c r="L160" s="1093"/>
    </row>
    <row r="161" spans="1:12" s="1039" customFormat="1" ht="31" customHeight="1">
      <c r="A161" s="1012">
        <f t="shared" si="1"/>
        <v>155</v>
      </c>
      <c r="B161" s="1013" t="s">
        <v>3239</v>
      </c>
      <c r="C161" s="1012" t="s">
        <v>2023</v>
      </c>
      <c r="D161" s="1120"/>
      <c r="E161" s="1014"/>
      <c r="F161" s="1015">
        <v>46210</v>
      </c>
      <c r="G161" s="1015"/>
      <c r="H161" s="811" t="s">
        <v>3689</v>
      </c>
      <c r="I161" s="1012" t="s">
        <v>3604</v>
      </c>
      <c r="J161" s="1012">
        <v>24</v>
      </c>
      <c r="K161" s="1012"/>
      <c r="L161" s="1345"/>
    </row>
  </sheetData>
  <autoFilter ref="A6:O154" xr:uid="{00000000-0001-0000-0100-000000000000}"/>
  <mergeCells count="12">
    <mergeCell ref="K5:K6"/>
    <mergeCell ref="A1:H1"/>
    <mergeCell ref="G5:G6"/>
    <mergeCell ref="H5:H6"/>
    <mergeCell ref="I5:I6"/>
    <mergeCell ref="J5:J6"/>
    <mergeCell ref="A5:A6"/>
    <mergeCell ref="B5:B6"/>
    <mergeCell ref="C5:C6"/>
    <mergeCell ref="D5:D6"/>
    <mergeCell ref="E5:E6"/>
    <mergeCell ref="F5:F6"/>
  </mergeCells>
  <conditionalFormatting sqref="B1">
    <cfRule type="duplicateValues" dxfId="3587" priority="2"/>
  </conditionalFormatting>
  <conditionalFormatting sqref="B1:B1048576">
    <cfRule type="duplicateValues" dxfId="3586" priority="1"/>
  </conditionalFormatting>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FFFF00"/>
  </sheetPr>
  <dimension ref="A1:R573"/>
  <sheetViews>
    <sheetView showZeros="0" zoomScale="50" zoomScaleNormal="50" zoomScaleSheetLayoutView="55" workbookViewId="0">
      <pane ySplit="7" topLeftCell="A31" activePane="bottomLeft" state="frozen"/>
      <selection activeCell="H139" sqref="H139"/>
      <selection pane="bottomLeft" activeCell="O36" sqref="O36"/>
    </sheetView>
  </sheetViews>
  <sheetFormatPr defaultColWidth="9.08984375" defaultRowHeight="20"/>
  <cols>
    <col min="1" max="1" width="9.36328125" style="960" customWidth="1"/>
    <col min="2" max="2" width="13.81640625" style="1010" bestFit="1" customWidth="1"/>
    <col min="3" max="3" width="17.54296875" style="1011" customWidth="1"/>
    <col min="4" max="4" width="17.90625" style="961" customWidth="1"/>
    <col min="5" max="8" width="8.453125" style="960" customWidth="1"/>
    <col min="9" max="9" width="22.81640625" style="960" customWidth="1"/>
    <col min="10" max="10" width="21.08984375" style="962" customWidth="1"/>
    <col min="11" max="11" width="16.36328125" style="962" hidden="1" customWidth="1"/>
    <col min="12" max="12" width="16.36328125" style="962" customWidth="1"/>
    <col min="13" max="13" width="20.26953125" style="962" customWidth="1"/>
    <col min="14" max="15" width="16.36328125" style="1113" customWidth="1"/>
    <col min="16" max="17" width="16.36328125" style="962" customWidth="1"/>
    <col min="18" max="18" width="73" style="962" bestFit="1" customWidth="1"/>
    <col min="19" max="100" width="9.08984375" style="961"/>
    <col min="101" max="101" width="9.90625" style="961" bestFit="1" customWidth="1"/>
    <col min="102" max="102" width="19.453125" style="961" customWidth="1"/>
    <col min="103" max="103" width="14.90625" style="961" customWidth="1"/>
    <col min="104" max="104" width="23.6328125" style="961" customWidth="1"/>
    <col min="105" max="105" width="19.453125" style="961" customWidth="1"/>
    <col min="106" max="106" width="21.90625" style="961" customWidth="1"/>
    <col min="107" max="107" width="14.453125" style="961" bestFit="1" customWidth="1"/>
    <col min="108" max="108" width="17.08984375" style="961" customWidth="1"/>
    <col min="109" max="109" width="23.453125" style="961" customWidth="1"/>
    <col min="110" max="111" width="19.453125" style="961" customWidth="1"/>
    <col min="112" max="112" width="39.453125" style="961" customWidth="1"/>
    <col min="113" max="113" width="19.453125" style="961" customWidth="1"/>
    <col min="114" max="356" width="9.08984375" style="961"/>
    <col min="357" max="357" width="9.90625" style="961" bestFit="1" customWidth="1"/>
    <col min="358" max="358" width="19.453125" style="961" customWidth="1"/>
    <col min="359" max="359" width="14.90625" style="961" customWidth="1"/>
    <col min="360" max="360" width="23.6328125" style="961" customWidth="1"/>
    <col min="361" max="361" width="19.453125" style="961" customWidth="1"/>
    <col min="362" max="362" width="21.90625" style="961" customWidth="1"/>
    <col min="363" max="363" width="14.453125" style="961" bestFit="1" customWidth="1"/>
    <col min="364" max="364" width="17.08984375" style="961" customWidth="1"/>
    <col min="365" max="365" width="23.453125" style="961" customWidth="1"/>
    <col min="366" max="367" width="19.453125" style="961" customWidth="1"/>
    <col min="368" max="368" width="39.453125" style="961" customWidth="1"/>
    <col min="369" max="369" width="19.453125" style="961" customWidth="1"/>
    <col min="370" max="612" width="9.08984375" style="961"/>
    <col min="613" max="613" width="9.90625" style="961" bestFit="1" customWidth="1"/>
    <col min="614" max="614" width="19.453125" style="961" customWidth="1"/>
    <col min="615" max="615" width="14.90625" style="961" customWidth="1"/>
    <col min="616" max="616" width="23.6328125" style="961" customWidth="1"/>
    <col min="617" max="617" width="19.453125" style="961" customWidth="1"/>
    <col min="618" max="618" width="21.90625" style="961" customWidth="1"/>
    <col min="619" max="619" width="14.453125" style="961" bestFit="1" customWidth="1"/>
    <col min="620" max="620" width="17.08984375" style="961" customWidth="1"/>
    <col min="621" max="621" width="23.453125" style="961" customWidth="1"/>
    <col min="622" max="623" width="19.453125" style="961" customWidth="1"/>
    <col min="624" max="624" width="39.453125" style="961" customWidth="1"/>
    <col min="625" max="625" width="19.453125" style="961" customWidth="1"/>
    <col min="626" max="868" width="9.08984375" style="961"/>
    <col min="869" max="869" width="9.90625" style="961" bestFit="1" customWidth="1"/>
    <col min="870" max="870" width="19.453125" style="961" customWidth="1"/>
    <col min="871" max="871" width="14.90625" style="961" customWidth="1"/>
    <col min="872" max="872" width="23.6328125" style="961" customWidth="1"/>
    <col min="873" max="873" width="19.453125" style="961" customWidth="1"/>
    <col min="874" max="874" width="21.90625" style="961" customWidth="1"/>
    <col min="875" max="875" width="14.453125" style="961" bestFit="1" customWidth="1"/>
    <col min="876" max="876" width="17.08984375" style="961" customWidth="1"/>
    <col min="877" max="877" width="23.453125" style="961" customWidth="1"/>
    <col min="878" max="879" width="19.453125" style="961" customWidth="1"/>
    <col min="880" max="880" width="39.453125" style="961" customWidth="1"/>
    <col min="881" max="881" width="19.453125" style="961" customWidth="1"/>
    <col min="882" max="1124" width="9.08984375" style="961"/>
    <col min="1125" max="1125" width="9.90625" style="961" bestFit="1" customWidth="1"/>
    <col min="1126" max="1126" width="19.453125" style="961" customWidth="1"/>
    <col min="1127" max="1127" width="14.90625" style="961" customWidth="1"/>
    <col min="1128" max="1128" width="23.6328125" style="961" customWidth="1"/>
    <col min="1129" max="1129" width="19.453125" style="961" customWidth="1"/>
    <col min="1130" max="1130" width="21.90625" style="961" customWidth="1"/>
    <col min="1131" max="1131" width="14.453125" style="961" bestFit="1" customWidth="1"/>
    <col min="1132" max="1132" width="17.08984375" style="961" customWidth="1"/>
    <col min="1133" max="1133" width="23.453125" style="961" customWidth="1"/>
    <col min="1134" max="1135" width="19.453125" style="961" customWidth="1"/>
    <col min="1136" max="1136" width="39.453125" style="961" customWidth="1"/>
    <col min="1137" max="1137" width="19.453125" style="961" customWidth="1"/>
    <col min="1138" max="1380" width="9.08984375" style="961"/>
    <col min="1381" max="1381" width="9.90625" style="961" bestFit="1" customWidth="1"/>
    <col min="1382" max="1382" width="19.453125" style="961" customWidth="1"/>
    <col min="1383" max="1383" width="14.90625" style="961" customWidth="1"/>
    <col min="1384" max="1384" width="23.6328125" style="961" customWidth="1"/>
    <col min="1385" max="1385" width="19.453125" style="961" customWidth="1"/>
    <col min="1386" max="1386" width="21.90625" style="961" customWidth="1"/>
    <col min="1387" max="1387" width="14.453125" style="961" bestFit="1" customWidth="1"/>
    <col min="1388" max="1388" width="17.08984375" style="961" customWidth="1"/>
    <col min="1389" max="1389" width="23.453125" style="961" customWidth="1"/>
    <col min="1390" max="1391" width="19.453125" style="961" customWidth="1"/>
    <col min="1392" max="1392" width="39.453125" style="961" customWidth="1"/>
    <col min="1393" max="1393" width="19.453125" style="961" customWidth="1"/>
    <col min="1394" max="1636" width="9.08984375" style="961"/>
    <col min="1637" max="1637" width="9.90625" style="961" bestFit="1" customWidth="1"/>
    <col min="1638" max="1638" width="19.453125" style="961" customWidth="1"/>
    <col min="1639" max="1639" width="14.90625" style="961" customWidth="1"/>
    <col min="1640" max="1640" width="23.6328125" style="961" customWidth="1"/>
    <col min="1641" max="1641" width="19.453125" style="961" customWidth="1"/>
    <col min="1642" max="1642" width="21.90625" style="961" customWidth="1"/>
    <col min="1643" max="1643" width="14.453125" style="961" bestFit="1" customWidth="1"/>
    <col min="1644" max="1644" width="17.08984375" style="961" customWidth="1"/>
    <col min="1645" max="1645" width="23.453125" style="961" customWidth="1"/>
    <col min="1646" max="1647" width="19.453125" style="961" customWidth="1"/>
    <col min="1648" max="1648" width="39.453125" style="961" customWidth="1"/>
    <col min="1649" max="1649" width="19.453125" style="961" customWidth="1"/>
    <col min="1650" max="1892" width="9.08984375" style="961"/>
    <col min="1893" max="1893" width="9.90625" style="961" bestFit="1" customWidth="1"/>
    <col min="1894" max="1894" width="19.453125" style="961" customWidth="1"/>
    <col min="1895" max="1895" width="14.90625" style="961" customWidth="1"/>
    <col min="1896" max="1896" width="23.6328125" style="961" customWidth="1"/>
    <col min="1897" max="1897" width="19.453125" style="961" customWidth="1"/>
    <col min="1898" max="1898" width="21.90625" style="961" customWidth="1"/>
    <col min="1899" max="1899" width="14.453125" style="961" bestFit="1" customWidth="1"/>
    <col min="1900" max="1900" width="17.08984375" style="961" customWidth="1"/>
    <col min="1901" max="1901" width="23.453125" style="961" customWidth="1"/>
    <col min="1902" max="1903" width="19.453125" style="961" customWidth="1"/>
    <col min="1904" max="1904" width="39.453125" style="961" customWidth="1"/>
    <col min="1905" max="1905" width="19.453125" style="961" customWidth="1"/>
    <col min="1906" max="2148" width="9.08984375" style="961"/>
    <col min="2149" max="2149" width="9.90625" style="961" bestFit="1" customWidth="1"/>
    <col min="2150" max="2150" width="19.453125" style="961" customWidth="1"/>
    <col min="2151" max="2151" width="14.90625" style="961" customWidth="1"/>
    <col min="2152" max="2152" width="23.6328125" style="961" customWidth="1"/>
    <col min="2153" max="2153" width="19.453125" style="961" customWidth="1"/>
    <col min="2154" max="2154" width="21.90625" style="961" customWidth="1"/>
    <col min="2155" max="2155" width="14.453125" style="961" bestFit="1" customWidth="1"/>
    <col min="2156" max="2156" width="17.08984375" style="961" customWidth="1"/>
    <col min="2157" max="2157" width="23.453125" style="961" customWidth="1"/>
    <col min="2158" max="2159" width="19.453125" style="961" customWidth="1"/>
    <col min="2160" max="2160" width="39.453125" style="961" customWidth="1"/>
    <col min="2161" max="2161" width="19.453125" style="961" customWidth="1"/>
    <col min="2162" max="2404" width="9.08984375" style="961"/>
    <col min="2405" max="2405" width="9.90625" style="961" bestFit="1" customWidth="1"/>
    <col min="2406" max="2406" width="19.453125" style="961" customWidth="1"/>
    <col min="2407" max="2407" width="14.90625" style="961" customWidth="1"/>
    <col min="2408" max="2408" width="23.6328125" style="961" customWidth="1"/>
    <col min="2409" max="2409" width="19.453125" style="961" customWidth="1"/>
    <col min="2410" max="2410" width="21.90625" style="961" customWidth="1"/>
    <col min="2411" max="2411" width="14.453125" style="961" bestFit="1" customWidth="1"/>
    <col min="2412" max="2412" width="17.08984375" style="961" customWidth="1"/>
    <col min="2413" max="2413" width="23.453125" style="961" customWidth="1"/>
    <col min="2414" max="2415" width="19.453125" style="961" customWidth="1"/>
    <col min="2416" max="2416" width="39.453125" style="961" customWidth="1"/>
    <col min="2417" max="2417" width="19.453125" style="961" customWidth="1"/>
    <col min="2418" max="2660" width="9.08984375" style="961"/>
    <col min="2661" max="2661" width="9.90625" style="961" bestFit="1" customWidth="1"/>
    <col min="2662" max="2662" width="19.453125" style="961" customWidth="1"/>
    <col min="2663" max="2663" width="14.90625" style="961" customWidth="1"/>
    <col min="2664" max="2664" width="23.6328125" style="961" customWidth="1"/>
    <col min="2665" max="2665" width="19.453125" style="961" customWidth="1"/>
    <col min="2666" max="2666" width="21.90625" style="961" customWidth="1"/>
    <col min="2667" max="2667" width="14.453125" style="961" bestFit="1" customWidth="1"/>
    <col min="2668" max="2668" width="17.08984375" style="961" customWidth="1"/>
    <col min="2669" max="2669" width="23.453125" style="961" customWidth="1"/>
    <col min="2670" max="2671" width="19.453125" style="961" customWidth="1"/>
    <col min="2672" max="2672" width="39.453125" style="961" customWidth="1"/>
    <col min="2673" max="2673" width="19.453125" style="961" customWidth="1"/>
    <col min="2674" max="2916" width="9.08984375" style="961"/>
    <col min="2917" max="2917" width="9.90625" style="961" bestFit="1" customWidth="1"/>
    <col min="2918" max="2918" width="19.453125" style="961" customWidth="1"/>
    <col min="2919" max="2919" width="14.90625" style="961" customWidth="1"/>
    <col min="2920" max="2920" width="23.6328125" style="961" customWidth="1"/>
    <col min="2921" max="2921" width="19.453125" style="961" customWidth="1"/>
    <col min="2922" max="2922" width="21.90625" style="961" customWidth="1"/>
    <col min="2923" max="2923" width="14.453125" style="961" bestFit="1" customWidth="1"/>
    <col min="2924" max="2924" width="17.08984375" style="961" customWidth="1"/>
    <col min="2925" max="2925" width="23.453125" style="961" customWidth="1"/>
    <col min="2926" max="2927" width="19.453125" style="961" customWidth="1"/>
    <col min="2928" max="2928" width="39.453125" style="961" customWidth="1"/>
    <col min="2929" max="2929" width="19.453125" style="961" customWidth="1"/>
    <col min="2930" max="3172" width="9.08984375" style="961"/>
    <col min="3173" max="3173" width="9.90625" style="961" bestFit="1" customWidth="1"/>
    <col min="3174" max="3174" width="19.453125" style="961" customWidth="1"/>
    <col min="3175" max="3175" width="14.90625" style="961" customWidth="1"/>
    <col min="3176" max="3176" width="23.6328125" style="961" customWidth="1"/>
    <col min="3177" max="3177" width="19.453125" style="961" customWidth="1"/>
    <col min="3178" max="3178" width="21.90625" style="961" customWidth="1"/>
    <col min="3179" max="3179" width="14.453125" style="961" bestFit="1" customWidth="1"/>
    <col min="3180" max="3180" width="17.08984375" style="961" customWidth="1"/>
    <col min="3181" max="3181" width="23.453125" style="961" customWidth="1"/>
    <col min="3182" max="3183" width="19.453125" style="961" customWidth="1"/>
    <col min="3184" max="3184" width="39.453125" style="961" customWidth="1"/>
    <col min="3185" max="3185" width="19.453125" style="961" customWidth="1"/>
    <col min="3186" max="3428" width="9.08984375" style="961"/>
    <col min="3429" max="3429" width="9.90625" style="961" bestFit="1" customWidth="1"/>
    <col min="3430" max="3430" width="19.453125" style="961" customWidth="1"/>
    <col min="3431" max="3431" width="14.90625" style="961" customWidth="1"/>
    <col min="3432" max="3432" width="23.6328125" style="961" customWidth="1"/>
    <col min="3433" max="3433" width="19.453125" style="961" customWidth="1"/>
    <col min="3434" max="3434" width="21.90625" style="961" customWidth="1"/>
    <col min="3435" max="3435" width="14.453125" style="961" bestFit="1" customWidth="1"/>
    <col min="3436" max="3436" width="17.08984375" style="961" customWidth="1"/>
    <col min="3437" max="3437" width="23.453125" style="961" customWidth="1"/>
    <col min="3438" max="3439" width="19.453125" style="961" customWidth="1"/>
    <col min="3440" max="3440" width="39.453125" style="961" customWidth="1"/>
    <col min="3441" max="3441" width="19.453125" style="961" customWidth="1"/>
    <col min="3442" max="3684" width="9.08984375" style="961"/>
    <col min="3685" max="3685" width="9.90625" style="961" bestFit="1" customWidth="1"/>
    <col min="3686" max="3686" width="19.453125" style="961" customWidth="1"/>
    <col min="3687" max="3687" width="14.90625" style="961" customWidth="1"/>
    <col min="3688" max="3688" width="23.6328125" style="961" customWidth="1"/>
    <col min="3689" max="3689" width="19.453125" style="961" customWidth="1"/>
    <col min="3690" max="3690" width="21.90625" style="961" customWidth="1"/>
    <col min="3691" max="3691" width="14.453125" style="961" bestFit="1" customWidth="1"/>
    <col min="3692" max="3692" width="17.08984375" style="961" customWidth="1"/>
    <col min="3693" max="3693" width="23.453125" style="961" customWidth="1"/>
    <col min="3694" max="3695" width="19.453125" style="961" customWidth="1"/>
    <col min="3696" max="3696" width="39.453125" style="961" customWidth="1"/>
    <col min="3697" max="3697" width="19.453125" style="961" customWidth="1"/>
    <col min="3698" max="3940" width="9.08984375" style="961"/>
    <col min="3941" max="3941" width="9.90625" style="961" bestFit="1" customWidth="1"/>
    <col min="3942" max="3942" width="19.453125" style="961" customWidth="1"/>
    <col min="3943" max="3943" width="14.90625" style="961" customWidth="1"/>
    <col min="3944" max="3944" width="23.6328125" style="961" customWidth="1"/>
    <col min="3945" max="3945" width="19.453125" style="961" customWidth="1"/>
    <col min="3946" max="3946" width="21.90625" style="961" customWidth="1"/>
    <col min="3947" max="3947" width="14.453125" style="961" bestFit="1" customWidth="1"/>
    <col min="3948" max="3948" width="17.08984375" style="961" customWidth="1"/>
    <col min="3949" max="3949" width="23.453125" style="961" customWidth="1"/>
    <col min="3950" max="3951" width="19.453125" style="961" customWidth="1"/>
    <col min="3952" max="3952" width="39.453125" style="961" customWidth="1"/>
    <col min="3953" max="3953" width="19.453125" style="961" customWidth="1"/>
    <col min="3954" max="4196" width="9.08984375" style="961"/>
    <col min="4197" max="4197" width="9.90625" style="961" bestFit="1" customWidth="1"/>
    <col min="4198" max="4198" width="19.453125" style="961" customWidth="1"/>
    <col min="4199" max="4199" width="14.90625" style="961" customWidth="1"/>
    <col min="4200" max="4200" width="23.6328125" style="961" customWidth="1"/>
    <col min="4201" max="4201" width="19.453125" style="961" customWidth="1"/>
    <col min="4202" max="4202" width="21.90625" style="961" customWidth="1"/>
    <col min="4203" max="4203" width="14.453125" style="961" bestFit="1" customWidth="1"/>
    <col min="4204" max="4204" width="17.08984375" style="961" customWidth="1"/>
    <col min="4205" max="4205" width="23.453125" style="961" customWidth="1"/>
    <col min="4206" max="4207" width="19.453125" style="961" customWidth="1"/>
    <col min="4208" max="4208" width="39.453125" style="961" customWidth="1"/>
    <col min="4209" max="4209" width="19.453125" style="961" customWidth="1"/>
    <col min="4210" max="4452" width="9.08984375" style="961"/>
    <col min="4453" max="4453" width="9.90625" style="961" bestFit="1" customWidth="1"/>
    <col min="4454" max="4454" width="19.453125" style="961" customWidth="1"/>
    <col min="4455" max="4455" width="14.90625" style="961" customWidth="1"/>
    <col min="4456" max="4456" width="23.6328125" style="961" customWidth="1"/>
    <col min="4457" max="4457" width="19.453125" style="961" customWidth="1"/>
    <col min="4458" max="4458" width="21.90625" style="961" customWidth="1"/>
    <col min="4459" max="4459" width="14.453125" style="961" bestFit="1" customWidth="1"/>
    <col min="4460" max="4460" width="17.08984375" style="961" customWidth="1"/>
    <col min="4461" max="4461" width="23.453125" style="961" customWidth="1"/>
    <col min="4462" max="4463" width="19.453125" style="961" customWidth="1"/>
    <col min="4464" max="4464" width="39.453125" style="961" customWidth="1"/>
    <col min="4465" max="4465" width="19.453125" style="961" customWidth="1"/>
    <col min="4466" max="4708" width="9.08984375" style="961"/>
    <col min="4709" max="4709" width="9.90625" style="961" bestFit="1" customWidth="1"/>
    <col min="4710" max="4710" width="19.453125" style="961" customWidth="1"/>
    <col min="4711" max="4711" width="14.90625" style="961" customWidth="1"/>
    <col min="4712" max="4712" width="23.6328125" style="961" customWidth="1"/>
    <col min="4713" max="4713" width="19.453125" style="961" customWidth="1"/>
    <col min="4714" max="4714" width="21.90625" style="961" customWidth="1"/>
    <col min="4715" max="4715" width="14.453125" style="961" bestFit="1" customWidth="1"/>
    <col min="4716" max="4716" width="17.08984375" style="961" customWidth="1"/>
    <col min="4717" max="4717" width="23.453125" style="961" customWidth="1"/>
    <col min="4718" max="4719" width="19.453125" style="961" customWidth="1"/>
    <col min="4720" max="4720" width="39.453125" style="961" customWidth="1"/>
    <col min="4721" max="4721" width="19.453125" style="961" customWidth="1"/>
    <col min="4722" max="4964" width="9.08984375" style="961"/>
    <col min="4965" max="4965" width="9.90625" style="961" bestFit="1" customWidth="1"/>
    <col min="4966" max="4966" width="19.453125" style="961" customWidth="1"/>
    <col min="4967" max="4967" width="14.90625" style="961" customWidth="1"/>
    <col min="4968" max="4968" width="23.6328125" style="961" customWidth="1"/>
    <col min="4969" max="4969" width="19.453125" style="961" customWidth="1"/>
    <col min="4970" max="4970" width="21.90625" style="961" customWidth="1"/>
    <col min="4971" max="4971" width="14.453125" style="961" bestFit="1" customWidth="1"/>
    <col min="4972" max="4972" width="17.08984375" style="961" customWidth="1"/>
    <col min="4973" max="4973" width="23.453125" style="961" customWidth="1"/>
    <col min="4974" max="4975" width="19.453125" style="961" customWidth="1"/>
    <col min="4976" max="4976" width="39.453125" style="961" customWidth="1"/>
    <col min="4977" max="4977" width="19.453125" style="961" customWidth="1"/>
    <col min="4978" max="5220" width="9.08984375" style="961"/>
    <col min="5221" max="5221" width="9.90625" style="961" bestFit="1" customWidth="1"/>
    <col min="5222" max="5222" width="19.453125" style="961" customWidth="1"/>
    <col min="5223" max="5223" width="14.90625" style="961" customWidth="1"/>
    <col min="5224" max="5224" width="23.6328125" style="961" customWidth="1"/>
    <col min="5225" max="5225" width="19.453125" style="961" customWidth="1"/>
    <col min="5226" max="5226" width="21.90625" style="961" customWidth="1"/>
    <col min="5227" max="5227" width="14.453125" style="961" bestFit="1" customWidth="1"/>
    <col min="5228" max="5228" width="17.08984375" style="961" customWidth="1"/>
    <col min="5229" max="5229" width="23.453125" style="961" customWidth="1"/>
    <col min="5230" max="5231" width="19.453125" style="961" customWidth="1"/>
    <col min="5232" max="5232" width="39.453125" style="961" customWidth="1"/>
    <col min="5233" max="5233" width="19.453125" style="961" customWidth="1"/>
    <col min="5234" max="5476" width="9.08984375" style="961"/>
    <col min="5477" max="5477" width="9.90625" style="961" bestFit="1" customWidth="1"/>
    <col min="5478" max="5478" width="19.453125" style="961" customWidth="1"/>
    <col min="5479" max="5479" width="14.90625" style="961" customWidth="1"/>
    <col min="5480" max="5480" width="23.6328125" style="961" customWidth="1"/>
    <col min="5481" max="5481" width="19.453125" style="961" customWidth="1"/>
    <col min="5482" max="5482" width="21.90625" style="961" customWidth="1"/>
    <col min="5483" max="5483" width="14.453125" style="961" bestFit="1" customWidth="1"/>
    <col min="5484" max="5484" width="17.08984375" style="961" customWidth="1"/>
    <col min="5485" max="5485" width="23.453125" style="961" customWidth="1"/>
    <col min="5486" max="5487" width="19.453125" style="961" customWidth="1"/>
    <col min="5488" max="5488" width="39.453125" style="961" customWidth="1"/>
    <col min="5489" max="5489" width="19.453125" style="961" customWidth="1"/>
    <col min="5490" max="5732" width="9.08984375" style="961"/>
    <col min="5733" max="5733" width="9.90625" style="961" bestFit="1" customWidth="1"/>
    <col min="5734" max="5734" width="19.453125" style="961" customWidth="1"/>
    <col min="5735" max="5735" width="14.90625" style="961" customWidth="1"/>
    <col min="5736" max="5736" width="23.6328125" style="961" customWidth="1"/>
    <col min="5737" max="5737" width="19.453125" style="961" customWidth="1"/>
    <col min="5738" max="5738" width="21.90625" style="961" customWidth="1"/>
    <col min="5739" max="5739" width="14.453125" style="961" bestFit="1" customWidth="1"/>
    <col min="5740" max="5740" width="17.08984375" style="961" customWidth="1"/>
    <col min="5741" max="5741" width="23.453125" style="961" customWidth="1"/>
    <col min="5742" max="5743" width="19.453125" style="961" customWidth="1"/>
    <col min="5744" max="5744" width="39.453125" style="961" customWidth="1"/>
    <col min="5745" max="5745" width="19.453125" style="961" customWidth="1"/>
    <col min="5746" max="5988" width="9.08984375" style="961"/>
    <col min="5989" max="5989" width="9.90625" style="961" bestFit="1" customWidth="1"/>
    <col min="5990" max="5990" width="19.453125" style="961" customWidth="1"/>
    <col min="5991" max="5991" width="14.90625" style="961" customWidth="1"/>
    <col min="5992" max="5992" width="23.6328125" style="961" customWidth="1"/>
    <col min="5993" max="5993" width="19.453125" style="961" customWidth="1"/>
    <col min="5994" max="5994" width="21.90625" style="961" customWidth="1"/>
    <col min="5995" max="5995" width="14.453125" style="961" bestFit="1" customWidth="1"/>
    <col min="5996" max="5996" width="17.08984375" style="961" customWidth="1"/>
    <col min="5997" max="5997" width="23.453125" style="961" customWidth="1"/>
    <col min="5998" max="5999" width="19.453125" style="961" customWidth="1"/>
    <col min="6000" max="6000" width="39.453125" style="961" customWidth="1"/>
    <col min="6001" max="6001" width="19.453125" style="961" customWidth="1"/>
    <col min="6002" max="6244" width="9.08984375" style="961"/>
    <col min="6245" max="6245" width="9.90625" style="961" bestFit="1" customWidth="1"/>
    <col min="6246" max="6246" width="19.453125" style="961" customWidth="1"/>
    <col min="6247" max="6247" width="14.90625" style="961" customWidth="1"/>
    <col min="6248" max="6248" width="23.6328125" style="961" customWidth="1"/>
    <col min="6249" max="6249" width="19.453125" style="961" customWidth="1"/>
    <col min="6250" max="6250" width="21.90625" style="961" customWidth="1"/>
    <col min="6251" max="6251" width="14.453125" style="961" bestFit="1" customWidth="1"/>
    <col min="6252" max="6252" width="17.08984375" style="961" customWidth="1"/>
    <col min="6253" max="6253" width="23.453125" style="961" customWidth="1"/>
    <col min="6254" max="6255" width="19.453125" style="961" customWidth="1"/>
    <col min="6256" max="6256" width="39.453125" style="961" customWidth="1"/>
    <col min="6257" max="6257" width="19.453125" style="961" customWidth="1"/>
    <col min="6258" max="6500" width="9.08984375" style="961"/>
    <col min="6501" max="6501" width="9.90625" style="961" bestFit="1" customWidth="1"/>
    <col min="6502" max="6502" width="19.453125" style="961" customWidth="1"/>
    <col min="6503" max="6503" width="14.90625" style="961" customWidth="1"/>
    <col min="6504" max="6504" width="23.6328125" style="961" customWidth="1"/>
    <col min="6505" max="6505" width="19.453125" style="961" customWidth="1"/>
    <col min="6506" max="6506" width="21.90625" style="961" customWidth="1"/>
    <col min="6507" max="6507" width="14.453125" style="961" bestFit="1" customWidth="1"/>
    <col min="6508" max="6508" width="17.08984375" style="961" customWidth="1"/>
    <col min="6509" max="6509" width="23.453125" style="961" customWidth="1"/>
    <col min="6510" max="6511" width="19.453125" style="961" customWidth="1"/>
    <col min="6512" max="6512" width="39.453125" style="961" customWidth="1"/>
    <col min="6513" max="6513" width="19.453125" style="961" customWidth="1"/>
    <col min="6514" max="6756" width="9.08984375" style="961"/>
    <col min="6757" max="6757" width="9.90625" style="961" bestFit="1" customWidth="1"/>
    <col min="6758" max="6758" width="19.453125" style="961" customWidth="1"/>
    <col min="6759" max="6759" width="14.90625" style="961" customWidth="1"/>
    <col min="6760" max="6760" width="23.6328125" style="961" customWidth="1"/>
    <col min="6761" max="6761" width="19.453125" style="961" customWidth="1"/>
    <col min="6762" max="6762" width="21.90625" style="961" customWidth="1"/>
    <col min="6763" max="6763" width="14.453125" style="961" bestFit="1" customWidth="1"/>
    <col min="6764" max="6764" width="17.08984375" style="961" customWidth="1"/>
    <col min="6765" max="6765" width="23.453125" style="961" customWidth="1"/>
    <col min="6766" max="6767" width="19.453125" style="961" customWidth="1"/>
    <col min="6768" max="6768" width="39.453125" style="961" customWidth="1"/>
    <col min="6769" max="6769" width="19.453125" style="961" customWidth="1"/>
    <col min="6770" max="7012" width="9.08984375" style="961"/>
    <col min="7013" max="7013" width="9.90625" style="961" bestFit="1" customWidth="1"/>
    <col min="7014" max="7014" width="19.453125" style="961" customWidth="1"/>
    <col min="7015" max="7015" width="14.90625" style="961" customWidth="1"/>
    <col min="7016" max="7016" width="23.6328125" style="961" customWidth="1"/>
    <col min="7017" max="7017" width="19.453125" style="961" customWidth="1"/>
    <col min="7018" max="7018" width="21.90625" style="961" customWidth="1"/>
    <col min="7019" max="7019" width="14.453125" style="961" bestFit="1" customWidth="1"/>
    <col min="7020" max="7020" width="17.08984375" style="961" customWidth="1"/>
    <col min="7021" max="7021" width="23.453125" style="961" customWidth="1"/>
    <col min="7022" max="7023" width="19.453125" style="961" customWidth="1"/>
    <col min="7024" max="7024" width="39.453125" style="961" customWidth="1"/>
    <col min="7025" max="7025" width="19.453125" style="961" customWidth="1"/>
    <col min="7026" max="7268" width="9.08984375" style="961"/>
    <col min="7269" max="7269" width="9.90625" style="961" bestFit="1" customWidth="1"/>
    <col min="7270" max="7270" width="19.453125" style="961" customWidth="1"/>
    <col min="7271" max="7271" width="14.90625" style="961" customWidth="1"/>
    <col min="7272" max="7272" width="23.6328125" style="961" customWidth="1"/>
    <col min="7273" max="7273" width="19.453125" style="961" customWidth="1"/>
    <col min="7274" max="7274" width="21.90625" style="961" customWidth="1"/>
    <col min="7275" max="7275" width="14.453125" style="961" bestFit="1" customWidth="1"/>
    <col min="7276" max="7276" width="17.08984375" style="961" customWidth="1"/>
    <col min="7277" max="7277" width="23.453125" style="961" customWidth="1"/>
    <col min="7278" max="7279" width="19.453125" style="961" customWidth="1"/>
    <col min="7280" max="7280" width="39.453125" style="961" customWidth="1"/>
    <col min="7281" max="7281" width="19.453125" style="961" customWidth="1"/>
    <col min="7282" max="7524" width="9.08984375" style="961"/>
    <col min="7525" max="7525" width="9.90625" style="961" bestFit="1" customWidth="1"/>
    <col min="7526" max="7526" width="19.453125" style="961" customWidth="1"/>
    <col min="7527" max="7527" width="14.90625" style="961" customWidth="1"/>
    <col min="7528" max="7528" width="23.6328125" style="961" customWidth="1"/>
    <col min="7529" max="7529" width="19.453125" style="961" customWidth="1"/>
    <col min="7530" max="7530" width="21.90625" style="961" customWidth="1"/>
    <col min="7531" max="7531" width="14.453125" style="961" bestFit="1" customWidth="1"/>
    <col min="7532" max="7532" width="17.08984375" style="961" customWidth="1"/>
    <col min="7533" max="7533" width="23.453125" style="961" customWidth="1"/>
    <col min="7534" max="7535" width="19.453125" style="961" customWidth="1"/>
    <col min="7536" max="7536" width="39.453125" style="961" customWidth="1"/>
    <col min="7537" max="7537" width="19.453125" style="961" customWidth="1"/>
    <col min="7538" max="7780" width="9.08984375" style="961"/>
    <col min="7781" max="7781" width="9.90625" style="961" bestFit="1" customWidth="1"/>
    <col min="7782" max="7782" width="19.453125" style="961" customWidth="1"/>
    <col min="7783" max="7783" width="14.90625" style="961" customWidth="1"/>
    <col min="7784" max="7784" width="23.6328125" style="961" customWidth="1"/>
    <col min="7785" max="7785" width="19.453125" style="961" customWidth="1"/>
    <col min="7786" max="7786" width="21.90625" style="961" customWidth="1"/>
    <col min="7787" max="7787" width="14.453125" style="961" bestFit="1" customWidth="1"/>
    <col min="7788" max="7788" width="17.08984375" style="961" customWidth="1"/>
    <col min="7789" max="7789" width="23.453125" style="961" customWidth="1"/>
    <col min="7790" max="7791" width="19.453125" style="961" customWidth="1"/>
    <col min="7792" max="7792" width="39.453125" style="961" customWidth="1"/>
    <col min="7793" max="7793" width="19.453125" style="961" customWidth="1"/>
    <col min="7794" max="8036" width="9.08984375" style="961"/>
    <col min="8037" max="8037" width="9.90625" style="961" bestFit="1" customWidth="1"/>
    <col min="8038" max="8038" width="19.453125" style="961" customWidth="1"/>
    <col min="8039" max="8039" width="14.90625" style="961" customWidth="1"/>
    <col min="8040" max="8040" width="23.6328125" style="961" customWidth="1"/>
    <col min="8041" max="8041" width="19.453125" style="961" customWidth="1"/>
    <col min="8042" max="8042" width="21.90625" style="961" customWidth="1"/>
    <col min="8043" max="8043" width="14.453125" style="961" bestFit="1" customWidth="1"/>
    <col min="8044" max="8044" width="17.08984375" style="961" customWidth="1"/>
    <col min="8045" max="8045" width="23.453125" style="961" customWidth="1"/>
    <col min="8046" max="8047" width="19.453125" style="961" customWidth="1"/>
    <col min="8048" max="8048" width="39.453125" style="961" customWidth="1"/>
    <col min="8049" max="8049" width="19.453125" style="961" customWidth="1"/>
    <col min="8050" max="8292" width="9.08984375" style="961"/>
    <col min="8293" max="8293" width="9.90625" style="961" bestFit="1" customWidth="1"/>
    <col min="8294" max="8294" width="19.453125" style="961" customWidth="1"/>
    <col min="8295" max="8295" width="14.90625" style="961" customWidth="1"/>
    <col min="8296" max="8296" width="23.6328125" style="961" customWidth="1"/>
    <col min="8297" max="8297" width="19.453125" style="961" customWidth="1"/>
    <col min="8298" max="8298" width="21.90625" style="961" customWidth="1"/>
    <col min="8299" max="8299" width="14.453125" style="961" bestFit="1" customWidth="1"/>
    <col min="8300" max="8300" width="17.08984375" style="961" customWidth="1"/>
    <col min="8301" max="8301" width="23.453125" style="961" customWidth="1"/>
    <col min="8302" max="8303" width="19.453125" style="961" customWidth="1"/>
    <col min="8304" max="8304" width="39.453125" style="961" customWidth="1"/>
    <col min="8305" max="8305" width="19.453125" style="961" customWidth="1"/>
    <col min="8306" max="8548" width="9.08984375" style="961"/>
    <col min="8549" max="8549" width="9.90625" style="961" bestFit="1" customWidth="1"/>
    <col min="8550" max="8550" width="19.453125" style="961" customWidth="1"/>
    <col min="8551" max="8551" width="14.90625" style="961" customWidth="1"/>
    <col min="8552" max="8552" width="23.6328125" style="961" customWidth="1"/>
    <col min="8553" max="8553" width="19.453125" style="961" customWidth="1"/>
    <col min="8554" max="8554" width="21.90625" style="961" customWidth="1"/>
    <col min="8555" max="8555" width="14.453125" style="961" bestFit="1" customWidth="1"/>
    <col min="8556" max="8556" width="17.08984375" style="961" customWidth="1"/>
    <col min="8557" max="8557" width="23.453125" style="961" customWidth="1"/>
    <col min="8558" max="8559" width="19.453125" style="961" customWidth="1"/>
    <col min="8560" max="8560" width="39.453125" style="961" customWidth="1"/>
    <col min="8561" max="8561" width="19.453125" style="961" customWidth="1"/>
    <col min="8562" max="8804" width="9.08984375" style="961"/>
    <col min="8805" max="8805" width="9.90625" style="961" bestFit="1" customWidth="1"/>
    <col min="8806" max="8806" width="19.453125" style="961" customWidth="1"/>
    <col min="8807" max="8807" width="14.90625" style="961" customWidth="1"/>
    <col min="8808" max="8808" width="23.6328125" style="961" customWidth="1"/>
    <col min="8809" max="8809" width="19.453125" style="961" customWidth="1"/>
    <col min="8810" max="8810" width="21.90625" style="961" customWidth="1"/>
    <col min="8811" max="8811" width="14.453125" style="961" bestFit="1" customWidth="1"/>
    <col min="8812" max="8812" width="17.08984375" style="961" customWidth="1"/>
    <col min="8813" max="8813" width="23.453125" style="961" customWidth="1"/>
    <col min="8814" max="8815" width="19.453125" style="961" customWidth="1"/>
    <col min="8816" max="8816" width="39.453125" style="961" customWidth="1"/>
    <col min="8817" max="8817" width="19.453125" style="961" customWidth="1"/>
    <col min="8818" max="9060" width="9.08984375" style="961"/>
    <col min="9061" max="9061" width="9.90625" style="961" bestFit="1" customWidth="1"/>
    <col min="9062" max="9062" width="19.453125" style="961" customWidth="1"/>
    <col min="9063" max="9063" width="14.90625" style="961" customWidth="1"/>
    <col min="9064" max="9064" width="23.6328125" style="961" customWidth="1"/>
    <col min="9065" max="9065" width="19.453125" style="961" customWidth="1"/>
    <col min="9066" max="9066" width="21.90625" style="961" customWidth="1"/>
    <col min="9067" max="9067" width="14.453125" style="961" bestFit="1" customWidth="1"/>
    <col min="9068" max="9068" width="17.08984375" style="961" customWidth="1"/>
    <col min="9069" max="9069" width="23.453125" style="961" customWidth="1"/>
    <col min="9070" max="9071" width="19.453125" style="961" customWidth="1"/>
    <col min="9072" max="9072" width="39.453125" style="961" customWidth="1"/>
    <col min="9073" max="9073" width="19.453125" style="961" customWidth="1"/>
    <col min="9074" max="9316" width="9.08984375" style="961"/>
    <col min="9317" max="9317" width="9.90625" style="961" bestFit="1" customWidth="1"/>
    <col min="9318" max="9318" width="19.453125" style="961" customWidth="1"/>
    <col min="9319" max="9319" width="14.90625" style="961" customWidth="1"/>
    <col min="9320" max="9320" width="23.6328125" style="961" customWidth="1"/>
    <col min="9321" max="9321" width="19.453125" style="961" customWidth="1"/>
    <col min="9322" max="9322" width="21.90625" style="961" customWidth="1"/>
    <col min="9323" max="9323" width="14.453125" style="961" bestFit="1" customWidth="1"/>
    <col min="9324" max="9324" width="17.08984375" style="961" customWidth="1"/>
    <col min="9325" max="9325" width="23.453125" style="961" customWidth="1"/>
    <col min="9326" max="9327" width="19.453125" style="961" customWidth="1"/>
    <col min="9328" max="9328" width="39.453125" style="961" customWidth="1"/>
    <col min="9329" max="9329" width="19.453125" style="961" customWidth="1"/>
    <col min="9330" max="9572" width="9.08984375" style="961"/>
    <col min="9573" max="9573" width="9.90625" style="961" bestFit="1" customWidth="1"/>
    <col min="9574" max="9574" width="19.453125" style="961" customWidth="1"/>
    <col min="9575" max="9575" width="14.90625" style="961" customWidth="1"/>
    <col min="9576" max="9576" width="23.6328125" style="961" customWidth="1"/>
    <col min="9577" max="9577" width="19.453125" style="961" customWidth="1"/>
    <col min="9578" max="9578" width="21.90625" style="961" customWidth="1"/>
    <col min="9579" max="9579" width="14.453125" style="961" bestFit="1" customWidth="1"/>
    <col min="9580" max="9580" width="17.08984375" style="961" customWidth="1"/>
    <col min="9581" max="9581" width="23.453125" style="961" customWidth="1"/>
    <col min="9582" max="9583" width="19.453125" style="961" customWidth="1"/>
    <col min="9584" max="9584" width="39.453125" style="961" customWidth="1"/>
    <col min="9585" max="9585" width="19.453125" style="961" customWidth="1"/>
    <col min="9586" max="9828" width="9.08984375" style="961"/>
    <col min="9829" max="9829" width="9.90625" style="961" bestFit="1" customWidth="1"/>
    <col min="9830" max="9830" width="19.453125" style="961" customWidth="1"/>
    <col min="9831" max="9831" width="14.90625" style="961" customWidth="1"/>
    <col min="9832" max="9832" width="23.6328125" style="961" customWidth="1"/>
    <col min="9833" max="9833" width="19.453125" style="961" customWidth="1"/>
    <col min="9834" max="9834" width="21.90625" style="961" customWidth="1"/>
    <col min="9835" max="9835" width="14.453125" style="961" bestFit="1" customWidth="1"/>
    <col min="9836" max="9836" width="17.08984375" style="961" customWidth="1"/>
    <col min="9837" max="9837" width="23.453125" style="961" customWidth="1"/>
    <col min="9838" max="9839" width="19.453125" style="961" customWidth="1"/>
    <col min="9840" max="9840" width="39.453125" style="961" customWidth="1"/>
    <col min="9841" max="9841" width="19.453125" style="961" customWidth="1"/>
    <col min="9842" max="10084" width="9.08984375" style="961"/>
    <col min="10085" max="10085" width="9.90625" style="961" bestFit="1" customWidth="1"/>
    <col min="10086" max="10086" width="19.453125" style="961" customWidth="1"/>
    <col min="10087" max="10087" width="14.90625" style="961" customWidth="1"/>
    <col min="10088" max="10088" width="23.6328125" style="961" customWidth="1"/>
    <col min="10089" max="10089" width="19.453125" style="961" customWidth="1"/>
    <col min="10090" max="10090" width="21.90625" style="961" customWidth="1"/>
    <col min="10091" max="10091" width="14.453125" style="961" bestFit="1" customWidth="1"/>
    <col min="10092" max="10092" width="17.08984375" style="961" customWidth="1"/>
    <col min="10093" max="10093" width="23.453125" style="961" customWidth="1"/>
    <col min="10094" max="10095" width="19.453125" style="961" customWidth="1"/>
    <col min="10096" max="10096" width="39.453125" style="961" customWidth="1"/>
    <col min="10097" max="10097" width="19.453125" style="961" customWidth="1"/>
    <col min="10098" max="10340" width="9.08984375" style="961"/>
    <col min="10341" max="10341" width="9.90625" style="961" bestFit="1" customWidth="1"/>
    <col min="10342" max="10342" width="19.453125" style="961" customWidth="1"/>
    <col min="10343" max="10343" width="14.90625" style="961" customWidth="1"/>
    <col min="10344" max="10344" width="23.6328125" style="961" customWidth="1"/>
    <col min="10345" max="10345" width="19.453125" style="961" customWidth="1"/>
    <col min="10346" max="10346" width="21.90625" style="961" customWidth="1"/>
    <col min="10347" max="10347" width="14.453125" style="961" bestFit="1" customWidth="1"/>
    <col min="10348" max="10348" width="17.08984375" style="961" customWidth="1"/>
    <col min="10349" max="10349" width="23.453125" style="961" customWidth="1"/>
    <col min="10350" max="10351" width="19.453125" style="961" customWidth="1"/>
    <col min="10352" max="10352" width="39.453125" style="961" customWidth="1"/>
    <col min="10353" max="10353" width="19.453125" style="961" customWidth="1"/>
    <col min="10354" max="10596" width="9.08984375" style="961"/>
    <col min="10597" max="10597" width="9.90625" style="961" bestFit="1" customWidth="1"/>
    <col min="10598" max="10598" width="19.453125" style="961" customWidth="1"/>
    <col min="10599" max="10599" width="14.90625" style="961" customWidth="1"/>
    <col min="10600" max="10600" width="23.6328125" style="961" customWidth="1"/>
    <col min="10601" max="10601" width="19.453125" style="961" customWidth="1"/>
    <col min="10602" max="10602" width="21.90625" style="961" customWidth="1"/>
    <col min="10603" max="10603" width="14.453125" style="961" bestFit="1" customWidth="1"/>
    <col min="10604" max="10604" width="17.08984375" style="961" customWidth="1"/>
    <col min="10605" max="10605" width="23.453125" style="961" customWidth="1"/>
    <col min="10606" max="10607" width="19.453125" style="961" customWidth="1"/>
    <col min="10608" max="10608" width="39.453125" style="961" customWidth="1"/>
    <col min="10609" max="10609" width="19.453125" style="961" customWidth="1"/>
    <col min="10610" max="10852" width="9.08984375" style="961"/>
    <col min="10853" max="10853" width="9.90625" style="961" bestFit="1" customWidth="1"/>
    <col min="10854" max="10854" width="19.453125" style="961" customWidth="1"/>
    <col min="10855" max="10855" width="14.90625" style="961" customWidth="1"/>
    <col min="10856" max="10856" width="23.6328125" style="961" customWidth="1"/>
    <col min="10857" max="10857" width="19.453125" style="961" customWidth="1"/>
    <col min="10858" max="10858" width="21.90625" style="961" customWidth="1"/>
    <col min="10859" max="10859" width="14.453125" style="961" bestFit="1" customWidth="1"/>
    <col min="10860" max="10860" width="17.08984375" style="961" customWidth="1"/>
    <col min="10861" max="10861" width="23.453125" style="961" customWidth="1"/>
    <col min="10862" max="10863" width="19.453125" style="961" customWidth="1"/>
    <col min="10864" max="10864" width="39.453125" style="961" customWidth="1"/>
    <col min="10865" max="10865" width="19.453125" style="961" customWidth="1"/>
    <col min="10866" max="11108" width="9.08984375" style="961"/>
    <col min="11109" max="11109" width="9.90625" style="961" bestFit="1" customWidth="1"/>
    <col min="11110" max="11110" width="19.453125" style="961" customWidth="1"/>
    <col min="11111" max="11111" width="14.90625" style="961" customWidth="1"/>
    <col min="11112" max="11112" width="23.6328125" style="961" customWidth="1"/>
    <col min="11113" max="11113" width="19.453125" style="961" customWidth="1"/>
    <col min="11114" max="11114" width="21.90625" style="961" customWidth="1"/>
    <col min="11115" max="11115" width="14.453125" style="961" bestFit="1" customWidth="1"/>
    <col min="11116" max="11116" width="17.08984375" style="961" customWidth="1"/>
    <col min="11117" max="11117" width="23.453125" style="961" customWidth="1"/>
    <col min="11118" max="11119" width="19.453125" style="961" customWidth="1"/>
    <col min="11120" max="11120" width="39.453125" style="961" customWidth="1"/>
    <col min="11121" max="11121" width="19.453125" style="961" customWidth="1"/>
    <col min="11122" max="11364" width="9.08984375" style="961"/>
    <col min="11365" max="11365" width="9.90625" style="961" bestFit="1" customWidth="1"/>
    <col min="11366" max="11366" width="19.453125" style="961" customWidth="1"/>
    <col min="11367" max="11367" width="14.90625" style="961" customWidth="1"/>
    <col min="11368" max="11368" width="23.6328125" style="961" customWidth="1"/>
    <col min="11369" max="11369" width="19.453125" style="961" customWidth="1"/>
    <col min="11370" max="11370" width="21.90625" style="961" customWidth="1"/>
    <col min="11371" max="11371" width="14.453125" style="961" bestFit="1" customWidth="1"/>
    <col min="11372" max="11372" width="17.08984375" style="961" customWidth="1"/>
    <col min="11373" max="11373" width="23.453125" style="961" customWidth="1"/>
    <col min="11374" max="11375" width="19.453125" style="961" customWidth="1"/>
    <col min="11376" max="11376" width="39.453125" style="961" customWidth="1"/>
    <col min="11377" max="11377" width="19.453125" style="961" customWidth="1"/>
    <col min="11378" max="11620" width="9.08984375" style="961"/>
    <col min="11621" max="11621" width="9.90625" style="961" bestFit="1" customWidth="1"/>
    <col min="11622" max="11622" width="19.453125" style="961" customWidth="1"/>
    <col min="11623" max="11623" width="14.90625" style="961" customWidth="1"/>
    <col min="11624" max="11624" width="23.6328125" style="961" customWidth="1"/>
    <col min="11625" max="11625" width="19.453125" style="961" customWidth="1"/>
    <col min="11626" max="11626" width="21.90625" style="961" customWidth="1"/>
    <col min="11627" max="11627" width="14.453125" style="961" bestFit="1" customWidth="1"/>
    <col min="11628" max="11628" width="17.08984375" style="961" customWidth="1"/>
    <col min="11629" max="11629" width="23.453125" style="961" customWidth="1"/>
    <col min="11630" max="11631" width="19.453125" style="961" customWidth="1"/>
    <col min="11632" max="11632" width="39.453125" style="961" customWidth="1"/>
    <col min="11633" max="11633" width="19.453125" style="961" customWidth="1"/>
    <col min="11634" max="11876" width="9.08984375" style="961"/>
    <col min="11877" max="11877" width="9.90625" style="961" bestFit="1" customWidth="1"/>
    <col min="11878" max="11878" width="19.453125" style="961" customWidth="1"/>
    <col min="11879" max="11879" width="14.90625" style="961" customWidth="1"/>
    <col min="11880" max="11880" width="23.6328125" style="961" customWidth="1"/>
    <col min="11881" max="11881" width="19.453125" style="961" customWidth="1"/>
    <col min="11882" max="11882" width="21.90625" style="961" customWidth="1"/>
    <col min="11883" max="11883" width="14.453125" style="961" bestFit="1" customWidth="1"/>
    <col min="11884" max="11884" width="17.08984375" style="961" customWidth="1"/>
    <col min="11885" max="11885" width="23.453125" style="961" customWidth="1"/>
    <col min="11886" max="11887" width="19.453125" style="961" customWidth="1"/>
    <col min="11888" max="11888" width="39.453125" style="961" customWidth="1"/>
    <col min="11889" max="11889" width="19.453125" style="961" customWidth="1"/>
    <col min="11890" max="12132" width="9.08984375" style="961"/>
    <col min="12133" max="12133" width="9.90625" style="961" bestFit="1" customWidth="1"/>
    <col min="12134" max="12134" width="19.453125" style="961" customWidth="1"/>
    <col min="12135" max="12135" width="14.90625" style="961" customWidth="1"/>
    <col min="12136" max="12136" width="23.6328125" style="961" customWidth="1"/>
    <col min="12137" max="12137" width="19.453125" style="961" customWidth="1"/>
    <col min="12138" max="12138" width="21.90625" style="961" customWidth="1"/>
    <col min="12139" max="12139" width="14.453125" style="961" bestFit="1" customWidth="1"/>
    <col min="12140" max="12140" width="17.08984375" style="961" customWidth="1"/>
    <col min="12141" max="12141" width="23.453125" style="961" customWidth="1"/>
    <col min="12142" max="12143" width="19.453125" style="961" customWidth="1"/>
    <col min="12144" max="12144" width="39.453125" style="961" customWidth="1"/>
    <col min="12145" max="12145" width="19.453125" style="961" customWidth="1"/>
    <col min="12146" max="12388" width="9.08984375" style="961"/>
    <col min="12389" max="12389" width="9.90625" style="961" bestFit="1" customWidth="1"/>
    <col min="12390" max="12390" width="19.453125" style="961" customWidth="1"/>
    <col min="12391" max="12391" width="14.90625" style="961" customWidth="1"/>
    <col min="12392" max="12392" width="23.6328125" style="961" customWidth="1"/>
    <col min="12393" max="12393" width="19.453125" style="961" customWidth="1"/>
    <col min="12394" max="12394" width="21.90625" style="961" customWidth="1"/>
    <col min="12395" max="12395" width="14.453125" style="961" bestFit="1" customWidth="1"/>
    <col min="12396" max="12396" width="17.08984375" style="961" customWidth="1"/>
    <col min="12397" max="12397" width="23.453125" style="961" customWidth="1"/>
    <col min="12398" max="12399" width="19.453125" style="961" customWidth="1"/>
    <col min="12400" max="12400" width="39.453125" style="961" customWidth="1"/>
    <col min="12401" max="12401" width="19.453125" style="961" customWidth="1"/>
    <col min="12402" max="12644" width="9.08984375" style="961"/>
    <col min="12645" max="12645" width="9.90625" style="961" bestFit="1" customWidth="1"/>
    <col min="12646" max="12646" width="19.453125" style="961" customWidth="1"/>
    <col min="12647" max="12647" width="14.90625" style="961" customWidth="1"/>
    <col min="12648" max="12648" width="23.6328125" style="961" customWidth="1"/>
    <col min="12649" max="12649" width="19.453125" style="961" customWidth="1"/>
    <col min="12650" max="12650" width="21.90625" style="961" customWidth="1"/>
    <col min="12651" max="12651" width="14.453125" style="961" bestFit="1" customWidth="1"/>
    <col min="12652" max="12652" width="17.08984375" style="961" customWidth="1"/>
    <col min="12653" max="12653" width="23.453125" style="961" customWidth="1"/>
    <col min="12654" max="12655" width="19.453125" style="961" customWidth="1"/>
    <col min="12656" max="12656" width="39.453125" style="961" customWidth="1"/>
    <col min="12657" max="12657" width="19.453125" style="961" customWidth="1"/>
    <col min="12658" max="12900" width="9.08984375" style="961"/>
    <col min="12901" max="12901" width="9.90625" style="961" bestFit="1" customWidth="1"/>
    <col min="12902" max="12902" width="19.453125" style="961" customWidth="1"/>
    <col min="12903" max="12903" width="14.90625" style="961" customWidth="1"/>
    <col min="12904" max="12904" width="23.6328125" style="961" customWidth="1"/>
    <col min="12905" max="12905" width="19.453125" style="961" customWidth="1"/>
    <col min="12906" max="12906" width="21.90625" style="961" customWidth="1"/>
    <col min="12907" max="12907" width="14.453125" style="961" bestFit="1" customWidth="1"/>
    <col min="12908" max="12908" width="17.08984375" style="961" customWidth="1"/>
    <col min="12909" max="12909" width="23.453125" style="961" customWidth="1"/>
    <col min="12910" max="12911" width="19.453125" style="961" customWidth="1"/>
    <col min="12912" max="12912" width="39.453125" style="961" customWidth="1"/>
    <col min="12913" max="12913" width="19.453125" style="961" customWidth="1"/>
    <col min="12914" max="13156" width="9.08984375" style="961"/>
    <col min="13157" max="13157" width="9.90625" style="961" bestFit="1" customWidth="1"/>
    <col min="13158" max="13158" width="19.453125" style="961" customWidth="1"/>
    <col min="13159" max="13159" width="14.90625" style="961" customWidth="1"/>
    <col min="13160" max="13160" width="23.6328125" style="961" customWidth="1"/>
    <col min="13161" max="13161" width="19.453125" style="961" customWidth="1"/>
    <col min="13162" max="13162" width="21.90625" style="961" customWidth="1"/>
    <col min="13163" max="13163" width="14.453125" style="961" bestFit="1" customWidth="1"/>
    <col min="13164" max="13164" width="17.08984375" style="961" customWidth="1"/>
    <col min="13165" max="13165" width="23.453125" style="961" customWidth="1"/>
    <col min="13166" max="13167" width="19.453125" style="961" customWidth="1"/>
    <col min="13168" max="13168" width="39.453125" style="961" customWidth="1"/>
    <col min="13169" max="13169" width="19.453125" style="961" customWidth="1"/>
    <col min="13170" max="13412" width="9.08984375" style="961"/>
    <col min="13413" max="13413" width="9.90625" style="961" bestFit="1" customWidth="1"/>
    <col min="13414" max="13414" width="19.453125" style="961" customWidth="1"/>
    <col min="13415" max="13415" width="14.90625" style="961" customWidth="1"/>
    <col min="13416" max="13416" width="23.6328125" style="961" customWidth="1"/>
    <col min="13417" max="13417" width="19.453125" style="961" customWidth="1"/>
    <col min="13418" max="13418" width="21.90625" style="961" customWidth="1"/>
    <col min="13419" max="13419" width="14.453125" style="961" bestFit="1" customWidth="1"/>
    <col min="13420" max="13420" width="17.08984375" style="961" customWidth="1"/>
    <col min="13421" max="13421" width="23.453125" style="961" customWidth="1"/>
    <col min="13422" max="13423" width="19.453125" style="961" customWidth="1"/>
    <col min="13424" max="13424" width="39.453125" style="961" customWidth="1"/>
    <col min="13425" max="13425" width="19.453125" style="961" customWidth="1"/>
    <col min="13426" max="13668" width="9.08984375" style="961"/>
    <col min="13669" max="13669" width="9.90625" style="961" bestFit="1" customWidth="1"/>
    <col min="13670" max="13670" width="19.453125" style="961" customWidth="1"/>
    <col min="13671" max="13671" width="14.90625" style="961" customWidth="1"/>
    <col min="13672" max="13672" width="23.6328125" style="961" customWidth="1"/>
    <col min="13673" max="13673" width="19.453125" style="961" customWidth="1"/>
    <col min="13674" max="13674" width="21.90625" style="961" customWidth="1"/>
    <col min="13675" max="13675" width="14.453125" style="961" bestFit="1" customWidth="1"/>
    <col min="13676" max="13676" width="17.08984375" style="961" customWidth="1"/>
    <col min="13677" max="13677" width="23.453125" style="961" customWidth="1"/>
    <col min="13678" max="13679" width="19.453125" style="961" customWidth="1"/>
    <col min="13680" max="13680" width="39.453125" style="961" customWidth="1"/>
    <col min="13681" max="13681" width="19.453125" style="961" customWidth="1"/>
    <col min="13682" max="13924" width="9.08984375" style="961"/>
    <col min="13925" max="13925" width="9.90625" style="961" bestFit="1" customWidth="1"/>
    <col min="13926" max="13926" width="19.453125" style="961" customWidth="1"/>
    <col min="13927" max="13927" width="14.90625" style="961" customWidth="1"/>
    <col min="13928" max="13928" width="23.6328125" style="961" customWidth="1"/>
    <col min="13929" max="13929" width="19.453125" style="961" customWidth="1"/>
    <col min="13930" max="13930" width="21.90625" style="961" customWidth="1"/>
    <col min="13931" max="13931" width="14.453125" style="961" bestFit="1" customWidth="1"/>
    <col min="13932" max="13932" width="17.08984375" style="961" customWidth="1"/>
    <col min="13933" max="13933" width="23.453125" style="961" customWidth="1"/>
    <col min="13934" max="13935" width="19.453125" style="961" customWidth="1"/>
    <col min="13936" max="13936" width="39.453125" style="961" customWidth="1"/>
    <col min="13937" max="13937" width="19.453125" style="961" customWidth="1"/>
    <col min="13938" max="14180" width="9.08984375" style="961"/>
    <col min="14181" max="14181" width="9.90625" style="961" bestFit="1" customWidth="1"/>
    <col min="14182" max="14182" width="19.453125" style="961" customWidth="1"/>
    <col min="14183" max="14183" width="14.90625" style="961" customWidth="1"/>
    <col min="14184" max="14184" width="23.6328125" style="961" customWidth="1"/>
    <col min="14185" max="14185" width="19.453125" style="961" customWidth="1"/>
    <col min="14186" max="14186" width="21.90625" style="961" customWidth="1"/>
    <col min="14187" max="14187" width="14.453125" style="961" bestFit="1" customWidth="1"/>
    <col min="14188" max="14188" width="17.08984375" style="961" customWidth="1"/>
    <col min="14189" max="14189" width="23.453125" style="961" customWidth="1"/>
    <col min="14190" max="14191" width="19.453125" style="961" customWidth="1"/>
    <col min="14192" max="14192" width="39.453125" style="961" customWidth="1"/>
    <col min="14193" max="14193" width="19.453125" style="961" customWidth="1"/>
    <col min="14194" max="14436" width="9.08984375" style="961"/>
    <col min="14437" max="14437" width="9.90625" style="961" bestFit="1" customWidth="1"/>
    <col min="14438" max="14438" width="19.453125" style="961" customWidth="1"/>
    <col min="14439" max="14439" width="14.90625" style="961" customWidth="1"/>
    <col min="14440" max="14440" width="23.6328125" style="961" customWidth="1"/>
    <col min="14441" max="14441" width="19.453125" style="961" customWidth="1"/>
    <col min="14442" max="14442" width="21.90625" style="961" customWidth="1"/>
    <col min="14443" max="14443" width="14.453125" style="961" bestFit="1" customWidth="1"/>
    <col min="14444" max="14444" width="17.08984375" style="961" customWidth="1"/>
    <col min="14445" max="14445" width="23.453125" style="961" customWidth="1"/>
    <col min="14446" max="14447" width="19.453125" style="961" customWidth="1"/>
    <col min="14448" max="14448" width="39.453125" style="961" customWidth="1"/>
    <col min="14449" max="14449" width="19.453125" style="961" customWidth="1"/>
    <col min="14450" max="14692" width="9.08984375" style="961"/>
    <col min="14693" max="14693" width="9.90625" style="961" bestFit="1" customWidth="1"/>
    <col min="14694" max="14694" width="19.453125" style="961" customWidth="1"/>
    <col min="14695" max="14695" width="14.90625" style="961" customWidth="1"/>
    <col min="14696" max="14696" width="23.6328125" style="961" customWidth="1"/>
    <col min="14697" max="14697" width="19.453125" style="961" customWidth="1"/>
    <col min="14698" max="14698" width="21.90625" style="961" customWidth="1"/>
    <col min="14699" max="14699" width="14.453125" style="961" bestFit="1" customWidth="1"/>
    <col min="14700" max="14700" width="17.08984375" style="961" customWidth="1"/>
    <col min="14701" max="14701" width="23.453125" style="961" customWidth="1"/>
    <col min="14702" max="14703" width="19.453125" style="961" customWidth="1"/>
    <col min="14704" max="14704" width="39.453125" style="961" customWidth="1"/>
    <col min="14705" max="14705" width="19.453125" style="961" customWidth="1"/>
    <col min="14706" max="14948" width="9.08984375" style="961"/>
    <col min="14949" max="14949" width="9.90625" style="961" bestFit="1" customWidth="1"/>
    <col min="14950" max="14950" width="19.453125" style="961" customWidth="1"/>
    <col min="14951" max="14951" width="14.90625" style="961" customWidth="1"/>
    <col min="14952" max="14952" width="23.6328125" style="961" customWidth="1"/>
    <col min="14953" max="14953" width="19.453125" style="961" customWidth="1"/>
    <col min="14954" max="14954" width="21.90625" style="961" customWidth="1"/>
    <col min="14955" max="14955" width="14.453125" style="961" bestFit="1" customWidth="1"/>
    <col min="14956" max="14956" width="17.08984375" style="961" customWidth="1"/>
    <col min="14957" max="14957" width="23.453125" style="961" customWidth="1"/>
    <col min="14958" max="14959" width="19.453125" style="961" customWidth="1"/>
    <col min="14960" max="14960" width="39.453125" style="961" customWidth="1"/>
    <col min="14961" max="14961" width="19.453125" style="961" customWidth="1"/>
    <col min="14962" max="15204" width="9.08984375" style="961"/>
    <col min="15205" max="15205" width="9.90625" style="961" bestFit="1" customWidth="1"/>
    <col min="15206" max="15206" width="19.453125" style="961" customWidth="1"/>
    <col min="15207" max="15207" width="14.90625" style="961" customWidth="1"/>
    <col min="15208" max="15208" width="23.6328125" style="961" customWidth="1"/>
    <col min="15209" max="15209" width="19.453125" style="961" customWidth="1"/>
    <col min="15210" max="15210" width="21.90625" style="961" customWidth="1"/>
    <col min="15211" max="15211" width="14.453125" style="961" bestFit="1" customWidth="1"/>
    <col min="15212" max="15212" width="17.08984375" style="961" customWidth="1"/>
    <col min="15213" max="15213" width="23.453125" style="961" customWidth="1"/>
    <col min="15214" max="15215" width="19.453125" style="961" customWidth="1"/>
    <col min="15216" max="15216" width="39.453125" style="961" customWidth="1"/>
    <col min="15217" max="15217" width="19.453125" style="961" customWidth="1"/>
    <col min="15218" max="15460" width="9.08984375" style="961"/>
    <col min="15461" max="15461" width="9.90625" style="961" bestFit="1" customWidth="1"/>
    <col min="15462" max="15462" width="19.453125" style="961" customWidth="1"/>
    <col min="15463" max="15463" width="14.90625" style="961" customWidth="1"/>
    <col min="15464" max="15464" width="23.6328125" style="961" customWidth="1"/>
    <col min="15465" max="15465" width="19.453125" style="961" customWidth="1"/>
    <col min="15466" max="15466" width="21.90625" style="961" customWidth="1"/>
    <col min="15467" max="15467" width="14.453125" style="961" bestFit="1" customWidth="1"/>
    <col min="15468" max="15468" width="17.08984375" style="961" customWidth="1"/>
    <col min="15469" max="15469" width="23.453125" style="961" customWidth="1"/>
    <col min="15470" max="15471" width="19.453125" style="961" customWidth="1"/>
    <col min="15472" max="15472" width="39.453125" style="961" customWidth="1"/>
    <col min="15473" max="15473" width="19.453125" style="961" customWidth="1"/>
    <col min="15474" max="15716" width="9.08984375" style="961"/>
    <col min="15717" max="15717" width="9.90625" style="961" bestFit="1" customWidth="1"/>
    <col min="15718" max="15718" width="19.453125" style="961" customWidth="1"/>
    <col min="15719" max="15719" width="14.90625" style="961" customWidth="1"/>
    <col min="15720" max="15720" width="23.6328125" style="961" customWidth="1"/>
    <col min="15721" max="15721" width="19.453125" style="961" customWidth="1"/>
    <col min="15722" max="15722" width="21.90625" style="961" customWidth="1"/>
    <col min="15723" max="15723" width="14.453125" style="961" bestFit="1" customWidth="1"/>
    <col min="15724" max="15724" width="17.08984375" style="961" customWidth="1"/>
    <col min="15725" max="15725" width="23.453125" style="961" customWidth="1"/>
    <col min="15726" max="15727" width="19.453125" style="961" customWidth="1"/>
    <col min="15728" max="15728" width="39.453125" style="961" customWidth="1"/>
    <col min="15729" max="15729" width="19.453125" style="961" customWidth="1"/>
    <col min="15730" max="15972" width="9.08984375" style="961"/>
    <col min="15973" max="15973" width="9.90625" style="961" bestFit="1" customWidth="1"/>
    <col min="15974" max="15974" width="19.453125" style="961" customWidth="1"/>
    <col min="15975" max="15975" width="14.90625" style="961" customWidth="1"/>
    <col min="15976" max="15976" width="23.6328125" style="961" customWidth="1"/>
    <col min="15977" max="15977" width="19.453125" style="961" customWidth="1"/>
    <col min="15978" max="15978" width="21.90625" style="961" customWidth="1"/>
    <col min="15979" max="15979" width="14.453125" style="961" bestFit="1" customWidth="1"/>
    <col min="15980" max="15980" width="17.08984375" style="961" customWidth="1"/>
    <col min="15981" max="15981" width="23.453125" style="961" customWidth="1"/>
    <col min="15982" max="15983" width="19.453125" style="961" customWidth="1"/>
    <col min="15984" max="15984" width="39.453125" style="961" customWidth="1"/>
    <col min="15985" max="15985" width="19.453125" style="961" customWidth="1"/>
    <col min="15986" max="16384" width="9.08984375" style="961"/>
  </cols>
  <sheetData>
    <row r="1" spans="1:18" ht="25" customHeight="1">
      <c r="A1" s="959" t="s">
        <v>37</v>
      </c>
    </row>
    <row r="2" spans="1:18" ht="25" customHeight="1">
      <c r="A2" s="963" t="s">
        <v>2740</v>
      </c>
    </row>
    <row r="3" spans="1:18">
      <c r="A3" s="963" t="s">
        <v>2876</v>
      </c>
    </row>
    <row r="4" spans="1:18" ht="25.5" customHeight="1">
      <c r="J4" s="964" t="s">
        <v>60</v>
      </c>
      <c r="K4" s="965"/>
      <c r="L4" s="966">
        <f>COUNTIF($L$8:$L$488,"Clear")</f>
        <v>226</v>
      </c>
      <c r="M4" s="966">
        <f>COUNTIF($M$8:$M$488,"C")</f>
        <v>222</v>
      </c>
      <c r="N4" s="966">
        <f>COUNTIF($N$8:$N$488,"C")</f>
        <v>176</v>
      </c>
      <c r="O4" s="966">
        <f>COUNTIF($O$8:$O$594,"C")</f>
        <v>137</v>
      </c>
      <c r="P4" s="966">
        <f>COUNTIF($P$8:$P$417,"C")</f>
        <v>0</v>
      </c>
      <c r="Q4" s="966"/>
    </row>
    <row r="5" spans="1:18" ht="25.5" customHeight="1">
      <c r="J5" s="964" t="s">
        <v>22</v>
      </c>
      <c r="K5" s="965"/>
      <c r="L5" s="966"/>
      <c r="M5" s="966">
        <f>COUNTIF($M$8:$M$488,"WIP")</f>
        <v>3</v>
      </c>
      <c r="N5" s="966">
        <f>COUNTIF($N$8:$N$417,"WIP")</f>
        <v>0</v>
      </c>
      <c r="O5" s="966">
        <f>COUNTIF($O$8:$O$553,"WIP")</f>
        <v>4</v>
      </c>
      <c r="P5" s="966">
        <f>COUNTIF($P$8:$P$417,"WIP")</f>
        <v>0</v>
      </c>
      <c r="Q5" s="967"/>
    </row>
    <row r="6" spans="1:18" s="960" customFormat="1" ht="46.75" customHeight="1">
      <c r="A6" s="1568" t="s">
        <v>1782</v>
      </c>
      <c r="B6" s="1568" t="s">
        <v>2877</v>
      </c>
      <c r="C6" s="1568" t="s">
        <v>1405</v>
      </c>
      <c r="D6" s="1568" t="s">
        <v>1923</v>
      </c>
      <c r="E6" s="1568" t="s">
        <v>1000</v>
      </c>
      <c r="F6" s="1568"/>
      <c r="G6" s="1568"/>
      <c r="H6" s="1568"/>
      <c r="I6" s="1565" t="s">
        <v>2878</v>
      </c>
      <c r="J6" s="1565" t="s">
        <v>2879</v>
      </c>
      <c r="K6" s="1565" t="s">
        <v>1922</v>
      </c>
      <c r="L6" s="1565" t="s">
        <v>1658</v>
      </c>
      <c r="M6" s="1565" t="s">
        <v>28</v>
      </c>
      <c r="N6" s="1565" t="s">
        <v>609</v>
      </c>
      <c r="O6" s="1565" t="s">
        <v>610</v>
      </c>
      <c r="P6" s="1565" t="s">
        <v>1254</v>
      </c>
      <c r="Q6" s="1565" t="s">
        <v>614</v>
      </c>
      <c r="R6" s="1565" t="s">
        <v>19</v>
      </c>
    </row>
    <row r="7" spans="1:18" s="960" customFormat="1" ht="43.25" customHeight="1">
      <c r="A7" s="1568"/>
      <c r="B7" s="1568"/>
      <c r="C7" s="1568"/>
      <c r="D7" s="1568"/>
      <c r="E7" s="968" t="s">
        <v>1930</v>
      </c>
      <c r="F7" s="968" t="s">
        <v>1931</v>
      </c>
      <c r="G7" s="968" t="s">
        <v>1932</v>
      </c>
      <c r="H7" s="968" t="s">
        <v>1933</v>
      </c>
      <c r="I7" s="1565"/>
      <c r="J7" s="1565"/>
      <c r="K7" s="1565"/>
      <c r="L7" s="1565"/>
      <c r="M7" s="1565"/>
      <c r="N7" s="1565"/>
      <c r="O7" s="1565"/>
      <c r="P7" s="1565"/>
      <c r="Q7" s="1565"/>
      <c r="R7" s="1565"/>
    </row>
    <row r="8" spans="1:18" s="960" customFormat="1" ht="30" customHeight="1">
      <c r="A8" s="969">
        <v>1</v>
      </c>
      <c r="B8" s="972" t="s">
        <v>2880</v>
      </c>
      <c r="C8" s="972" t="s">
        <v>1277</v>
      </c>
      <c r="D8" s="971" t="s">
        <v>2881</v>
      </c>
      <c r="E8" s="972"/>
      <c r="F8" s="972"/>
      <c r="G8" s="972"/>
      <c r="H8" s="972"/>
      <c r="I8" s="976" t="s">
        <v>3286</v>
      </c>
      <c r="J8" s="970"/>
      <c r="K8" s="970">
        <v>0</v>
      </c>
      <c r="L8" s="970" t="s">
        <v>2919</v>
      </c>
      <c r="M8" s="970" t="s">
        <v>1009</v>
      </c>
      <c r="N8" s="970"/>
      <c r="O8" s="970"/>
      <c r="P8" s="970"/>
      <c r="Q8" s="973"/>
      <c r="R8" s="974"/>
    </row>
    <row r="9" spans="1:18" s="960" customFormat="1" ht="30" customHeight="1">
      <c r="A9" s="969"/>
      <c r="B9" s="972"/>
      <c r="C9" s="972"/>
      <c r="D9" s="975"/>
      <c r="E9" s="972"/>
      <c r="F9" s="972"/>
      <c r="G9" s="972"/>
      <c r="H9" s="972"/>
      <c r="I9" s="976"/>
      <c r="J9" s="977">
        <v>416.65800000000002</v>
      </c>
      <c r="K9" s="970"/>
      <c r="L9" s="970"/>
      <c r="M9" s="970"/>
      <c r="N9" s="970"/>
      <c r="O9" s="970"/>
      <c r="P9" s="970"/>
      <c r="Q9" s="973"/>
      <c r="R9" s="974"/>
    </row>
    <row r="10" spans="1:18" s="960" customFormat="1" ht="30" customHeight="1">
      <c r="A10" s="969">
        <f>A8+1</f>
        <v>2</v>
      </c>
      <c r="B10" s="972" t="s">
        <v>2882</v>
      </c>
      <c r="C10" s="972" t="s">
        <v>1935</v>
      </c>
      <c r="D10" s="971" t="s">
        <v>2883</v>
      </c>
      <c r="E10" s="972"/>
      <c r="F10" s="972"/>
      <c r="G10" s="972"/>
      <c r="H10" s="972"/>
      <c r="I10" s="976" t="s">
        <v>3286</v>
      </c>
      <c r="J10" s="977"/>
      <c r="K10" s="970">
        <f>J9</f>
        <v>416.65800000000002</v>
      </c>
      <c r="L10" s="970" t="s">
        <v>2919</v>
      </c>
      <c r="M10" s="970" t="s">
        <v>1009</v>
      </c>
      <c r="N10" s="970"/>
      <c r="O10" s="970"/>
      <c r="P10" s="970"/>
      <c r="Q10" s="973"/>
      <c r="R10" s="974"/>
    </row>
    <row r="11" spans="1:18" s="960" customFormat="1" ht="30" customHeight="1">
      <c r="A11" s="969"/>
      <c r="B11" s="972"/>
      <c r="C11" s="972"/>
      <c r="D11" s="975"/>
      <c r="E11" s="972"/>
      <c r="F11" s="972"/>
      <c r="G11" s="972"/>
      <c r="H11" s="972"/>
      <c r="I11" s="976"/>
      <c r="J11" s="977">
        <v>389.27699999999999</v>
      </c>
      <c r="K11" s="970"/>
      <c r="L11" s="970"/>
      <c r="M11" s="970"/>
      <c r="N11" s="970"/>
      <c r="O11" s="970"/>
      <c r="P11" s="970"/>
      <c r="Q11" s="973"/>
      <c r="R11" s="974"/>
    </row>
    <row r="12" spans="1:18" s="960" customFormat="1" ht="30" customHeight="1">
      <c r="A12" s="969">
        <f>A10+1</f>
        <v>3</v>
      </c>
      <c r="B12" s="972" t="s">
        <v>2884</v>
      </c>
      <c r="C12" s="972" t="s">
        <v>1995</v>
      </c>
      <c r="D12" s="971" t="s">
        <v>2058</v>
      </c>
      <c r="E12" s="972"/>
      <c r="F12" s="972"/>
      <c r="G12" s="972"/>
      <c r="H12" s="972"/>
      <c r="I12" s="976" t="s">
        <v>2736</v>
      </c>
      <c r="J12" s="977"/>
      <c r="K12" s="970">
        <f>J11</f>
        <v>389.27699999999999</v>
      </c>
      <c r="L12" s="970" t="s">
        <v>2919</v>
      </c>
      <c r="M12" s="970" t="s">
        <v>1009</v>
      </c>
      <c r="N12" s="970"/>
      <c r="O12" s="970"/>
      <c r="P12" s="970"/>
      <c r="Q12" s="973"/>
      <c r="R12" s="974"/>
    </row>
    <row r="13" spans="1:18" s="960" customFormat="1" ht="30" customHeight="1">
      <c r="A13" s="969"/>
      <c r="B13" s="972"/>
      <c r="C13" s="972"/>
      <c r="D13" s="975"/>
      <c r="E13" s="972"/>
      <c r="F13" s="972"/>
      <c r="G13" s="972"/>
      <c r="H13" s="972"/>
      <c r="I13" s="976"/>
      <c r="J13" s="977">
        <v>384.15100000000001</v>
      </c>
      <c r="K13" s="970"/>
      <c r="L13" s="970"/>
      <c r="M13" s="970"/>
      <c r="N13" s="970"/>
      <c r="O13" s="970"/>
      <c r="P13" s="970"/>
      <c r="Q13" s="1573"/>
      <c r="R13" s="974"/>
    </row>
    <row r="14" spans="1:18" s="960" customFormat="1" ht="30" customHeight="1">
      <c r="A14" s="969">
        <f>A12+1</f>
        <v>4</v>
      </c>
      <c r="B14" s="972" t="s">
        <v>702</v>
      </c>
      <c r="C14" s="972" t="s">
        <v>53</v>
      </c>
      <c r="D14" s="975"/>
      <c r="E14" s="972"/>
      <c r="F14" s="972"/>
      <c r="G14" s="972"/>
      <c r="H14" s="972"/>
      <c r="I14" s="976" t="s">
        <v>3286</v>
      </c>
      <c r="J14" s="977"/>
      <c r="K14" s="970">
        <f>J13</f>
        <v>384.15100000000001</v>
      </c>
      <c r="L14" s="970" t="s">
        <v>2919</v>
      </c>
      <c r="M14" s="970" t="s">
        <v>1009</v>
      </c>
      <c r="N14" s="970" t="s">
        <v>1009</v>
      </c>
      <c r="O14" s="970"/>
      <c r="P14" s="970"/>
      <c r="Q14" s="1574"/>
      <c r="R14" s="974"/>
    </row>
    <row r="15" spans="1:18" s="960" customFormat="1" ht="30" customHeight="1">
      <c r="A15" s="969"/>
      <c r="B15" s="972"/>
      <c r="C15" s="972"/>
      <c r="D15" s="975"/>
      <c r="E15" s="972"/>
      <c r="F15" s="972"/>
      <c r="G15" s="972"/>
      <c r="H15" s="972"/>
      <c r="I15" s="976"/>
      <c r="J15" s="977">
        <v>409.3</v>
      </c>
      <c r="K15" s="970"/>
      <c r="L15" s="970"/>
      <c r="M15" s="970"/>
      <c r="N15" s="970"/>
      <c r="O15" s="970"/>
      <c r="P15" s="970"/>
      <c r="Q15" s="1575"/>
      <c r="R15" s="974"/>
    </row>
    <row r="16" spans="1:18" s="960" customFormat="1" ht="30" customHeight="1">
      <c r="A16" s="969">
        <f>A14+1</f>
        <v>5</v>
      </c>
      <c r="B16" s="972" t="s">
        <v>2885</v>
      </c>
      <c r="C16" s="972" t="s">
        <v>1361</v>
      </c>
      <c r="D16" s="971" t="s">
        <v>2886</v>
      </c>
      <c r="E16" s="972"/>
      <c r="F16" s="972"/>
      <c r="G16" s="972"/>
      <c r="H16" s="972"/>
      <c r="I16" s="976" t="s">
        <v>3286</v>
      </c>
      <c r="J16" s="977"/>
      <c r="K16" s="970">
        <f t="shared" ref="K16:K28" si="0">J15</f>
        <v>409.3</v>
      </c>
      <c r="L16" s="970" t="s">
        <v>2919</v>
      </c>
      <c r="M16" s="970" t="s">
        <v>1009</v>
      </c>
      <c r="N16" s="970"/>
      <c r="O16" s="970"/>
      <c r="P16" s="970"/>
      <c r="Q16" s="973"/>
      <c r="R16" s="974"/>
    </row>
    <row r="17" spans="1:18" s="960" customFormat="1" ht="30" customHeight="1">
      <c r="A17" s="969"/>
      <c r="B17" s="972"/>
      <c r="C17" s="972"/>
      <c r="D17" s="975"/>
      <c r="E17" s="972"/>
      <c r="F17" s="972"/>
      <c r="G17" s="972"/>
      <c r="H17" s="972"/>
      <c r="I17" s="976"/>
      <c r="J17" s="977">
        <v>409.72</v>
      </c>
      <c r="K17" s="970"/>
      <c r="L17" s="970"/>
      <c r="M17" s="970"/>
      <c r="N17" s="970"/>
      <c r="O17" s="970"/>
      <c r="P17" s="970"/>
      <c r="Q17" s="1573"/>
      <c r="R17" s="974"/>
    </row>
    <row r="18" spans="1:18" s="960" customFormat="1" ht="30" customHeight="1">
      <c r="A18" s="969">
        <f>A16+1</f>
        <v>6</v>
      </c>
      <c r="B18" s="972" t="s">
        <v>753</v>
      </c>
      <c r="C18" s="972" t="s">
        <v>53</v>
      </c>
      <c r="D18" s="975"/>
      <c r="E18" s="972"/>
      <c r="F18" s="972"/>
      <c r="G18" s="972"/>
      <c r="H18" s="972"/>
      <c r="I18" s="976"/>
      <c r="J18" s="977"/>
      <c r="K18" s="970">
        <f t="shared" si="0"/>
        <v>409.72</v>
      </c>
      <c r="L18" s="970"/>
      <c r="M18" s="970"/>
      <c r="N18" s="970"/>
      <c r="O18" s="970"/>
      <c r="P18" s="970"/>
      <c r="Q18" s="1574"/>
      <c r="R18" s="974"/>
    </row>
    <row r="19" spans="1:18" s="960" customFormat="1" ht="30" customHeight="1">
      <c r="A19" s="969"/>
      <c r="B19" s="972"/>
      <c r="C19" s="972"/>
      <c r="D19" s="975"/>
      <c r="E19" s="972"/>
      <c r="F19" s="972"/>
      <c r="G19" s="972"/>
      <c r="H19" s="972"/>
      <c r="I19" s="976"/>
      <c r="J19" s="977">
        <v>406.73200000000003</v>
      </c>
      <c r="K19" s="970"/>
      <c r="L19" s="970"/>
      <c r="M19" s="970"/>
      <c r="N19" s="970"/>
      <c r="O19" s="970"/>
      <c r="P19" s="970"/>
      <c r="Q19" s="1574"/>
      <c r="R19" s="974"/>
    </row>
    <row r="20" spans="1:18" s="960" customFormat="1" ht="30" customHeight="1">
      <c r="A20" s="969">
        <f>A18+1</f>
        <v>7</v>
      </c>
      <c r="B20" s="972" t="s">
        <v>761</v>
      </c>
      <c r="C20" s="972" t="s">
        <v>62</v>
      </c>
      <c r="D20" s="975"/>
      <c r="E20" s="972"/>
      <c r="F20" s="972"/>
      <c r="G20" s="972"/>
      <c r="H20" s="972"/>
      <c r="I20" s="976" t="s">
        <v>3495</v>
      </c>
      <c r="J20" s="977"/>
      <c r="K20" s="970">
        <f t="shared" si="0"/>
        <v>406.73200000000003</v>
      </c>
      <c r="L20" s="970" t="s">
        <v>2919</v>
      </c>
      <c r="M20" s="970" t="s">
        <v>1009</v>
      </c>
      <c r="N20" s="970"/>
      <c r="O20" s="970"/>
      <c r="P20" s="970"/>
      <c r="Q20" s="1574"/>
      <c r="R20" s="974"/>
    </row>
    <row r="21" spans="1:18" s="960" customFormat="1" ht="30" customHeight="1">
      <c r="A21" s="969"/>
      <c r="B21" s="972"/>
      <c r="C21" s="972"/>
      <c r="D21" s="975"/>
      <c r="E21" s="972"/>
      <c r="F21" s="972"/>
      <c r="G21" s="972"/>
      <c r="H21" s="972"/>
      <c r="I21" s="976"/>
      <c r="J21" s="977">
        <v>404.91300000000001</v>
      </c>
      <c r="K21" s="970"/>
      <c r="L21" s="970"/>
      <c r="M21" s="970"/>
      <c r="N21" s="970"/>
      <c r="O21" s="970"/>
      <c r="P21" s="970"/>
      <c r="Q21" s="1574"/>
      <c r="R21" s="974"/>
    </row>
    <row r="22" spans="1:18" s="960" customFormat="1" ht="30" customHeight="1">
      <c r="A22" s="969">
        <f>A20+1</f>
        <v>8</v>
      </c>
      <c r="B22" s="972" t="s">
        <v>735</v>
      </c>
      <c r="C22" s="972" t="s">
        <v>53</v>
      </c>
      <c r="D22" s="975"/>
      <c r="E22" s="972"/>
      <c r="F22" s="972"/>
      <c r="G22" s="972"/>
      <c r="H22" s="972"/>
      <c r="I22" s="976" t="s">
        <v>3286</v>
      </c>
      <c r="J22" s="977"/>
      <c r="K22" s="970">
        <f t="shared" si="0"/>
        <v>404.91300000000001</v>
      </c>
      <c r="L22" s="970" t="s">
        <v>2919</v>
      </c>
      <c r="M22" s="970" t="s">
        <v>1009</v>
      </c>
      <c r="N22" s="970" t="s">
        <v>1009</v>
      </c>
      <c r="O22" s="970"/>
      <c r="P22" s="970"/>
      <c r="Q22" s="1574"/>
      <c r="R22" s="974"/>
    </row>
    <row r="23" spans="1:18" s="960" customFormat="1" ht="30" customHeight="1">
      <c r="A23" s="969"/>
      <c r="B23" s="972"/>
      <c r="C23" s="972"/>
      <c r="D23" s="975"/>
      <c r="E23" s="972"/>
      <c r="F23" s="972"/>
      <c r="G23" s="972"/>
      <c r="H23" s="972"/>
      <c r="I23" s="976"/>
      <c r="J23" s="977">
        <v>285.56299999999999</v>
      </c>
      <c r="K23" s="970"/>
      <c r="L23" s="970"/>
      <c r="M23" s="970"/>
      <c r="N23" s="970"/>
      <c r="O23" s="970"/>
      <c r="P23" s="970"/>
      <c r="Q23" s="1574"/>
      <c r="R23" s="974"/>
    </row>
    <row r="24" spans="1:18" s="960" customFormat="1" ht="30" customHeight="1">
      <c r="A24" s="969">
        <f>A22+1</f>
        <v>9</v>
      </c>
      <c r="B24" s="972" t="s">
        <v>746</v>
      </c>
      <c r="C24" s="972" t="s">
        <v>53</v>
      </c>
      <c r="D24" s="975"/>
      <c r="E24" s="972"/>
      <c r="F24" s="972"/>
      <c r="G24" s="972"/>
      <c r="H24" s="972"/>
      <c r="I24" s="976" t="s">
        <v>3286</v>
      </c>
      <c r="J24" s="977"/>
      <c r="K24" s="970">
        <f t="shared" si="0"/>
        <v>285.56299999999999</v>
      </c>
      <c r="L24" s="970" t="s">
        <v>2919</v>
      </c>
      <c r="M24" s="970" t="s">
        <v>1009</v>
      </c>
      <c r="N24" s="970"/>
      <c r="O24" s="970"/>
      <c r="P24" s="970"/>
      <c r="Q24" s="1574"/>
      <c r="R24" s="974"/>
    </row>
    <row r="25" spans="1:18" s="960" customFormat="1" ht="30" customHeight="1">
      <c r="A25" s="969"/>
      <c r="B25" s="972"/>
      <c r="C25" s="972"/>
      <c r="D25" s="975"/>
      <c r="E25" s="972"/>
      <c r="F25" s="972"/>
      <c r="G25" s="972"/>
      <c r="H25" s="972"/>
      <c r="I25" s="976"/>
      <c r="J25" s="977">
        <v>399.17399999999998</v>
      </c>
      <c r="K25" s="970"/>
      <c r="L25" s="970"/>
      <c r="M25" s="970"/>
      <c r="N25" s="970"/>
      <c r="O25" s="970"/>
      <c r="P25" s="970"/>
      <c r="Q25" s="1575"/>
      <c r="R25" s="974"/>
    </row>
    <row r="26" spans="1:18" s="960" customFormat="1" ht="30" customHeight="1">
      <c r="A26" s="969">
        <f>A24+1</f>
        <v>10</v>
      </c>
      <c r="B26" s="972" t="s">
        <v>2887</v>
      </c>
      <c r="C26" s="972" t="s">
        <v>1995</v>
      </c>
      <c r="D26" s="971" t="s">
        <v>2888</v>
      </c>
      <c r="E26" s="972"/>
      <c r="F26" s="972"/>
      <c r="G26" s="972"/>
      <c r="H26" s="972"/>
      <c r="I26" s="976" t="s">
        <v>3287</v>
      </c>
      <c r="J26" s="977"/>
      <c r="K26" s="970">
        <f t="shared" si="0"/>
        <v>399.17399999999998</v>
      </c>
      <c r="L26" s="970" t="s">
        <v>2919</v>
      </c>
      <c r="M26" s="970" t="s">
        <v>1009</v>
      </c>
      <c r="N26" s="970"/>
      <c r="O26" s="970"/>
      <c r="P26" s="970"/>
      <c r="Q26" s="973"/>
      <c r="R26" s="974"/>
    </row>
    <row r="27" spans="1:18" s="960" customFormat="1" ht="30" customHeight="1">
      <c r="A27" s="969"/>
      <c r="B27" s="972"/>
      <c r="C27" s="972"/>
      <c r="D27" s="975"/>
      <c r="E27" s="972"/>
      <c r="F27" s="972"/>
      <c r="G27" s="972"/>
      <c r="H27" s="972"/>
      <c r="I27" s="976"/>
      <c r="J27" s="977">
        <v>343.78399999999999</v>
      </c>
      <c r="K27" s="970"/>
      <c r="L27" s="970"/>
      <c r="M27" s="970"/>
      <c r="N27" s="970"/>
      <c r="O27" s="970"/>
      <c r="P27" s="970"/>
      <c r="Q27" s="1573"/>
      <c r="R27" s="974"/>
    </row>
    <row r="28" spans="1:18" ht="30" customHeight="1">
      <c r="A28" s="969">
        <f>A26+1</f>
        <v>11</v>
      </c>
      <c r="B28" s="972" t="s">
        <v>554</v>
      </c>
      <c r="C28" s="972" t="s">
        <v>76</v>
      </c>
      <c r="D28" s="975"/>
      <c r="E28" s="972"/>
      <c r="F28" s="972"/>
      <c r="G28" s="972"/>
      <c r="H28" s="972"/>
      <c r="I28" s="976" t="s">
        <v>3287</v>
      </c>
      <c r="J28" s="977"/>
      <c r="K28" s="970">
        <f t="shared" si="0"/>
        <v>343.78399999999999</v>
      </c>
      <c r="L28" s="970" t="s">
        <v>2919</v>
      </c>
      <c r="M28" s="970" t="s">
        <v>1009</v>
      </c>
      <c r="N28" s="970"/>
      <c r="O28" s="970"/>
      <c r="P28" s="970"/>
      <c r="Q28" s="1574"/>
      <c r="R28" s="974"/>
    </row>
    <row r="29" spans="1:18" ht="30" customHeight="1">
      <c r="A29" s="969"/>
      <c r="B29" s="972"/>
      <c r="C29" s="972"/>
      <c r="D29" s="975"/>
      <c r="E29" s="972"/>
      <c r="F29" s="972"/>
      <c r="G29" s="972"/>
      <c r="H29" s="972"/>
      <c r="I29" s="976"/>
      <c r="J29" s="977">
        <v>313.06299999999999</v>
      </c>
      <c r="K29" s="970"/>
      <c r="L29" s="970"/>
      <c r="M29" s="970"/>
      <c r="N29" s="970"/>
      <c r="O29" s="970"/>
      <c r="P29" s="970"/>
      <c r="Q29" s="1574"/>
      <c r="R29" s="974"/>
    </row>
    <row r="30" spans="1:18" ht="30" customHeight="1">
      <c r="A30" s="969">
        <f>A28+1</f>
        <v>12</v>
      </c>
      <c r="B30" s="972" t="s">
        <v>125</v>
      </c>
      <c r="C30" s="972" t="s">
        <v>76</v>
      </c>
      <c r="D30" s="975"/>
      <c r="E30" s="972"/>
      <c r="F30" s="972"/>
      <c r="G30" s="972"/>
      <c r="H30" s="972"/>
      <c r="I30" s="976" t="s">
        <v>3287</v>
      </c>
      <c r="J30" s="977"/>
      <c r="K30" s="970"/>
      <c r="L30" s="970" t="s">
        <v>2919</v>
      </c>
      <c r="M30" s="970" t="s">
        <v>1009</v>
      </c>
      <c r="N30" s="970"/>
      <c r="O30" s="970"/>
      <c r="P30" s="970"/>
      <c r="Q30" s="1574"/>
      <c r="R30" s="974"/>
    </row>
    <row r="31" spans="1:18" ht="30" customHeight="1">
      <c r="A31" s="969"/>
      <c r="B31" s="972"/>
      <c r="C31" s="972"/>
      <c r="D31" s="975"/>
      <c r="E31" s="972"/>
      <c r="F31" s="972"/>
      <c r="G31" s="972"/>
      <c r="H31" s="972"/>
      <c r="I31" s="976"/>
      <c r="J31" s="977">
        <v>325.52499999999998</v>
      </c>
      <c r="K31" s="970"/>
      <c r="L31" s="970"/>
      <c r="M31" s="970"/>
      <c r="N31" s="970"/>
      <c r="O31" s="970"/>
      <c r="P31" s="970"/>
      <c r="Q31" s="1575"/>
      <c r="R31" s="974"/>
    </row>
    <row r="32" spans="1:18" ht="30" customHeight="1">
      <c r="A32" s="969">
        <f>A30+1</f>
        <v>13</v>
      </c>
      <c r="B32" s="972" t="s">
        <v>2889</v>
      </c>
      <c r="C32" s="972" t="s">
        <v>1277</v>
      </c>
      <c r="D32" s="971" t="s">
        <v>2077</v>
      </c>
      <c r="E32" s="972"/>
      <c r="F32" s="972"/>
      <c r="G32" s="972"/>
      <c r="H32" s="972"/>
      <c r="I32" s="976" t="s">
        <v>1765</v>
      </c>
      <c r="J32" s="977"/>
      <c r="K32" s="970"/>
      <c r="L32" s="970" t="s">
        <v>2919</v>
      </c>
      <c r="M32" s="970" t="s">
        <v>1009</v>
      </c>
      <c r="N32" s="970"/>
      <c r="O32" s="970"/>
      <c r="P32" s="970"/>
      <c r="Q32" s="973"/>
      <c r="R32" s="974"/>
    </row>
    <row r="33" spans="1:18" ht="30" customHeight="1">
      <c r="A33" s="969"/>
      <c r="B33" s="972"/>
      <c r="C33" s="972"/>
      <c r="D33" s="975"/>
      <c r="E33" s="972"/>
      <c r="F33" s="972"/>
      <c r="G33" s="972"/>
      <c r="H33" s="972"/>
      <c r="I33" s="976"/>
      <c r="J33" s="977">
        <v>406.44299999999998</v>
      </c>
      <c r="K33" s="970"/>
      <c r="L33" s="970"/>
      <c r="M33" s="970"/>
      <c r="N33" s="970"/>
      <c r="O33" s="970"/>
      <c r="P33" s="970"/>
      <c r="Q33" s="973"/>
      <c r="R33" s="974"/>
    </row>
    <row r="34" spans="1:18" ht="30" customHeight="1">
      <c r="A34" s="969">
        <f>A32+1</f>
        <v>14</v>
      </c>
      <c r="B34" s="972" t="s">
        <v>2890</v>
      </c>
      <c r="C34" s="972" t="s">
        <v>1935</v>
      </c>
      <c r="D34" s="971" t="s">
        <v>2891</v>
      </c>
      <c r="E34" s="972"/>
      <c r="F34" s="972"/>
      <c r="G34" s="972"/>
      <c r="H34" s="972"/>
      <c r="I34" s="976" t="s">
        <v>3287</v>
      </c>
      <c r="J34" s="977"/>
      <c r="K34" s="970"/>
      <c r="L34" s="970" t="s">
        <v>2919</v>
      </c>
      <c r="M34" s="970" t="s">
        <v>1009</v>
      </c>
      <c r="N34" s="970"/>
      <c r="O34" s="970"/>
      <c r="P34" s="970"/>
      <c r="Q34" s="973"/>
      <c r="R34" s="974"/>
    </row>
    <row r="35" spans="1:18" ht="30" customHeight="1">
      <c r="A35" s="969"/>
      <c r="B35" s="972"/>
      <c r="C35" s="972"/>
      <c r="D35" s="975"/>
      <c r="E35" s="972"/>
      <c r="F35" s="972"/>
      <c r="G35" s="972"/>
      <c r="H35" s="972"/>
      <c r="I35" s="976"/>
      <c r="J35" s="977">
        <v>423.08100000000002</v>
      </c>
      <c r="K35" s="970"/>
      <c r="L35" s="970"/>
      <c r="M35" s="970"/>
      <c r="N35" s="970"/>
      <c r="O35" s="970"/>
      <c r="P35" s="970"/>
      <c r="Q35" s="1573"/>
      <c r="R35" s="974"/>
    </row>
    <row r="36" spans="1:18" ht="30" customHeight="1">
      <c r="A36" s="969">
        <f>A34+1</f>
        <v>15</v>
      </c>
      <c r="B36" s="972" t="s">
        <v>401</v>
      </c>
      <c r="C36" s="972" t="s">
        <v>62</v>
      </c>
      <c r="D36" s="975"/>
      <c r="E36" s="972"/>
      <c r="F36" s="972"/>
      <c r="G36" s="972"/>
      <c r="H36" s="972"/>
      <c r="I36" s="976" t="s">
        <v>3495</v>
      </c>
      <c r="J36" s="977"/>
      <c r="K36" s="970">
        <f>J29+J31+J33+J35</f>
        <v>1468.1120000000001</v>
      </c>
      <c r="L36" s="970" t="s">
        <v>2919</v>
      </c>
      <c r="M36" s="970" t="s">
        <v>1009</v>
      </c>
      <c r="N36" s="970"/>
      <c r="O36" s="970" t="s">
        <v>22</v>
      </c>
      <c r="P36" s="970"/>
      <c r="Q36" s="1574"/>
      <c r="R36" s="974"/>
    </row>
    <row r="37" spans="1:18" ht="30" customHeight="1">
      <c r="A37" s="969"/>
      <c r="B37" s="972"/>
      <c r="C37" s="972"/>
      <c r="D37" s="975"/>
      <c r="E37" s="972"/>
      <c r="F37" s="972"/>
      <c r="G37" s="972"/>
      <c r="H37" s="972"/>
      <c r="I37" s="976"/>
      <c r="J37" s="977">
        <v>364.95800000000003</v>
      </c>
      <c r="K37" s="970"/>
      <c r="L37" s="970"/>
      <c r="M37" s="970"/>
      <c r="N37" s="970"/>
      <c r="O37" s="970"/>
      <c r="P37" s="970"/>
      <c r="Q37" s="1575"/>
      <c r="R37" s="974"/>
    </row>
    <row r="38" spans="1:18" ht="30" customHeight="1">
      <c r="A38" s="969">
        <f>A36+1</f>
        <v>16</v>
      </c>
      <c r="B38" s="972" t="s">
        <v>2892</v>
      </c>
      <c r="C38" s="972" t="s">
        <v>1934</v>
      </c>
      <c r="D38" s="971" t="s">
        <v>2086</v>
      </c>
      <c r="E38" s="972"/>
      <c r="F38" s="972"/>
      <c r="G38" s="972"/>
      <c r="H38" s="972"/>
      <c r="I38" s="976" t="s">
        <v>3287</v>
      </c>
      <c r="J38" s="977"/>
      <c r="K38" s="970">
        <f>J37</f>
        <v>364.95800000000003</v>
      </c>
      <c r="L38" s="970" t="s">
        <v>2919</v>
      </c>
      <c r="M38" s="970" t="s">
        <v>1009</v>
      </c>
      <c r="N38" s="970" t="s">
        <v>1009</v>
      </c>
      <c r="O38" s="970" t="s">
        <v>1009</v>
      </c>
      <c r="P38" s="970"/>
      <c r="Q38" s="973"/>
      <c r="R38" s="974"/>
    </row>
    <row r="39" spans="1:18" ht="30" customHeight="1">
      <c r="A39" s="969"/>
      <c r="B39" s="972"/>
      <c r="C39" s="972"/>
      <c r="D39" s="975"/>
      <c r="E39" s="972"/>
      <c r="F39" s="972"/>
      <c r="G39" s="972"/>
      <c r="H39" s="972"/>
      <c r="I39" s="976"/>
      <c r="J39" s="977">
        <v>380.94900000000001</v>
      </c>
      <c r="K39" s="970"/>
      <c r="L39" s="970"/>
      <c r="M39" s="970"/>
      <c r="N39" s="970"/>
      <c r="O39" s="970"/>
      <c r="P39" s="970"/>
      <c r="Q39" s="1573"/>
      <c r="R39" s="974"/>
    </row>
    <row r="40" spans="1:18" ht="30" customHeight="1">
      <c r="A40" s="969">
        <f>A38+1</f>
        <v>17</v>
      </c>
      <c r="B40" s="972" t="s">
        <v>219</v>
      </c>
      <c r="C40" s="972" t="s">
        <v>76</v>
      </c>
      <c r="D40" s="975"/>
      <c r="E40" s="972"/>
      <c r="F40" s="972"/>
      <c r="G40" s="972"/>
      <c r="H40" s="972"/>
      <c r="I40" s="976" t="s">
        <v>3287</v>
      </c>
      <c r="J40" s="977"/>
      <c r="K40" s="970">
        <f>J39</f>
        <v>380.94900000000001</v>
      </c>
      <c r="L40" s="970" t="s">
        <v>2919</v>
      </c>
      <c r="M40" s="970" t="s">
        <v>1009</v>
      </c>
      <c r="N40" s="970" t="s">
        <v>1009</v>
      </c>
      <c r="O40" s="970"/>
      <c r="P40" s="970"/>
      <c r="Q40" s="1574"/>
      <c r="R40" s="974"/>
    </row>
    <row r="41" spans="1:18" ht="30" customHeight="1">
      <c r="A41" s="969"/>
      <c r="B41" s="972"/>
      <c r="C41" s="972"/>
      <c r="D41" s="975"/>
      <c r="E41" s="972"/>
      <c r="F41" s="972"/>
      <c r="G41" s="972"/>
      <c r="H41" s="972"/>
      <c r="I41" s="976"/>
      <c r="J41" s="977">
        <v>376.62599999999998</v>
      </c>
      <c r="K41" s="970"/>
      <c r="L41" s="970"/>
      <c r="M41" s="970"/>
      <c r="N41" s="970"/>
      <c r="O41" s="970"/>
      <c r="P41" s="970"/>
      <c r="Q41" s="1575"/>
      <c r="R41" s="974"/>
    </row>
    <row r="42" spans="1:18" ht="30" customHeight="1">
      <c r="A42" s="969">
        <f>A40+1</f>
        <v>18</v>
      </c>
      <c r="B42" s="972" t="s">
        <v>2893</v>
      </c>
      <c r="C42" s="972" t="s">
        <v>1277</v>
      </c>
      <c r="D42" s="971" t="s">
        <v>2894</v>
      </c>
      <c r="E42" s="972"/>
      <c r="F42" s="972"/>
      <c r="G42" s="972"/>
      <c r="H42" s="972"/>
      <c r="I42" s="976" t="s">
        <v>3287</v>
      </c>
      <c r="J42" s="977"/>
      <c r="K42" s="970"/>
      <c r="L42" s="970" t="s">
        <v>2919</v>
      </c>
      <c r="M42" s="970" t="s">
        <v>1009</v>
      </c>
      <c r="N42" s="970" t="s">
        <v>1009</v>
      </c>
      <c r="O42" s="970"/>
      <c r="P42" s="970"/>
      <c r="Q42" s="973"/>
      <c r="R42" s="974"/>
    </row>
    <row r="43" spans="1:18" ht="30" customHeight="1">
      <c r="A43" s="969"/>
      <c r="B43" s="972"/>
      <c r="C43" s="972"/>
      <c r="D43" s="975"/>
      <c r="E43" s="972"/>
      <c r="F43" s="972"/>
      <c r="G43" s="972"/>
      <c r="H43" s="972"/>
      <c r="I43" s="976"/>
      <c r="J43" s="977">
        <v>299.077</v>
      </c>
      <c r="K43" s="970"/>
      <c r="L43" s="970"/>
      <c r="M43" s="970"/>
      <c r="N43" s="970"/>
      <c r="O43" s="970"/>
      <c r="P43" s="970"/>
      <c r="Q43" s="1573"/>
      <c r="R43" s="974"/>
    </row>
    <row r="44" spans="1:18" ht="30" customHeight="1">
      <c r="A44" s="969">
        <f>A42+1</f>
        <v>19</v>
      </c>
      <c r="B44" s="972" t="s">
        <v>170</v>
      </c>
      <c r="C44" s="972" t="s">
        <v>76</v>
      </c>
      <c r="D44" s="975"/>
      <c r="E44" s="972"/>
      <c r="F44" s="972"/>
      <c r="G44" s="972"/>
      <c r="H44" s="972"/>
      <c r="I44" s="976" t="s">
        <v>3287</v>
      </c>
      <c r="J44" s="977"/>
      <c r="K44" s="970"/>
      <c r="L44" s="970" t="s">
        <v>2919</v>
      </c>
      <c r="M44" s="970" t="s">
        <v>1009</v>
      </c>
      <c r="N44" s="970" t="s">
        <v>1009</v>
      </c>
      <c r="O44" s="970"/>
      <c r="P44" s="970"/>
      <c r="Q44" s="1574"/>
      <c r="R44" s="974"/>
    </row>
    <row r="45" spans="1:18" ht="30" customHeight="1">
      <c r="A45" s="969"/>
      <c r="B45" s="972"/>
      <c r="C45" s="972"/>
      <c r="D45" s="975"/>
      <c r="E45" s="972"/>
      <c r="F45" s="972"/>
      <c r="G45" s="972"/>
      <c r="H45" s="972"/>
      <c r="I45" s="976"/>
      <c r="J45" s="977">
        <v>264.84199999999998</v>
      </c>
      <c r="K45" s="970"/>
      <c r="L45" s="970"/>
      <c r="M45" s="970"/>
      <c r="N45" s="970"/>
      <c r="O45" s="970"/>
      <c r="P45" s="970"/>
      <c r="Q45" s="1575"/>
      <c r="R45" s="974"/>
    </row>
    <row r="46" spans="1:18" ht="30" customHeight="1">
      <c r="A46" s="969">
        <f>A44+1</f>
        <v>20</v>
      </c>
      <c r="B46" s="972" t="s">
        <v>2895</v>
      </c>
      <c r="C46" s="972" t="s">
        <v>1269</v>
      </c>
      <c r="D46" s="971" t="s">
        <v>2896</v>
      </c>
      <c r="E46" s="972"/>
      <c r="F46" s="972"/>
      <c r="G46" s="972"/>
      <c r="H46" s="972"/>
      <c r="I46" s="976" t="s">
        <v>3287</v>
      </c>
      <c r="J46" s="977"/>
      <c r="K46" s="970"/>
      <c r="L46" s="970" t="s">
        <v>2919</v>
      </c>
      <c r="M46" s="970" t="s">
        <v>22</v>
      </c>
      <c r="N46" s="970"/>
      <c r="O46" s="970"/>
      <c r="P46" s="970"/>
      <c r="Q46" s="973"/>
      <c r="R46" s="974"/>
    </row>
    <row r="47" spans="1:18" ht="30" customHeight="1">
      <c r="A47" s="969"/>
      <c r="B47" s="972"/>
      <c r="C47" s="972"/>
      <c r="D47" s="975"/>
      <c r="E47" s="972"/>
      <c r="F47" s="972"/>
      <c r="G47" s="972"/>
      <c r="H47" s="972"/>
      <c r="I47" s="976"/>
      <c r="J47" s="977">
        <v>364.06400000000002</v>
      </c>
      <c r="K47" s="970"/>
      <c r="L47" s="970"/>
      <c r="M47" s="970"/>
      <c r="N47" s="970"/>
      <c r="O47" s="970"/>
      <c r="P47" s="970"/>
      <c r="Q47" s="1573"/>
      <c r="R47" s="974"/>
    </row>
    <row r="48" spans="1:18" ht="30" customHeight="1">
      <c r="A48" s="969">
        <f>A46+1</f>
        <v>21</v>
      </c>
      <c r="B48" s="972" t="s">
        <v>229</v>
      </c>
      <c r="C48" s="972" t="s">
        <v>76</v>
      </c>
      <c r="D48" s="975"/>
      <c r="E48" s="972"/>
      <c r="F48" s="972"/>
      <c r="G48" s="972"/>
      <c r="H48" s="972"/>
      <c r="I48" s="976" t="s">
        <v>3287</v>
      </c>
      <c r="J48" s="977"/>
      <c r="K48" s="970"/>
      <c r="L48" s="970" t="s">
        <v>2919</v>
      </c>
      <c r="M48" s="970" t="s">
        <v>1009</v>
      </c>
      <c r="N48" s="970"/>
      <c r="O48" s="970"/>
      <c r="P48" s="970"/>
      <c r="Q48" s="1574"/>
      <c r="R48" s="974"/>
    </row>
    <row r="49" spans="1:18" ht="30" customHeight="1">
      <c r="A49" s="969"/>
      <c r="B49" s="972"/>
      <c r="C49" s="972"/>
      <c r="D49" s="975"/>
      <c r="E49" s="972"/>
      <c r="F49" s="972"/>
      <c r="G49" s="972"/>
      <c r="H49" s="972"/>
      <c r="I49" s="976"/>
      <c r="J49" s="977">
        <v>319.18400000000003</v>
      </c>
      <c r="K49" s="970"/>
      <c r="L49" s="970"/>
      <c r="M49" s="970"/>
      <c r="N49" s="970"/>
      <c r="O49" s="970"/>
      <c r="P49" s="970"/>
      <c r="Q49" s="1574"/>
      <c r="R49" s="974"/>
    </row>
    <row r="50" spans="1:18" ht="30" customHeight="1">
      <c r="A50" s="969">
        <f>A48+1</f>
        <v>22</v>
      </c>
      <c r="B50" s="972" t="s">
        <v>106</v>
      </c>
      <c r="C50" s="972" t="s">
        <v>76</v>
      </c>
      <c r="D50" s="975"/>
      <c r="E50" s="972"/>
      <c r="F50" s="972"/>
      <c r="G50" s="972"/>
      <c r="H50" s="972"/>
      <c r="I50" s="976" t="s">
        <v>3287</v>
      </c>
      <c r="J50" s="977"/>
      <c r="K50" s="970"/>
      <c r="L50" s="970" t="s">
        <v>2919</v>
      </c>
      <c r="M50" s="970" t="s">
        <v>1009</v>
      </c>
      <c r="N50" s="970" t="s">
        <v>1009</v>
      </c>
      <c r="O50" s="970"/>
      <c r="P50" s="970"/>
      <c r="Q50" s="1574"/>
      <c r="R50" s="974"/>
    </row>
    <row r="51" spans="1:18" ht="30" customHeight="1">
      <c r="A51" s="969"/>
      <c r="B51" s="972"/>
      <c r="C51" s="972"/>
      <c r="D51" s="975"/>
      <c r="E51" s="972"/>
      <c r="F51" s="972"/>
      <c r="G51" s="972"/>
      <c r="H51" s="972"/>
      <c r="I51" s="976"/>
      <c r="J51" s="977">
        <v>397.98500000000001</v>
      </c>
      <c r="K51" s="970"/>
      <c r="L51" s="970"/>
      <c r="M51" s="970"/>
      <c r="N51" s="970"/>
      <c r="O51" s="970"/>
      <c r="P51" s="970"/>
      <c r="Q51" s="1575"/>
      <c r="R51" s="974"/>
    </row>
    <row r="52" spans="1:18" ht="30" customHeight="1">
      <c r="A52" s="969">
        <f>A50+1</f>
        <v>23</v>
      </c>
      <c r="B52" s="972" t="s">
        <v>2897</v>
      </c>
      <c r="C52" s="972" t="s">
        <v>1977</v>
      </c>
      <c r="D52" s="971" t="s">
        <v>2100</v>
      </c>
      <c r="E52" s="972"/>
      <c r="F52" s="972"/>
      <c r="G52" s="972"/>
      <c r="H52" s="972"/>
      <c r="I52" s="976" t="s">
        <v>3287</v>
      </c>
      <c r="J52" s="977"/>
      <c r="K52" s="970">
        <f>J47+J49+J51</f>
        <v>1081.2330000000002</v>
      </c>
      <c r="L52" s="970" t="s">
        <v>2919</v>
      </c>
      <c r="M52" s="970" t="s">
        <v>1009</v>
      </c>
      <c r="N52" s="970" t="s">
        <v>1009</v>
      </c>
      <c r="O52" s="970"/>
      <c r="P52" s="970"/>
      <c r="Q52" s="973"/>
      <c r="R52" s="974"/>
    </row>
    <row r="53" spans="1:18" ht="30" customHeight="1">
      <c r="A53" s="969"/>
      <c r="B53" s="972"/>
      <c r="C53" s="972"/>
      <c r="D53" s="975"/>
      <c r="E53" s="972"/>
      <c r="F53" s="972"/>
      <c r="G53" s="972"/>
      <c r="H53" s="972"/>
      <c r="I53" s="976"/>
      <c r="J53" s="976">
        <v>450.85899999999998</v>
      </c>
      <c r="K53" s="978"/>
      <c r="L53" s="978"/>
      <c r="M53" s="978"/>
      <c r="N53" s="978"/>
      <c r="O53" s="978"/>
      <c r="P53" s="978"/>
      <c r="Q53" s="973"/>
      <c r="R53" s="974"/>
    </row>
    <row r="54" spans="1:18" s="960" customFormat="1" ht="30" customHeight="1">
      <c r="A54" s="969">
        <f>A52+1</f>
        <v>24</v>
      </c>
      <c r="B54" s="972" t="s">
        <v>2898</v>
      </c>
      <c r="C54" s="972" t="s">
        <v>1953</v>
      </c>
      <c r="D54" s="971" t="s">
        <v>2899</v>
      </c>
      <c r="E54" s="972"/>
      <c r="F54" s="972"/>
      <c r="G54" s="972"/>
      <c r="H54" s="972"/>
      <c r="I54" s="976" t="s">
        <v>3287</v>
      </c>
      <c r="J54" s="976"/>
      <c r="K54" s="978"/>
      <c r="L54" s="970" t="s">
        <v>2919</v>
      </c>
      <c r="M54" s="970" t="s">
        <v>1009</v>
      </c>
      <c r="N54" s="970" t="s">
        <v>1009</v>
      </c>
      <c r="O54" s="978"/>
      <c r="P54" s="978"/>
      <c r="Q54" s="973"/>
      <c r="R54" s="974"/>
    </row>
    <row r="55" spans="1:18" s="960" customFormat="1" ht="30" customHeight="1">
      <c r="A55" s="969"/>
      <c r="B55" s="972"/>
      <c r="C55" s="972"/>
      <c r="D55" s="975"/>
      <c r="E55" s="972"/>
      <c r="F55" s="972"/>
      <c r="G55" s="972"/>
      <c r="H55" s="972"/>
      <c r="I55" s="976"/>
      <c r="J55" s="976">
        <v>326.47699999999998</v>
      </c>
      <c r="K55" s="978"/>
      <c r="L55" s="978"/>
      <c r="M55" s="978"/>
      <c r="N55" s="978"/>
      <c r="O55" s="978"/>
      <c r="P55" s="978"/>
      <c r="Q55" s="1573"/>
      <c r="R55" s="974"/>
    </row>
    <row r="56" spans="1:18" ht="30" customHeight="1">
      <c r="A56" s="969">
        <f>A54+1</f>
        <v>25</v>
      </c>
      <c r="B56" s="972" t="s">
        <v>144</v>
      </c>
      <c r="C56" s="972" t="s">
        <v>76</v>
      </c>
      <c r="D56" s="975"/>
      <c r="E56" s="972"/>
      <c r="F56" s="972"/>
      <c r="G56" s="972"/>
      <c r="H56" s="972"/>
      <c r="I56" s="976" t="s">
        <v>3287</v>
      </c>
      <c r="J56" s="976"/>
      <c r="K56" s="978"/>
      <c r="L56" s="970" t="s">
        <v>2919</v>
      </c>
      <c r="M56" s="970" t="s">
        <v>1009</v>
      </c>
      <c r="N56" s="970" t="s">
        <v>1009</v>
      </c>
      <c r="O56" s="978" t="s">
        <v>1009</v>
      </c>
      <c r="P56" s="978"/>
      <c r="Q56" s="1574"/>
      <c r="R56" s="974"/>
    </row>
    <row r="57" spans="1:18" ht="30" customHeight="1">
      <c r="A57" s="969"/>
      <c r="B57" s="972"/>
      <c r="C57" s="972"/>
      <c r="D57" s="975"/>
      <c r="E57" s="972"/>
      <c r="F57" s="972"/>
      <c r="G57" s="972"/>
      <c r="H57" s="972"/>
      <c r="I57" s="976"/>
      <c r="J57" s="976">
        <v>276.363</v>
      </c>
      <c r="K57" s="978"/>
      <c r="L57" s="978"/>
      <c r="M57" s="978"/>
      <c r="N57" s="978"/>
      <c r="O57" s="978"/>
      <c r="P57" s="978"/>
      <c r="Q57" s="1575"/>
      <c r="R57" s="974"/>
    </row>
    <row r="58" spans="1:18" ht="30" customHeight="1">
      <c r="A58" s="969">
        <f>A56+1</f>
        <v>26</v>
      </c>
      <c r="B58" s="972" t="s">
        <v>2900</v>
      </c>
      <c r="C58" s="972" t="s">
        <v>1269</v>
      </c>
      <c r="D58" s="971" t="s">
        <v>2901</v>
      </c>
      <c r="E58" s="972"/>
      <c r="F58" s="972"/>
      <c r="G58" s="972"/>
      <c r="H58" s="972"/>
      <c r="I58" s="976" t="s">
        <v>3287</v>
      </c>
      <c r="J58" s="976"/>
      <c r="K58" s="978">
        <f>J55+J57</f>
        <v>602.83999999999992</v>
      </c>
      <c r="L58" s="970" t="s">
        <v>2919</v>
      </c>
      <c r="M58" s="978" t="s">
        <v>1009</v>
      </c>
      <c r="N58" s="978"/>
      <c r="O58" s="978" t="s">
        <v>1009</v>
      </c>
      <c r="P58" s="978"/>
      <c r="Q58" s="973"/>
      <c r="R58" s="974"/>
    </row>
    <row r="59" spans="1:18" ht="30" customHeight="1">
      <c r="A59" s="969"/>
      <c r="B59" s="972"/>
      <c r="C59" s="972"/>
      <c r="D59" s="975"/>
      <c r="E59" s="972"/>
      <c r="F59" s="972"/>
      <c r="G59" s="972"/>
      <c r="H59" s="972"/>
      <c r="I59" s="976"/>
      <c r="J59" s="976">
        <v>307.21600000000001</v>
      </c>
      <c r="K59" s="978"/>
      <c r="L59" s="978"/>
      <c r="M59" s="978"/>
      <c r="N59" s="978"/>
      <c r="O59" s="978"/>
      <c r="P59" s="978"/>
      <c r="Q59" s="1573"/>
      <c r="R59" s="974"/>
    </row>
    <row r="60" spans="1:18" ht="30" customHeight="1">
      <c r="A60" s="969">
        <f>A58+1</f>
        <v>27</v>
      </c>
      <c r="B60" s="972" t="s">
        <v>251</v>
      </c>
      <c r="C60" s="972" t="s">
        <v>76</v>
      </c>
      <c r="D60" s="975"/>
      <c r="E60" s="972"/>
      <c r="F60" s="972"/>
      <c r="G60" s="972"/>
      <c r="H60" s="972"/>
      <c r="I60" s="976" t="s">
        <v>3287</v>
      </c>
      <c r="J60" s="976"/>
      <c r="K60" s="978"/>
      <c r="L60" s="970" t="s">
        <v>2919</v>
      </c>
      <c r="M60" s="970" t="s">
        <v>1009</v>
      </c>
      <c r="N60" s="978"/>
      <c r="O60" s="978" t="s">
        <v>1009</v>
      </c>
      <c r="P60" s="978"/>
      <c r="Q60" s="1574"/>
      <c r="R60" s="974"/>
    </row>
    <row r="61" spans="1:18" ht="30" customHeight="1">
      <c r="A61" s="969"/>
      <c r="B61" s="972"/>
      <c r="C61" s="972"/>
      <c r="D61" s="975"/>
      <c r="E61" s="972"/>
      <c r="F61" s="972"/>
      <c r="G61" s="972"/>
      <c r="H61" s="972"/>
      <c r="I61" s="976"/>
      <c r="J61" s="976">
        <v>389.39699999999999</v>
      </c>
      <c r="K61" s="978"/>
      <c r="L61" s="978"/>
      <c r="M61" s="978"/>
      <c r="N61" s="978"/>
      <c r="O61" s="978"/>
      <c r="P61" s="978"/>
      <c r="Q61" s="1574"/>
      <c r="R61" s="974"/>
    </row>
    <row r="62" spans="1:18" ht="30" customHeight="1">
      <c r="A62" s="969">
        <f>A60+1</f>
        <v>28</v>
      </c>
      <c r="B62" s="972" t="s">
        <v>118</v>
      </c>
      <c r="C62" s="972" t="s">
        <v>53</v>
      </c>
      <c r="D62" s="975"/>
      <c r="E62" s="972"/>
      <c r="F62" s="972"/>
      <c r="G62" s="972"/>
      <c r="H62" s="972"/>
      <c r="I62" s="976" t="s">
        <v>3287</v>
      </c>
      <c r="J62" s="976"/>
      <c r="K62" s="978"/>
      <c r="L62" s="970" t="s">
        <v>2919</v>
      </c>
      <c r="M62" s="970" t="s">
        <v>1009</v>
      </c>
      <c r="N62" s="970" t="s">
        <v>1009</v>
      </c>
      <c r="O62" s="978"/>
      <c r="P62" s="978"/>
      <c r="Q62" s="1574"/>
      <c r="R62" s="974"/>
    </row>
    <row r="63" spans="1:18" ht="30" customHeight="1">
      <c r="A63" s="969"/>
      <c r="B63" s="972"/>
      <c r="C63" s="972"/>
      <c r="D63" s="975"/>
      <c r="E63" s="972"/>
      <c r="F63" s="972"/>
      <c r="G63" s="972"/>
      <c r="H63" s="972"/>
      <c r="I63" s="976"/>
      <c r="J63" s="976">
        <v>368.79199999999997</v>
      </c>
      <c r="K63" s="978"/>
      <c r="L63" s="978"/>
      <c r="M63" s="978"/>
      <c r="N63" s="978"/>
      <c r="O63" s="978"/>
      <c r="P63" s="978"/>
      <c r="Q63" s="1574"/>
      <c r="R63" s="974"/>
    </row>
    <row r="64" spans="1:18" ht="30" customHeight="1">
      <c r="A64" s="969">
        <f>A62+1</f>
        <v>29</v>
      </c>
      <c r="B64" s="972" t="s">
        <v>134</v>
      </c>
      <c r="C64" s="972" t="s">
        <v>76</v>
      </c>
      <c r="D64" s="975"/>
      <c r="E64" s="972"/>
      <c r="F64" s="972"/>
      <c r="G64" s="972"/>
      <c r="H64" s="972"/>
      <c r="I64" s="976" t="s">
        <v>3287</v>
      </c>
      <c r="J64" s="976"/>
      <c r="K64" s="978"/>
      <c r="L64" s="970" t="s">
        <v>2919</v>
      </c>
      <c r="M64" s="978" t="s">
        <v>1009</v>
      </c>
      <c r="N64" s="978"/>
      <c r="O64" s="978"/>
      <c r="P64" s="978"/>
      <c r="Q64" s="1574"/>
      <c r="R64" s="974"/>
    </row>
    <row r="65" spans="1:18" ht="30" customHeight="1">
      <c r="A65" s="969"/>
      <c r="B65" s="972"/>
      <c r="C65" s="972"/>
      <c r="D65" s="979"/>
      <c r="E65" s="972"/>
      <c r="F65" s="972"/>
      <c r="G65" s="972"/>
      <c r="H65" s="972"/>
      <c r="I65" s="976"/>
      <c r="J65" s="976">
        <v>404.38600000000002</v>
      </c>
      <c r="K65" s="978"/>
      <c r="L65" s="978"/>
      <c r="M65" s="978"/>
      <c r="N65" s="978"/>
      <c r="O65" s="978"/>
      <c r="P65" s="978"/>
      <c r="Q65" s="1574"/>
      <c r="R65" s="974"/>
    </row>
    <row r="66" spans="1:18" ht="30" customHeight="1">
      <c r="A66" s="969">
        <f>A64+1</f>
        <v>30</v>
      </c>
      <c r="B66" s="972" t="s">
        <v>163</v>
      </c>
      <c r="C66" s="972" t="s">
        <v>62</v>
      </c>
      <c r="D66" s="979"/>
      <c r="E66" s="972"/>
      <c r="F66" s="972"/>
      <c r="G66" s="972"/>
      <c r="H66" s="972"/>
      <c r="I66" s="976" t="s">
        <v>3287</v>
      </c>
      <c r="J66" s="976"/>
      <c r="K66" s="978"/>
      <c r="L66" s="970" t="s">
        <v>2919</v>
      </c>
      <c r="M66" s="970" t="s">
        <v>1009</v>
      </c>
      <c r="N66" s="978"/>
      <c r="O66" s="978" t="s">
        <v>1009</v>
      </c>
      <c r="P66" s="978"/>
      <c r="Q66" s="1574"/>
      <c r="R66" s="974"/>
    </row>
    <row r="67" spans="1:18" ht="30" customHeight="1">
      <c r="A67" s="969"/>
      <c r="B67" s="972"/>
      <c r="C67" s="972"/>
      <c r="D67" s="979"/>
      <c r="E67" s="972"/>
      <c r="F67" s="972"/>
      <c r="G67" s="972"/>
      <c r="H67" s="972"/>
      <c r="I67" s="976"/>
      <c r="J67" s="976">
        <v>378.13499999999999</v>
      </c>
      <c r="K67" s="978"/>
      <c r="L67" s="978"/>
      <c r="M67" s="978"/>
      <c r="N67" s="978"/>
      <c r="O67" s="978"/>
      <c r="P67" s="978"/>
      <c r="Q67" s="1574"/>
      <c r="R67" s="974"/>
    </row>
    <row r="68" spans="1:18" ht="30" customHeight="1">
      <c r="A68" s="969">
        <f>A66+1</f>
        <v>31</v>
      </c>
      <c r="B68" s="972" t="s">
        <v>151</v>
      </c>
      <c r="C68" s="972" t="s">
        <v>62</v>
      </c>
      <c r="D68" s="979"/>
      <c r="E68" s="972"/>
      <c r="F68" s="972"/>
      <c r="G68" s="972"/>
      <c r="H68" s="972"/>
      <c r="I68" s="976" t="s">
        <v>3287</v>
      </c>
      <c r="J68" s="976"/>
      <c r="K68" s="978"/>
      <c r="L68" s="970" t="s">
        <v>2919</v>
      </c>
      <c r="M68" s="970" t="s">
        <v>1009</v>
      </c>
      <c r="N68" s="978"/>
      <c r="O68" s="978"/>
      <c r="P68" s="978"/>
      <c r="Q68" s="1574"/>
      <c r="R68" s="974"/>
    </row>
    <row r="69" spans="1:18" ht="30" customHeight="1">
      <c r="A69" s="969"/>
      <c r="B69" s="972"/>
      <c r="C69" s="972"/>
      <c r="D69" s="979"/>
      <c r="E69" s="972"/>
      <c r="F69" s="972"/>
      <c r="G69" s="972"/>
      <c r="H69" s="972"/>
      <c r="I69" s="976"/>
      <c r="J69" s="976">
        <v>370.48200000000003</v>
      </c>
      <c r="K69" s="978"/>
      <c r="L69" s="978"/>
      <c r="M69" s="978"/>
      <c r="N69" s="978"/>
      <c r="O69" s="978"/>
      <c r="P69" s="978"/>
      <c r="Q69" s="1575"/>
      <c r="R69" s="974"/>
    </row>
    <row r="70" spans="1:18" ht="30" customHeight="1">
      <c r="A70" s="969">
        <f>A68+1</f>
        <v>32</v>
      </c>
      <c r="B70" s="972" t="s">
        <v>2902</v>
      </c>
      <c r="C70" s="972" t="s">
        <v>1277</v>
      </c>
      <c r="D70" s="971" t="s">
        <v>2903</v>
      </c>
      <c r="E70" s="972"/>
      <c r="F70" s="972"/>
      <c r="G70" s="972"/>
      <c r="H70" s="972"/>
      <c r="I70" s="976" t="s">
        <v>1765</v>
      </c>
      <c r="J70" s="976"/>
      <c r="K70" s="978"/>
      <c r="L70" s="970" t="s">
        <v>2919</v>
      </c>
      <c r="M70" s="978" t="s">
        <v>1009</v>
      </c>
      <c r="N70" s="978" t="s">
        <v>1009</v>
      </c>
      <c r="O70" s="978" t="s">
        <v>1009</v>
      </c>
      <c r="P70" s="978"/>
      <c r="Q70" s="973"/>
      <c r="R70" s="974"/>
    </row>
    <row r="71" spans="1:18" ht="30" customHeight="1">
      <c r="A71" s="969"/>
      <c r="B71" s="972"/>
      <c r="C71" s="972"/>
      <c r="D71" s="979"/>
      <c r="E71" s="972"/>
      <c r="F71" s="972"/>
      <c r="G71" s="972"/>
      <c r="H71" s="972"/>
      <c r="I71" s="976"/>
      <c r="J71" s="976">
        <v>199.386</v>
      </c>
      <c r="K71" s="978"/>
      <c r="L71" s="978"/>
      <c r="M71" s="978"/>
      <c r="N71" s="978"/>
      <c r="O71" s="978"/>
      <c r="P71" s="978"/>
      <c r="Q71" s="973"/>
      <c r="R71" s="974"/>
    </row>
    <row r="72" spans="1:18" ht="30" customHeight="1">
      <c r="A72" s="969">
        <f>A70+1</f>
        <v>33</v>
      </c>
      <c r="B72" s="972" t="s">
        <v>2904</v>
      </c>
      <c r="C72" s="972" t="s">
        <v>1319</v>
      </c>
      <c r="D72" s="971" t="s">
        <v>2905</v>
      </c>
      <c r="E72" s="972"/>
      <c r="F72" s="972"/>
      <c r="G72" s="972"/>
      <c r="H72" s="972"/>
      <c r="I72" s="976" t="s">
        <v>3286</v>
      </c>
      <c r="J72" s="976"/>
      <c r="K72" s="978"/>
      <c r="L72" s="970" t="s">
        <v>2919</v>
      </c>
      <c r="M72" s="970" t="s">
        <v>1009</v>
      </c>
      <c r="N72" s="970" t="s">
        <v>1009</v>
      </c>
      <c r="O72" s="978" t="s">
        <v>1009</v>
      </c>
      <c r="P72" s="978"/>
      <c r="Q72" s="973"/>
      <c r="R72" s="974"/>
    </row>
    <row r="73" spans="1:18" ht="30" customHeight="1">
      <c r="A73" s="969"/>
      <c r="B73" s="972"/>
      <c r="C73" s="972"/>
      <c r="D73" s="979"/>
      <c r="E73" s="972"/>
      <c r="F73" s="972"/>
      <c r="G73" s="972"/>
      <c r="H73" s="972"/>
      <c r="I73" s="976"/>
      <c r="J73" s="976">
        <v>294.00900000000001</v>
      </c>
      <c r="K73" s="978"/>
      <c r="L73" s="978"/>
      <c r="M73" s="978"/>
      <c r="N73" s="978"/>
      <c r="O73" s="978"/>
      <c r="P73" s="978"/>
      <c r="Q73" s="1573"/>
      <c r="R73" s="974"/>
    </row>
    <row r="74" spans="1:18" ht="30" customHeight="1">
      <c r="A74" s="969">
        <f>A72+1</f>
        <v>34</v>
      </c>
      <c r="B74" s="972" t="s">
        <v>200</v>
      </c>
      <c r="C74" s="972" t="s">
        <v>76</v>
      </c>
      <c r="D74" s="979"/>
      <c r="E74" s="972"/>
      <c r="F74" s="972"/>
      <c r="G74" s="972"/>
      <c r="H74" s="972"/>
      <c r="I74" s="976" t="s">
        <v>3286</v>
      </c>
      <c r="J74" s="976"/>
      <c r="K74" s="978"/>
      <c r="L74" s="970" t="s">
        <v>2919</v>
      </c>
      <c r="M74" s="970" t="s">
        <v>1009</v>
      </c>
      <c r="N74" s="970" t="s">
        <v>1009</v>
      </c>
      <c r="O74" s="978" t="s">
        <v>1009</v>
      </c>
      <c r="P74" s="978"/>
      <c r="Q74" s="1574"/>
      <c r="R74" s="974"/>
    </row>
    <row r="75" spans="1:18" ht="30" customHeight="1">
      <c r="A75" s="969"/>
      <c r="B75" s="972"/>
      <c r="C75" s="972"/>
      <c r="D75" s="979"/>
      <c r="E75" s="972"/>
      <c r="F75" s="972"/>
      <c r="G75" s="972"/>
      <c r="H75" s="972"/>
      <c r="I75" s="976"/>
      <c r="J75" s="976">
        <v>312.70800000000003</v>
      </c>
      <c r="K75" s="978"/>
      <c r="L75" s="978"/>
      <c r="M75" s="978"/>
      <c r="N75" s="978"/>
      <c r="O75" s="978"/>
      <c r="P75" s="978"/>
      <c r="Q75" s="1574"/>
      <c r="R75" s="974"/>
    </row>
    <row r="76" spans="1:18" ht="30" customHeight="1">
      <c r="A76" s="969">
        <f>A74+1</f>
        <v>35</v>
      </c>
      <c r="B76" s="972" t="s">
        <v>188</v>
      </c>
      <c r="C76" s="972" t="s">
        <v>76</v>
      </c>
      <c r="D76" s="979"/>
      <c r="E76" s="972"/>
      <c r="F76" s="972"/>
      <c r="G76" s="972"/>
      <c r="H76" s="972"/>
      <c r="I76" s="976" t="s">
        <v>3286</v>
      </c>
      <c r="J76" s="976"/>
      <c r="K76" s="978">
        <f>J65+J67+J69+J71+J73+J75</f>
        <v>1959.106</v>
      </c>
      <c r="L76" s="978" t="s">
        <v>2919</v>
      </c>
      <c r="M76" s="970" t="s">
        <v>1009</v>
      </c>
      <c r="N76" s="970" t="s">
        <v>1009</v>
      </c>
      <c r="O76" s="978"/>
      <c r="P76" s="978"/>
      <c r="Q76" s="1574"/>
      <c r="R76" s="974"/>
    </row>
    <row r="77" spans="1:18" ht="30" customHeight="1">
      <c r="A77" s="969"/>
      <c r="B77" s="972"/>
      <c r="C77" s="972"/>
      <c r="D77" s="979"/>
      <c r="E77" s="972"/>
      <c r="F77" s="972"/>
      <c r="G77" s="972"/>
      <c r="H77" s="972"/>
      <c r="I77" s="976"/>
      <c r="J77" s="976">
        <v>321.89299999999997</v>
      </c>
      <c r="K77" s="978"/>
      <c r="L77" s="978"/>
      <c r="M77" s="978"/>
      <c r="N77" s="978"/>
      <c r="O77" s="978"/>
      <c r="P77" s="978"/>
      <c r="Q77" s="1574"/>
      <c r="R77" s="980" t="s">
        <v>2908</v>
      </c>
    </row>
    <row r="78" spans="1:18" ht="30" customHeight="1">
      <c r="A78" s="969">
        <f>A76+1</f>
        <v>36</v>
      </c>
      <c r="B78" s="972" t="s">
        <v>3309</v>
      </c>
      <c r="C78" s="972" t="s">
        <v>76</v>
      </c>
      <c r="D78" s="979"/>
      <c r="E78" s="972"/>
      <c r="F78" s="972"/>
      <c r="G78" s="972"/>
      <c r="H78" s="972"/>
      <c r="I78" s="976" t="s">
        <v>3286</v>
      </c>
      <c r="J78" s="976"/>
      <c r="K78" s="978">
        <f>J77</f>
        <v>321.89299999999997</v>
      </c>
      <c r="L78" s="978" t="s">
        <v>2919</v>
      </c>
      <c r="M78" s="970" t="s">
        <v>1009</v>
      </c>
      <c r="N78" s="970" t="s">
        <v>1009</v>
      </c>
      <c r="O78" s="978" t="s">
        <v>1009</v>
      </c>
      <c r="P78" s="978"/>
      <c r="Q78" s="1574"/>
      <c r="R78" s="974"/>
    </row>
    <row r="79" spans="1:18" ht="30" customHeight="1">
      <c r="A79" s="969"/>
      <c r="B79" s="972"/>
      <c r="C79" s="972"/>
      <c r="D79" s="979"/>
      <c r="E79" s="972"/>
      <c r="F79" s="972"/>
      <c r="G79" s="972"/>
      <c r="H79" s="972"/>
      <c r="I79" s="976"/>
      <c r="J79" s="976">
        <v>382.47500000000002</v>
      </c>
      <c r="K79" s="978"/>
      <c r="L79" s="978"/>
      <c r="M79" s="978"/>
      <c r="N79" s="978"/>
      <c r="O79" s="978"/>
      <c r="P79" s="978"/>
      <c r="Q79" s="1575"/>
      <c r="R79" s="974"/>
    </row>
    <row r="80" spans="1:18" ht="30" customHeight="1">
      <c r="A80" s="969">
        <f>A78+1</f>
        <v>37</v>
      </c>
      <c r="B80" s="972" t="s">
        <v>2910</v>
      </c>
      <c r="C80" s="972" t="s">
        <v>1269</v>
      </c>
      <c r="D80" s="971" t="s">
        <v>2911</v>
      </c>
      <c r="E80" s="972"/>
      <c r="F80" s="972"/>
      <c r="G80" s="972"/>
      <c r="H80" s="972"/>
      <c r="I80" s="976" t="s">
        <v>3286</v>
      </c>
      <c r="J80" s="976"/>
      <c r="K80" s="978"/>
      <c r="L80" s="978" t="s">
        <v>2919</v>
      </c>
      <c r="M80" s="970" t="s">
        <v>1009</v>
      </c>
      <c r="N80" s="970" t="s">
        <v>1009</v>
      </c>
      <c r="O80" s="978" t="s">
        <v>1009</v>
      </c>
      <c r="P80" s="978"/>
      <c r="Q80" s="973"/>
      <c r="R80" s="974"/>
    </row>
    <row r="81" spans="1:18" ht="30" customHeight="1">
      <c r="A81" s="969"/>
      <c r="B81" s="972"/>
      <c r="C81" s="972"/>
      <c r="D81" s="979"/>
      <c r="E81" s="972"/>
      <c r="F81" s="972"/>
      <c r="G81" s="972"/>
      <c r="H81" s="972"/>
      <c r="I81" s="976"/>
      <c r="J81" s="976">
        <v>388.11</v>
      </c>
      <c r="K81" s="978"/>
      <c r="L81" s="978"/>
      <c r="M81" s="978"/>
      <c r="N81" s="978"/>
      <c r="O81" s="978"/>
      <c r="P81" s="978"/>
      <c r="Q81" s="973"/>
      <c r="R81" s="974"/>
    </row>
    <row r="82" spans="1:18" ht="30" customHeight="1">
      <c r="A82" s="969">
        <f>A80+1</f>
        <v>38</v>
      </c>
      <c r="B82" s="972" t="s">
        <v>2912</v>
      </c>
      <c r="C82" s="972" t="s">
        <v>1269</v>
      </c>
      <c r="D82" s="971" t="s">
        <v>2913</v>
      </c>
      <c r="E82" s="972"/>
      <c r="F82" s="972"/>
      <c r="G82" s="972"/>
      <c r="H82" s="972"/>
      <c r="I82" s="976" t="s">
        <v>3286</v>
      </c>
      <c r="J82" s="976"/>
      <c r="K82" s="978"/>
      <c r="L82" s="978" t="s">
        <v>2919</v>
      </c>
      <c r="M82" s="970" t="s">
        <v>1009</v>
      </c>
      <c r="N82" s="970" t="s">
        <v>1009</v>
      </c>
      <c r="O82" s="978" t="s">
        <v>1009</v>
      </c>
      <c r="P82" s="978"/>
      <c r="Q82" s="973"/>
      <c r="R82" s="974"/>
    </row>
    <row r="83" spans="1:18" ht="30" customHeight="1">
      <c r="A83" s="969"/>
      <c r="B83" s="972"/>
      <c r="C83" s="972"/>
      <c r="D83" s="979"/>
      <c r="E83" s="972"/>
      <c r="F83" s="972"/>
      <c r="G83" s="972"/>
      <c r="H83" s="972"/>
      <c r="I83" s="976"/>
      <c r="J83" s="976">
        <v>382.67500000000001</v>
      </c>
      <c r="K83" s="978"/>
      <c r="L83" s="978"/>
      <c r="M83" s="978"/>
      <c r="N83" s="978"/>
      <c r="O83" s="978"/>
      <c r="P83" s="978"/>
      <c r="Q83" s="1573"/>
      <c r="R83" s="974"/>
    </row>
    <row r="84" spans="1:18" ht="30" customHeight="1">
      <c r="A84" s="969">
        <f>A82+1</f>
        <v>39</v>
      </c>
      <c r="B84" s="972" t="s">
        <v>394</v>
      </c>
      <c r="C84" s="972" t="s">
        <v>76</v>
      </c>
      <c r="D84" s="979"/>
      <c r="E84" s="972"/>
      <c r="F84" s="972"/>
      <c r="G84" s="972"/>
      <c r="H84" s="972"/>
      <c r="I84" s="976" t="s">
        <v>897</v>
      </c>
      <c r="J84" s="976"/>
      <c r="K84" s="978">
        <f>J79+J81+J83</f>
        <v>1153.26</v>
      </c>
      <c r="L84" s="970" t="s">
        <v>2919</v>
      </c>
      <c r="M84" s="970" t="s">
        <v>1009</v>
      </c>
      <c r="N84" s="970" t="s">
        <v>1009</v>
      </c>
      <c r="O84" s="978" t="s">
        <v>1009</v>
      </c>
      <c r="P84" s="978"/>
      <c r="Q84" s="1574"/>
      <c r="R84" s="974"/>
    </row>
    <row r="85" spans="1:18" ht="30" customHeight="1">
      <c r="A85" s="969"/>
      <c r="B85" s="972"/>
      <c r="C85" s="972"/>
      <c r="D85" s="979"/>
      <c r="E85" s="972"/>
      <c r="F85" s="972"/>
      <c r="G85" s="972"/>
      <c r="H85" s="972"/>
      <c r="I85" s="976"/>
      <c r="J85" s="976">
        <v>390.44600000000003</v>
      </c>
      <c r="K85" s="978"/>
      <c r="L85" s="978"/>
      <c r="M85" s="978"/>
      <c r="N85" s="978"/>
      <c r="O85" s="978"/>
      <c r="P85" s="978"/>
      <c r="Q85" s="1574"/>
      <c r="R85" s="974"/>
    </row>
    <row r="86" spans="1:18" ht="30" customHeight="1">
      <c r="A86" s="969">
        <f>A84+1</f>
        <v>40</v>
      </c>
      <c r="B86" s="972" t="s">
        <v>850</v>
      </c>
      <c r="C86" s="972" t="s">
        <v>76</v>
      </c>
      <c r="D86" s="979"/>
      <c r="E86" s="972"/>
      <c r="F86" s="972"/>
      <c r="G86" s="972"/>
      <c r="H86" s="972"/>
      <c r="I86" s="976" t="s">
        <v>897</v>
      </c>
      <c r="J86" s="981"/>
      <c r="K86" s="978">
        <f>J85</f>
        <v>390.44600000000003</v>
      </c>
      <c r="L86" s="970" t="s">
        <v>2919</v>
      </c>
      <c r="M86" s="970" t="s">
        <v>1009</v>
      </c>
      <c r="N86" s="970" t="s">
        <v>1009</v>
      </c>
      <c r="O86" s="978" t="s">
        <v>1009</v>
      </c>
      <c r="P86" s="978"/>
      <c r="Q86" s="1574"/>
      <c r="R86" s="974"/>
    </row>
    <row r="87" spans="1:18" ht="30" customHeight="1">
      <c r="A87" s="969"/>
      <c r="B87" s="972"/>
      <c r="C87" s="972"/>
      <c r="D87" s="979"/>
      <c r="E87" s="972"/>
      <c r="F87" s="972"/>
      <c r="G87" s="972"/>
      <c r="H87" s="972"/>
      <c r="I87" s="976"/>
      <c r="J87" s="976">
        <v>361.75099999999998</v>
      </c>
      <c r="K87" s="978"/>
      <c r="L87" s="978"/>
      <c r="M87" s="978"/>
      <c r="N87" s="978"/>
      <c r="O87" s="978"/>
      <c r="P87" s="978"/>
      <c r="Q87" s="1574"/>
      <c r="R87" s="982"/>
    </row>
    <row r="88" spans="1:18" ht="30" customHeight="1">
      <c r="A88" s="969">
        <f>A86+1</f>
        <v>41</v>
      </c>
      <c r="B88" s="972" t="s">
        <v>853</v>
      </c>
      <c r="C88" s="972" t="s">
        <v>76</v>
      </c>
      <c r="D88" s="979"/>
      <c r="E88" s="972"/>
      <c r="F88" s="972"/>
      <c r="G88" s="972"/>
      <c r="H88" s="972"/>
      <c r="I88" s="976" t="s">
        <v>1765</v>
      </c>
      <c r="J88" s="977"/>
      <c r="K88" s="986"/>
      <c r="L88" s="986" t="s">
        <v>2919</v>
      </c>
      <c r="M88" s="970" t="s">
        <v>1009</v>
      </c>
      <c r="N88" s="970" t="s">
        <v>1009</v>
      </c>
      <c r="O88" s="978" t="s">
        <v>1009</v>
      </c>
      <c r="P88" s="978"/>
      <c r="Q88" s="1574"/>
      <c r="R88" s="982"/>
    </row>
    <row r="89" spans="1:18" ht="30" customHeight="1">
      <c r="A89" s="969"/>
      <c r="B89" s="972"/>
      <c r="C89" s="972"/>
      <c r="D89" s="979"/>
      <c r="E89" s="972"/>
      <c r="F89" s="972"/>
      <c r="G89" s="972"/>
      <c r="H89" s="972"/>
      <c r="I89" s="976"/>
      <c r="J89" s="976">
        <v>396.03500000000003</v>
      </c>
      <c r="K89" s="978"/>
      <c r="L89" s="978"/>
      <c r="M89" s="978"/>
      <c r="N89" s="978"/>
      <c r="O89" s="978"/>
      <c r="P89" s="978"/>
      <c r="Q89" s="1575"/>
      <c r="R89" s="982"/>
    </row>
    <row r="90" spans="1:18" ht="30" customHeight="1">
      <c r="A90" s="969">
        <f>A88+1</f>
        <v>42</v>
      </c>
      <c r="B90" s="972" t="s">
        <v>2915</v>
      </c>
      <c r="C90" s="972" t="s">
        <v>1361</v>
      </c>
      <c r="D90" s="971" t="s">
        <v>2916</v>
      </c>
      <c r="E90" s="972"/>
      <c r="F90" s="972"/>
      <c r="G90" s="972"/>
      <c r="H90" s="972"/>
      <c r="I90" s="976" t="s">
        <v>3286</v>
      </c>
      <c r="J90" s="976"/>
      <c r="K90" s="978"/>
      <c r="L90" s="970" t="s">
        <v>2919</v>
      </c>
      <c r="M90" s="970" t="s">
        <v>1009</v>
      </c>
      <c r="N90" s="970" t="s">
        <v>1009</v>
      </c>
      <c r="O90" s="978" t="s">
        <v>1009</v>
      </c>
      <c r="P90" s="978"/>
      <c r="Q90" s="973"/>
      <c r="R90" s="982"/>
    </row>
    <row r="91" spans="1:18" ht="30" customHeight="1">
      <c r="A91" s="969"/>
      <c r="B91" s="972"/>
      <c r="C91" s="972"/>
      <c r="D91" s="979"/>
      <c r="E91" s="972"/>
      <c r="F91" s="972"/>
      <c r="G91" s="972"/>
      <c r="H91" s="972"/>
      <c r="I91" s="976"/>
      <c r="J91" s="976">
        <v>435.86200000000002</v>
      </c>
      <c r="K91" s="978"/>
      <c r="L91" s="978"/>
      <c r="M91" s="978"/>
      <c r="N91" s="978"/>
      <c r="O91" s="978"/>
      <c r="P91" s="978"/>
      <c r="Q91" s="1573"/>
      <c r="R91" s="982"/>
    </row>
    <row r="92" spans="1:18" ht="30" customHeight="1">
      <c r="A92" s="969">
        <f>A90+1</f>
        <v>43</v>
      </c>
      <c r="B92" s="972" t="s">
        <v>538</v>
      </c>
      <c r="C92" s="972" t="s">
        <v>249</v>
      </c>
      <c r="D92" s="979"/>
      <c r="E92" s="972"/>
      <c r="F92" s="972"/>
      <c r="G92" s="972"/>
      <c r="H92" s="972"/>
      <c r="I92" s="976" t="s">
        <v>3286</v>
      </c>
      <c r="J92" s="976"/>
      <c r="K92" s="978">
        <f>J91</f>
        <v>435.86200000000002</v>
      </c>
      <c r="L92" s="978" t="s">
        <v>2919</v>
      </c>
      <c r="M92" s="970" t="s">
        <v>1009</v>
      </c>
      <c r="N92" s="970" t="s">
        <v>1009</v>
      </c>
      <c r="O92" s="978"/>
      <c r="P92" s="978"/>
      <c r="Q92" s="1574"/>
      <c r="R92" s="982"/>
    </row>
    <row r="93" spans="1:18" ht="30" customHeight="1">
      <c r="A93" s="969"/>
      <c r="B93" s="972"/>
      <c r="C93" s="972"/>
      <c r="D93" s="979"/>
      <c r="E93" s="972"/>
      <c r="F93" s="972"/>
      <c r="G93" s="972"/>
      <c r="H93" s="972"/>
      <c r="I93" s="976"/>
      <c r="J93" s="976">
        <v>333.94499999999999</v>
      </c>
      <c r="K93" s="978"/>
      <c r="L93" s="978"/>
      <c r="M93" s="978"/>
      <c r="N93" s="978"/>
      <c r="O93" s="978"/>
      <c r="P93" s="978"/>
      <c r="Q93" s="1574"/>
      <c r="R93" s="982"/>
    </row>
    <row r="94" spans="1:18" ht="30" customHeight="1">
      <c r="A94" s="969">
        <f>A92+1</f>
        <v>44</v>
      </c>
      <c r="B94" s="972" t="s">
        <v>529</v>
      </c>
      <c r="C94" s="972" t="s">
        <v>76</v>
      </c>
      <c r="D94" s="979"/>
      <c r="E94" s="972"/>
      <c r="F94" s="972"/>
      <c r="G94" s="972"/>
      <c r="H94" s="972"/>
      <c r="I94" s="976" t="s">
        <v>3286</v>
      </c>
      <c r="J94" s="976"/>
      <c r="K94" s="978"/>
      <c r="L94" s="970" t="s">
        <v>2919</v>
      </c>
      <c r="M94" s="970" t="s">
        <v>1009</v>
      </c>
      <c r="N94" s="970" t="s">
        <v>1009</v>
      </c>
      <c r="O94" s="978" t="s">
        <v>1009</v>
      </c>
      <c r="P94" s="978"/>
      <c r="Q94" s="1574"/>
      <c r="R94" s="982"/>
    </row>
    <row r="95" spans="1:18" ht="30" customHeight="1">
      <c r="A95" s="969"/>
      <c r="B95" s="972"/>
      <c r="C95" s="972"/>
      <c r="D95" s="979"/>
      <c r="E95" s="972"/>
      <c r="F95" s="972"/>
      <c r="G95" s="972"/>
      <c r="H95" s="972"/>
      <c r="I95" s="976"/>
      <c r="J95" s="976">
        <v>502.83600000000001</v>
      </c>
      <c r="K95" s="978"/>
      <c r="L95" s="978"/>
      <c r="M95" s="978"/>
      <c r="N95" s="978"/>
      <c r="O95" s="978"/>
      <c r="P95" s="978"/>
      <c r="Q95" s="1575"/>
      <c r="R95" s="982"/>
    </row>
    <row r="96" spans="1:18" ht="30" customHeight="1">
      <c r="A96" s="969">
        <f>A94+1</f>
        <v>45</v>
      </c>
      <c r="B96" s="985" t="s">
        <v>2917</v>
      </c>
      <c r="C96" s="985" t="s">
        <v>2197</v>
      </c>
      <c r="D96" s="1170" t="s">
        <v>2229</v>
      </c>
      <c r="E96" s="985">
        <v>1</v>
      </c>
      <c r="F96" s="985">
        <v>1</v>
      </c>
      <c r="G96" s="985">
        <v>1</v>
      </c>
      <c r="H96" s="985">
        <v>1</v>
      </c>
      <c r="I96" s="976" t="s">
        <v>3286</v>
      </c>
      <c r="J96" s="976"/>
      <c r="K96" s="978"/>
      <c r="L96" s="970" t="s">
        <v>2919</v>
      </c>
      <c r="M96" s="970" t="s">
        <v>1009</v>
      </c>
      <c r="N96" s="978"/>
      <c r="O96" s="978" t="s">
        <v>22</v>
      </c>
      <c r="P96" s="978"/>
      <c r="Q96" s="973"/>
      <c r="R96" s="982"/>
    </row>
    <row r="97" spans="1:18" ht="30" customHeight="1">
      <c r="A97" s="969"/>
      <c r="B97" s="972"/>
      <c r="C97" s="972"/>
      <c r="D97" s="983"/>
      <c r="E97" s="972"/>
      <c r="F97" s="972"/>
      <c r="G97" s="972"/>
      <c r="H97" s="972"/>
      <c r="I97" s="976"/>
      <c r="J97" s="976">
        <v>326.31099999999998</v>
      </c>
      <c r="K97" s="978"/>
      <c r="L97" s="978"/>
      <c r="M97" s="978"/>
      <c r="N97" s="978"/>
      <c r="O97" s="978"/>
      <c r="P97" s="978"/>
      <c r="Q97" s="973"/>
      <c r="R97" s="982"/>
    </row>
    <row r="98" spans="1:18" ht="30" customHeight="1">
      <c r="A98" s="969">
        <f>A96+1</f>
        <v>46</v>
      </c>
      <c r="B98" s="972" t="s">
        <v>2918</v>
      </c>
      <c r="C98" s="972" t="s">
        <v>1953</v>
      </c>
      <c r="D98" s="971" t="s">
        <v>2231</v>
      </c>
      <c r="E98" s="972"/>
      <c r="F98" s="972"/>
      <c r="G98" s="972"/>
      <c r="H98" s="972"/>
      <c r="I98" s="976" t="s">
        <v>3286</v>
      </c>
      <c r="J98" s="976"/>
      <c r="K98" s="978"/>
      <c r="L98" s="970" t="s">
        <v>2919</v>
      </c>
      <c r="M98" s="970" t="s">
        <v>1009</v>
      </c>
      <c r="N98" s="970" t="s">
        <v>1009</v>
      </c>
      <c r="O98" s="978"/>
      <c r="P98" s="978"/>
      <c r="Q98" s="973"/>
      <c r="R98" s="982"/>
    </row>
    <row r="99" spans="1:18" ht="30" customHeight="1">
      <c r="A99" s="969"/>
      <c r="B99" s="972"/>
      <c r="C99" s="972"/>
      <c r="D99" s="979"/>
      <c r="E99" s="972"/>
      <c r="F99" s="972"/>
      <c r="G99" s="972"/>
      <c r="H99" s="972"/>
      <c r="I99" s="976"/>
      <c r="J99" s="976">
        <v>415.29</v>
      </c>
      <c r="K99" s="978"/>
      <c r="L99" s="978"/>
      <c r="M99" s="978"/>
      <c r="N99" s="978"/>
      <c r="O99" s="978"/>
      <c r="P99" s="978"/>
      <c r="Q99" s="1573"/>
      <c r="R99" s="982"/>
    </row>
    <row r="100" spans="1:18" ht="30" customHeight="1">
      <c r="A100" s="969">
        <f>A98+1</f>
        <v>47</v>
      </c>
      <c r="B100" s="972" t="s">
        <v>497</v>
      </c>
      <c r="C100" s="972" t="s">
        <v>62</v>
      </c>
      <c r="D100" s="979"/>
      <c r="E100" s="972"/>
      <c r="F100" s="972"/>
      <c r="G100" s="972"/>
      <c r="H100" s="972"/>
      <c r="I100" s="976" t="s">
        <v>3286</v>
      </c>
      <c r="J100" s="976"/>
      <c r="K100" s="978"/>
      <c r="L100" s="970" t="s">
        <v>2919</v>
      </c>
      <c r="M100" s="970" t="s">
        <v>1009</v>
      </c>
      <c r="N100" s="978"/>
      <c r="O100" s="978" t="s">
        <v>1009</v>
      </c>
      <c r="P100" s="978"/>
      <c r="Q100" s="1574"/>
      <c r="R100" s="982"/>
    </row>
    <row r="101" spans="1:18" ht="30" customHeight="1">
      <c r="A101" s="969"/>
      <c r="B101" s="972"/>
      <c r="C101" s="972"/>
      <c r="D101" s="979"/>
      <c r="E101" s="972"/>
      <c r="F101" s="972"/>
      <c r="G101" s="972"/>
      <c r="H101" s="972"/>
      <c r="I101" s="976"/>
      <c r="J101" s="976">
        <v>422.42200000000003</v>
      </c>
      <c r="K101" s="978"/>
      <c r="L101" s="978"/>
      <c r="M101" s="978"/>
      <c r="N101" s="978"/>
      <c r="O101" s="978"/>
      <c r="P101" s="978"/>
      <c r="Q101" s="1574"/>
      <c r="R101" s="982"/>
    </row>
    <row r="102" spans="1:18" ht="30" customHeight="1">
      <c r="A102" s="969">
        <f>A100+1</f>
        <v>48</v>
      </c>
      <c r="B102" s="972" t="s">
        <v>495</v>
      </c>
      <c r="C102" s="1004" t="s">
        <v>249</v>
      </c>
      <c r="D102" s="979"/>
      <c r="E102" s="972"/>
      <c r="F102" s="972"/>
      <c r="G102" s="972"/>
      <c r="H102" s="972"/>
      <c r="I102" s="976" t="s">
        <v>1765</v>
      </c>
      <c r="J102" s="976"/>
      <c r="K102" s="978"/>
      <c r="L102" s="970" t="s">
        <v>2919</v>
      </c>
      <c r="M102" s="970" t="s">
        <v>1009</v>
      </c>
      <c r="N102" s="970" t="s">
        <v>1009</v>
      </c>
      <c r="O102" s="978" t="s">
        <v>1009</v>
      </c>
      <c r="P102" s="978"/>
      <c r="Q102" s="1574"/>
      <c r="R102" s="982"/>
    </row>
    <row r="103" spans="1:18" ht="30" customHeight="1">
      <c r="A103" s="969"/>
      <c r="B103" s="972"/>
      <c r="C103" s="972"/>
      <c r="D103" s="979"/>
      <c r="E103" s="972"/>
      <c r="F103" s="972"/>
      <c r="G103" s="972"/>
      <c r="H103" s="972"/>
      <c r="I103" s="976"/>
      <c r="J103" s="976">
        <v>418.37299999999999</v>
      </c>
      <c r="K103" s="978"/>
      <c r="L103" s="978"/>
      <c r="M103" s="978"/>
      <c r="N103" s="978"/>
      <c r="O103" s="978"/>
      <c r="P103" s="978"/>
      <c r="Q103" s="1574"/>
      <c r="R103" s="982"/>
    </row>
    <row r="104" spans="1:18" ht="30" customHeight="1">
      <c r="A104" s="969">
        <f>A102+1</f>
        <v>49</v>
      </c>
      <c r="B104" s="972" t="s">
        <v>490</v>
      </c>
      <c r="C104" s="972" t="s">
        <v>53</v>
      </c>
      <c r="D104" s="979"/>
      <c r="E104" s="972"/>
      <c r="F104" s="972"/>
      <c r="G104" s="972"/>
      <c r="H104" s="972"/>
      <c r="I104" s="976" t="s">
        <v>1765</v>
      </c>
      <c r="J104" s="976"/>
      <c r="K104" s="978"/>
      <c r="L104" s="970" t="s">
        <v>2919</v>
      </c>
      <c r="M104" s="970" t="s">
        <v>1009</v>
      </c>
      <c r="N104" s="978"/>
      <c r="O104" s="978" t="s">
        <v>1009</v>
      </c>
      <c r="P104" s="978"/>
      <c r="Q104" s="1574"/>
      <c r="R104" s="982"/>
    </row>
    <row r="105" spans="1:18" ht="30" customHeight="1">
      <c r="A105" s="969"/>
      <c r="B105" s="972"/>
      <c r="C105" s="972"/>
      <c r="D105" s="979"/>
      <c r="E105" s="972"/>
      <c r="F105" s="972"/>
      <c r="G105" s="972"/>
      <c r="H105" s="972"/>
      <c r="I105" s="976"/>
      <c r="J105" s="976">
        <v>410.137</v>
      </c>
      <c r="K105" s="978"/>
      <c r="L105" s="978"/>
      <c r="M105" s="978"/>
      <c r="N105" s="978"/>
      <c r="O105" s="978"/>
      <c r="P105" s="978"/>
      <c r="Q105" s="1575"/>
      <c r="R105" s="982"/>
    </row>
    <row r="106" spans="1:18" ht="30" customHeight="1">
      <c r="A106" s="969">
        <f>A104+1</f>
        <v>50</v>
      </c>
      <c r="B106" s="972" t="s">
        <v>2920</v>
      </c>
      <c r="C106" s="972" t="s">
        <v>90</v>
      </c>
      <c r="D106" s="971" t="s">
        <v>2921</v>
      </c>
      <c r="E106" s="972"/>
      <c r="F106" s="972"/>
      <c r="G106" s="972"/>
      <c r="H106" s="972"/>
      <c r="I106" s="976" t="s">
        <v>1765</v>
      </c>
      <c r="J106" s="977"/>
      <c r="K106" s="978">
        <f>J93+J95+J97+J99+J101+J103+J105</f>
        <v>2829.3139999999999</v>
      </c>
      <c r="L106" s="970" t="s">
        <v>2919</v>
      </c>
      <c r="M106" s="970" t="s">
        <v>1009</v>
      </c>
      <c r="N106" s="970" t="s">
        <v>1009</v>
      </c>
      <c r="O106" s="978" t="s">
        <v>1009</v>
      </c>
      <c r="P106" s="978"/>
      <c r="Q106" s="973"/>
      <c r="R106" s="982"/>
    </row>
    <row r="107" spans="1:18" ht="30" customHeight="1">
      <c r="A107" s="969"/>
      <c r="B107" s="972"/>
      <c r="C107" s="972"/>
      <c r="D107" s="979"/>
      <c r="E107" s="972"/>
      <c r="F107" s="972"/>
      <c r="G107" s="972"/>
      <c r="H107" s="972"/>
      <c r="I107" s="976"/>
      <c r="J107" s="977">
        <v>422.214</v>
      </c>
      <c r="K107" s="970"/>
      <c r="L107" s="970"/>
      <c r="M107" s="970"/>
      <c r="N107" s="970"/>
      <c r="O107" s="970"/>
      <c r="P107" s="970"/>
      <c r="Q107" s="1573"/>
      <c r="R107" s="974"/>
    </row>
    <row r="108" spans="1:18" ht="30" customHeight="1">
      <c r="A108" s="969">
        <f>A106+1</f>
        <v>51</v>
      </c>
      <c r="B108" s="972" t="s">
        <v>458</v>
      </c>
      <c r="C108" s="972" t="s">
        <v>62</v>
      </c>
      <c r="D108" s="979"/>
      <c r="E108" s="972"/>
      <c r="F108" s="972"/>
      <c r="G108" s="972"/>
      <c r="H108" s="972"/>
      <c r="I108" s="976" t="s">
        <v>1765</v>
      </c>
      <c r="J108" s="977"/>
      <c r="K108" s="970"/>
      <c r="L108" s="972" t="s">
        <v>2919</v>
      </c>
      <c r="M108" s="970" t="s">
        <v>1009</v>
      </c>
      <c r="N108" s="970" t="s">
        <v>1009</v>
      </c>
      <c r="O108" s="978" t="s">
        <v>1009</v>
      </c>
      <c r="P108" s="970"/>
      <c r="Q108" s="1574"/>
      <c r="R108" s="974"/>
    </row>
    <row r="109" spans="1:18" ht="30" customHeight="1">
      <c r="A109" s="969"/>
      <c r="B109" s="972"/>
      <c r="C109" s="972"/>
      <c r="D109" s="979"/>
      <c r="E109" s="972"/>
      <c r="F109" s="972"/>
      <c r="G109" s="972"/>
      <c r="H109" s="972"/>
      <c r="I109" s="976"/>
      <c r="J109" s="977">
        <v>387.35700000000003</v>
      </c>
      <c r="K109" s="970"/>
      <c r="L109" s="970"/>
      <c r="M109" s="970"/>
      <c r="N109" s="970"/>
      <c r="O109" s="970"/>
      <c r="P109" s="970"/>
      <c r="Q109" s="1574"/>
      <c r="R109" s="974"/>
    </row>
    <row r="110" spans="1:18" ht="30" customHeight="1">
      <c r="A110" s="969">
        <f>A108+1</f>
        <v>52</v>
      </c>
      <c r="B110" s="972" t="s">
        <v>402</v>
      </c>
      <c r="C110" s="972" t="s">
        <v>53</v>
      </c>
      <c r="D110" s="975"/>
      <c r="E110" s="972"/>
      <c r="F110" s="972"/>
      <c r="G110" s="972"/>
      <c r="H110" s="972"/>
      <c r="I110" s="976" t="s">
        <v>1765</v>
      </c>
      <c r="J110" s="977"/>
      <c r="K110" s="970"/>
      <c r="L110" s="970" t="s">
        <v>2919</v>
      </c>
      <c r="M110" s="970" t="s">
        <v>1009</v>
      </c>
      <c r="N110" s="970"/>
      <c r="O110" s="978" t="s">
        <v>1009</v>
      </c>
      <c r="P110" s="970"/>
      <c r="Q110" s="1574"/>
      <c r="R110" s="974"/>
    </row>
    <row r="111" spans="1:18" ht="30" customHeight="1">
      <c r="A111" s="969"/>
      <c r="B111" s="972"/>
      <c r="C111" s="972"/>
      <c r="D111" s="979"/>
      <c r="E111" s="972"/>
      <c r="F111" s="972"/>
      <c r="G111" s="972"/>
      <c r="H111" s="972"/>
      <c r="I111" s="976"/>
      <c r="J111" s="977">
        <v>406.68799999999999</v>
      </c>
      <c r="K111" s="970"/>
      <c r="L111" s="970"/>
      <c r="M111" s="970"/>
      <c r="N111" s="970"/>
      <c r="O111" s="970"/>
      <c r="P111" s="970"/>
      <c r="Q111" s="1575"/>
      <c r="R111" s="974"/>
    </row>
    <row r="112" spans="1:18" ht="30" customHeight="1">
      <c r="A112" s="969">
        <f>A110+1</f>
        <v>53</v>
      </c>
      <c r="B112" s="972" t="s">
        <v>2922</v>
      </c>
      <c r="C112" s="972" t="s">
        <v>1269</v>
      </c>
      <c r="D112" s="971" t="s">
        <v>2923</v>
      </c>
      <c r="E112" s="972"/>
      <c r="F112" s="972"/>
      <c r="G112" s="972"/>
      <c r="H112" s="972"/>
      <c r="I112" s="976" t="s">
        <v>1765</v>
      </c>
      <c r="J112" s="977"/>
      <c r="K112" s="970"/>
      <c r="L112" s="970" t="s">
        <v>2919</v>
      </c>
      <c r="M112" s="970" t="s">
        <v>1009</v>
      </c>
      <c r="N112" s="970" t="s">
        <v>1009</v>
      </c>
      <c r="O112" s="978" t="s">
        <v>1009</v>
      </c>
      <c r="P112" s="970"/>
      <c r="Q112" s="973"/>
      <c r="R112" s="974"/>
    </row>
    <row r="113" spans="1:18" ht="30" customHeight="1">
      <c r="A113" s="969"/>
      <c r="B113" s="972"/>
      <c r="C113" s="972"/>
      <c r="D113" s="979"/>
      <c r="E113" s="972"/>
      <c r="F113" s="972"/>
      <c r="G113" s="972"/>
      <c r="H113" s="972"/>
      <c r="I113" s="976"/>
      <c r="J113" s="977">
        <v>316.25299999999999</v>
      </c>
      <c r="K113" s="970"/>
      <c r="L113" s="970"/>
      <c r="M113" s="970"/>
      <c r="N113" s="970"/>
      <c r="O113" s="970"/>
      <c r="P113" s="970"/>
      <c r="Q113" s="973"/>
      <c r="R113" s="974"/>
    </row>
    <row r="114" spans="1:18" ht="30" customHeight="1">
      <c r="A114" s="969">
        <f>A112+1</f>
        <v>54</v>
      </c>
      <c r="B114" s="972" t="s">
        <v>2924</v>
      </c>
      <c r="C114" s="972" t="s">
        <v>1977</v>
      </c>
      <c r="D114" s="971" t="s">
        <v>2242</v>
      </c>
      <c r="E114" s="972"/>
      <c r="F114" s="972"/>
      <c r="G114" s="972"/>
      <c r="H114" s="972"/>
      <c r="I114" s="976" t="s">
        <v>897</v>
      </c>
      <c r="J114" s="977"/>
      <c r="K114" s="970"/>
      <c r="L114" s="970" t="s">
        <v>2919</v>
      </c>
      <c r="M114" s="970" t="s">
        <v>1009</v>
      </c>
      <c r="N114" s="970" t="s">
        <v>1009</v>
      </c>
      <c r="O114" s="978" t="s">
        <v>1009</v>
      </c>
      <c r="P114" s="970"/>
      <c r="Q114" s="973"/>
      <c r="R114" s="974"/>
    </row>
    <row r="115" spans="1:18" ht="59" customHeight="1">
      <c r="A115" s="969"/>
      <c r="B115" s="972"/>
      <c r="C115" s="972"/>
      <c r="D115" s="983"/>
      <c r="E115" s="972"/>
      <c r="F115" s="972"/>
      <c r="G115" s="972"/>
      <c r="H115" s="972"/>
      <c r="I115" s="976"/>
      <c r="J115" s="977">
        <v>248.423</v>
      </c>
      <c r="K115" s="970"/>
      <c r="L115" s="970"/>
      <c r="M115" s="970"/>
      <c r="N115" s="970"/>
      <c r="O115" s="970"/>
      <c r="P115" s="970"/>
      <c r="Q115" s="973"/>
      <c r="R115" s="984" t="s">
        <v>2925</v>
      </c>
    </row>
    <row r="116" spans="1:18" ht="30" customHeight="1">
      <c r="A116" s="969">
        <f>A114+1</f>
        <v>55</v>
      </c>
      <c r="B116" s="972" t="s">
        <v>2926</v>
      </c>
      <c r="C116" s="972" t="s">
        <v>1953</v>
      </c>
      <c r="D116" s="971" t="s">
        <v>2243</v>
      </c>
      <c r="E116" s="972"/>
      <c r="F116" s="972"/>
      <c r="G116" s="972"/>
      <c r="H116" s="972"/>
      <c r="I116" s="976" t="s">
        <v>2736</v>
      </c>
      <c r="J116" s="977"/>
      <c r="K116" s="970"/>
      <c r="L116" s="970" t="s">
        <v>2919</v>
      </c>
      <c r="M116" s="970" t="s">
        <v>1009</v>
      </c>
      <c r="N116" s="970"/>
      <c r="O116" s="970"/>
      <c r="P116" s="970"/>
      <c r="Q116" s="973"/>
      <c r="R116" s="974"/>
    </row>
    <row r="117" spans="1:18" ht="30" customHeight="1">
      <c r="A117" s="969"/>
      <c r="B117" s="972"/>
      <c r="C117" s="972"/>
      <c r="D117" s="975"/>
      <c r="E117" s="972"/>
      <c r="F117" s="972"/>
      <c r="G117" s="972"/>
      <c r="H117" s="972"/>
      <c r="I117" s="976"/>
      <c r="J117" s="977">
        <v>427.32799999999997</v>
      </c>
      <c r="K117" s="970"/>
      <c r="L117" s="970"/>
      <c r="M117" s="970"/>
      <c r="N117" s="970"/>
      <c r="O117" s="970"/>
      <c r="P117" s="970"/>
      <c r="Q117" s="1573"/>
      <c r="R117" s="974"/>
    </row>
    <row r="118" spans="1:18" ht="30" customHeight="1">
      <c r="A118" s="969">
        <f>A116+1</f>
        <v>56</v>
      </c>
      <c r="B118" s="972" t="s">
        <v>2201</v>
      </c>
      <c r="C118" s="972" t="s">
        <v>76</v>
      </c>
      <c r="D118" s="975"/>
      <c r="E118" s="972"/>
      <c r="F118" s="972"/>
      <c r="G118" s="972"/>
      <c r="H118" s="972"/>
      <c r="I118" s="976" t="s">
        <v>1765</v>
      </c>
      <c r="J118" s="977"/>
      <c r="K118" s="970">
        <f>J107+J109+J111+J113+J115+J117</f>
        <v>2208.2629999999999</v>
      </c>
      <c r="L118" s="970" t="s">
        <v>2919</v>
      </c>
      <c r="M118" s="970" t="s">
        <v>1009</v>
      </c>
      <c r="N118" s="970" t="s">
        <v>1009</v>
      </c>
      <c r="O118" s="978" t="s">
        <v>1009</v>
      </c>
      <c r="P118" s="970"/>
      <c r="Q118" s="1574"/>
      <c r="R118" s="974"/>
    </row>
    <row r="119" spans="1:18" ht="30" customHeight="1">
      <c r="A119" s="969"/>
      <c r="B119" s="972"/>
      <c r="C119" s="972"/>
      <c r="D119" s="979"/>
      <c r="E119" s="972"/>
      <c r="F119" s="972"/>
      <c r="G119" s="972"/>
      <c r="H119" s="972"/>
      <c r="I119" s="976"/>
      <c r="J119" s="977">
        <v>413.23399999999998</v>
      </c>
      <c r="K119" s="970"/>
      <c r="L119" s="970"/>
      <c r="M119" s="970"/>
      <c r="N119" s="970"/>
      <c r="O119" s="970"/>
      <c r="P119" s="970"/>
      <c r="Q119" s="1574"/>
      <c r="R119" s="974"/>
    </row>
    <row r="120" spans="1:18" ht="30" customHeight="1">
      <c r="A120" s="969">
        <f>A118+1</f>
        <v>57</v>
      </c>
      <c r="B120" s="972" t="s">
        <v>2202</v>
      </c>
      <c r="C120" s="972" t="s">
        <v>62</v>
      </c>
      <c r="D120" s="979"/>
      <c r="E120" s="972"/>
      <c r="F120" s="972"/>
      <c r="G120" s="972"/>
      <c r="H120" s="972"/>
      <c r="I120" s="976" t="s">
        <v>1765</v>
      </c>
      <c r="J120" s="977"/>
      <c r="K120" s="970"/>
      <c r="L120" s="970" t="s">
        <v>2919</v>
      </c>
      <c r="M120" s="970" t="s">
        <v>1009</v>
      </c>
      <c r="N120" s="970" t="s">
        <v>1009</v>
      </c>
      <c r="O120" s="978" t="s">
        <v>1009</v>
      </c>
      <c r="P120" s="970"/>
      <c r="Q120" s="1574"/>
      <c r="R120" s="974"/>
    </row>
    <row r="121" spans="1:18" ht="30" customHeight="1">
      <c r="A121" s="969"/>
      <c r="B121" s="972"/>
      <c r="C121" s="972"/>
      <c r="D121" s="979"/>
      <c r="E121" s="972"/>
      <c r="F121" s="972"/>
      <c r="G121" s="972"/>
      <c r="H121" s="972"/>
      <c r="I121" s="976"/>
      <c r="J121" s="977">
        <v>414.71899999999999</v>
      </c>
      <c r="K121" s="970"/>
      <c r="L121" s="970"/>
      <c r="M121" s="970"/>
      <c r="N121" s="970"/>
      <c r="O121" s="970"/>
      <c r="P121" s="970"/>
      <c r="Q121" s="1574"/>
      <c r="R121" s="974"/>
    </row>
    <row r="122" spans="1:18" ht="30" customHeight="1">
      <c r="A122" s="969">
        <f>A120+1</f>
        <v>58</v>
      </c>
      <c r="B122" s="972" t="s">
        <v>2203</v>
      </c>
      <c r="C122" s="972" t="s">
        <v>62</v>
      </c>
      <c r="D122" s="979"/>
      <c r="E122" s="972"/>
      <c r="F122" s="972"/>
      <c r="G122" s="972"/>
      <c r="H122" s="972"/>
      <c r="I122" s="976" t="s">
        <v>1765</v>
      </c>
      <c r="J122" s="977"/>
      <c r="K122" s="970"/>
      <c r="L122" s="970" t="s">
        <v>2919</v>
      </c>
      <c r="M122" s="970" t="s">
        <v>1009</v>
      </c>
      <c r="N122" s="970" t="s">
        <v>1009</v>
      </c>
      <c r="O122" s="978" t="s">
        <v>1009</v>
      </c>
      <c r="P122" s="970"/>
      <c r="Q122" s="1574"/>
      <c r="R122" s="974"/>
    </row>
    <row r="123" spans="1:18" ht="30" customHeight="1">
      <c r="A123" s="969"/>
      <c r="B123" s="972"/>
      <c r="C123" s="972"/>
      <c r="D123" s="979"/>
      <c r="E123" s="972"/>
      <c r="F123" s="972"/>
      <c r="G123" s="972"/>
      <c r="H123" s="972"/>
      <c r="I123" s="976"/>
      <c r="J123" s="977">
        <v>426.17200000000003</v>
      </c>
      <c r="K123" s="970"/>
      <c r="L123" s="970"/>
      <c r="M123" s="970"/>
      <c r="N123" s="970"/>
      <c r="O123" s="970"/>
      <c r="P123" s="970"/>
      <c r="Q123" s="1575"/>
      <c r="R123" s="974"/>
    </row>
    <row r="124" spans="1:18" ht="30" customHeight="1">
      <c r="A124" s="1016">
        <f>A122+1</f>
        <v>59</v>
      </c>
      <c r="B124" s="972" t="s">
        <v>2927</v>
      </c>
      <c r="C124" s="972" t="s">
        <v>90</v>
      </c>
      <c r="D124" s="1005" t="s">
        <v>2246</v>
      </c>
      <c r="E124" s="972"/>
      <c r="F124" s="972"/>
      <c r="G124" s="972"/>
      <c r="H124" s="972"/>
      <c r="I124" s="976" t="s">
        <v>1765</v>
      </c>
      <c r="J124" s="976"/>
      <c r="K124" s="970"/>
      <c r="L124" s="972" t="s">
        <v>2919</v>
      </c>
      <c r="M124" s="970" t="s">
        <v>1009</v>
      </c>
      <c r="N124" s="970" t="s">
        <v>1009</v>
      </c>
      <c r="O124" s="978" t="s">
        <v>1009</v>
      </c>
      <c r="P124" s="972"/>
      <c r="Q124" s="1019"/>
      <c r="R124" s="1037"/>
    </row>
    <row r="125" spans="1:18" ht="30" customHeight="1">
      <c r="A125" s="969"/>
      <c r="B125" s="972"/>
      <c r="C125" s="972"/>
      <c r="D125" s="983"/>
      <c r="E125" s="972"/>
      <c r="F125" s="972"/>
      <c r="G125" s="972"/>
      <c r="H125" s="972"/>
      <c r="I125" s="976"/>
      <c r="J125" s="977">
        <v>404.81</v>
      </c>
      <c r="K125" s="970"/>
      <c r="L125" s="970"/>
      <c r="M125" s="970"/>
      <c r="N125" s="970"/>
      <c r="O125" s="970"/>
      <c r="P125" s="970"/>
      <c r="Q125" s="1573"/>
      <c r="R125" s="974"/>
    </row>
    <row r="126" spans="1:18" ht="30" customHeight="1">
      <c r="A126" s="969">
        <f>A124+1</f>
        <v>60</v>
      </c>
      <c r="B126" s="972" t="s">
        <v>2206</v>
      </c>
      <c r="C126" s="972" t="s">
        <v>62</v>
      </c>
      <c r="D126" s="983"/>
      <c r="E126" s="972"/>
      <c r="F126" s="972"/>
      <c r="G126" s="972"/>
      <c r="H126" s="972"/>
      <c r="I126" s="976" t="s">
        <v>1765</v>
      </c>
      <c r="J126" s="977"/>
      <c r="K126" s="970"/>
      <c r="L126" s="970" t="s">
        <v>2919</v>
      </c>
      <c r="M126" s="970" t="s">
        <v>1009</v>
      </c>
      <c r="N126" s="970" t="s">
        <v>1009</v>
      </c>
      <c r="O126" s="978" t="s">
        <v>1009</v>
      </c>
      <c r="P126" s="970"/>
      <c r="Q126" s="1574"/>
      <c r="R126" s="974"/>
    </row>
    <row r="127" spans="1:18" ht="30" customHeight="1">
      <c r="A127" s="969"/>
      <c r="B127" s="972"/>
      <c r="C127" s="972"/>
      <c r="D127" s="983"/>
      <c r="E127" s="972"/>
      <c r="F127" s="972"/>
      <c r="G127" s="972"/>
      <c r="H127" s="972"/>
      <c r="I127" s="976"/>
      <c r="J127" s="977">
        <v>392.738</v>
      </c>
      <c r="K127" s="970"/>
      <c r="L127" s="970"/>
      <c r="M127" s="970"/>
      <c r="N127" s="970"/>
      <c r="O127" s="970"/>
      <c r="P127" s="970"/>
      <c r="Q127" s="1574"/>
      <c r="R127" s="974"/>
    </row>
    <row r="128" spans="1:18" ht="30" customHeight="1">
      <c r="A128" s="969">
        <f>A126+1</f>
        <v>61</v>
      </c>
      <c r="B128" s="972" t="s">
        <v>2207</v>
      </c>
      <c r="C128" s="972" t="s">
        <v>1269</v>
      </c>
      <c r="D128" s="983"/>
      <c r="E128" s="972"/>
      <c r="F128" s="972"/>
      <c r="G128" s="972"/>
      <c r="H128" s="972"/>
      <c r="I128" s="976" t="s">
        <v>1765</v>
      </c>
      <c r="J128" s="977"/>
      <c r="K128" s="970"/>
      <c r="L128" s="970" t="s">
        <v>2919</v>
      </c>
      <c r="M128" s="970" t="s">
        <v>1009</v>
      </c>
      <c r="N128" s="970" t="s">
        <v>1009</v>
      </c>
      <c r="O128" s="978" t="s">
        <v>1009</v>
      </c>
      <c r="P128" s="970"/>
      <c r="Q128" s="1574"/>
      <c r="R128" s="974"/>
    </row>
    <row r="129" spans="1:18" ht="30" customHeight="1">
      <c r="A129" s="969"/>
      <c r="B129" s="972"/>
      <c r="C129" s="972"/>
      <c r="D129" s="983"/>
      <c r="E129" s="972"/>
      <c r="F129" s="972"/>
      <c r="G129" s="972"/>
      <c r="H129" s="972"/>
      <c r="I129" s="976"/>
      <c r="J129" s="977">
        <v>391.93900000000002</v>
      </c>
      <c r="K129" s="970"/>
      <c r="L129" s="970"/>
      <c r="M129" s="970"/>
      <c r="N129" s="970"/>
      <c r="O129" s="970"/>
      <c r="P129" s="970"/>
      <c r="Q129" s="1574"/>
      <c r="R129" s="974"/>
    </row>
    <row r="130" spans="1:18" ht="30" customHeight="1">
      <c r="A130" s="969">
        <f>A128+1</f>
        <v>62</v>
      </c>
      <c r="B130" s="972" t="s">
        <v>2208</v>
      </c>
      <c r="C130" s="972" t="s">
        <v>249</v>
      </c>
      <c r="D130" s="983"/>
      <c r="E130" s="972">
        <v>1.5</v>
      </c>
      <c r="F130" s="972">
        <v>1.5</v>
      </c>
      <c r="G130" s="972">
        <v>1.5</v>
      </c>
      <c r="H130" s="972">
        <v>1.5</v>
      </c>
      <c r="I130" s="976" t="s">
        <v>1765</v>
      </c>
      <c r="J130" s="977"/>
      <c r="K130" s="970">
        <f>J119+J121+J123+J125+J127+J129</f>
        <v>2443.6119999999996</v>
      </c>
      <c r="L130" s="970" t="s">
        <v>2919</v>
      </c>
      <c r="M130" s="970" t="s">
        <v>1009</v>
      </c>
      <c r="N130" s="970"/>
      <c r="O130" s="970"/>
      <c r="P130" s="970"/>
      <c r="Q130" s="1574"/>
      <c r="R130" s="974" t="s">
        <v>3627</v>
      </c>
    </row>
    <row r="131" spans="1:18" ht="30" customHeight="1">
      <c r="A131" s="969"/>
      <c r="B131" s="972"/>
      <c r="C131" s="972"/>
      <c r="D131" s="983"/>
      <c r="E131" s="972"/>
      <c r="F131" s="972"/>
      <c r="G131" s="972"/>
      <c r="H131" s="972"/>
      <c r="I131" s="976"/>
      <c r="J131" s="977">
        <v>440.91</v>
      </c>
      <c r="K131" s="970"/>
      <c r="L131" s="970"/>
      <c r="M131" s="970"/>
      <c r="N131" s="970"/>
      <c r="O131" s="970"/>
      <c r="P131" s="970"/>
      <c r="Q131" s="1575"/>
      <c r="R131" s="974"/>
    </row>
    <row r="132" spans="1:18" ht="30" customHeight="1">
      <c r="A132" s="969">
        <f>A130+1</f>
        <v>63</v>
      </c>
      <c r="B132" s="972" t="s">
        <v>2928</v>
      </c>
      <c r="C132" s="972" t="s">
        <v>2197</v>
      </c>
      <c r="D132" s="1005" t="s">
        <v>2929</v>
      </c>
      <c r="E132" s="972"/>
      <c r="F132" s="972"/>
      <c r="G132" s="972"/>
      <c r="H132" s="972"/>
      <c r="I132" s="976" t="s">
        <v>2736</v>
      </c>
      <c r="J132" s="977"/>
      <c r="K132" s="970"/>
      <c r="L132" s="970" t="s">
        <v>2919</v>
      </c>
      <c r="M132" s="970" t="s">
        <v>1009</v>
      </c>
      <c r="N132" s="970"/>
      <c r="O132" s="970"/>
      <c r="P132" s="970"/>
      <c r="Q132" s="973"/>
      <c r="R132" s="974"/>
    </row>
    <row r="133" spans="1:18" ht="30" customHeight="1">
      <c r="A133" s="969"/>
      <c r="B133" s="972"/>
      <c r="C133" s="972"/>
      <c r="D133" s="983"/>
      <c r="E133" s="972"/>
      <c r="F133" s="972"/>
      <c r="G133" s="972"/>
      <c r="H133" s="972"/>
      <c r="I133" s="976"/>
      <c r="J133" s="977">
        <v>310.90499999999997</v>
      </c>
      <c r="K133" s="970"/>
      <c r="L133" s="970"/>
      <c r="M133" s="970"/>
      <c r="N133" s="970"/>
      <c r="O133" s="970"/>
      <c r="P133" s="970"/>
      <c r="Q133" s="973"/>
      <c r="R133" s="980" t="s">
        <v>3098</v>
      </c>
    </row>
    <row r="134" spans="1:18" ht="30" customHeight="1">
      <c r="A134" s="969">
        <f>A132+1</f>
        <v>64</v>
      </c>
      <c r="B134" s="972" t="s">
        <v>2930</v>
      </c>
      <c r="C134" s="985" t="s">
        <v>2212</v>
      </c>
      <c r="D134" s="971" t="s">
        <v>2931</v>
      </c>
      <c r="E134" s="972"/>
      <c r="F134" s="972"/>
      <c r="G134" s="972"/>
      <c r="H134" s="972"/>
      <c r="I134" s="976" t="s">
        <v>1765</v>
      </c>
      <c r="J134" s="977"/>
      <c r="K134" s="970">
        <f>J131+J133</f>
        <v>751.81500000000005</v>
      </c>
      <c r="L134" s="970" t="s">
        <v>2919</v>
      </c>
      <c r="M134" s="970" t="s">
        <v>1009</v>
      </c>
      <c r="N134" s="970" t="s">
        <v>1009</v>
      </c>
      <c r="O134" s="978" t="s">
        <v>1009</v>
      </c>
      <c r="P134" s="970"/>
      <c r="Q134" s="973"/>
      <c r="R134" s="974"/>
    </row>
    <row r="135" spans="1:18" ht="42.5" customHeight="1">
      <c r="A135" s="969"/>
      <c r="B135" s="972"/>
      <c r="C135" s="972"/>
      <c r="D135" s="983"/>
      <c r="E135" s="972"/>
      <c r="F135" s="972"/>
      <c r="G135" s="972"/>
      <c r="H135" s="972"/>
      <c r="I135" s="976"/>
      <c r="J135" s="977">
        <v>240.52699999999999</v>
      </c>
      <c r="K135" s="970"/>
      <c r="L135" s="970"/>
      <c r="M135" s="970"/>
      <c r="N135" s="970"/>
      <c r="O135" s="970"/>
      <c r="P135" s="970"/>
      <c r="Q135" s="973"/>
      <c r="R135" s="984" t="s">
        <v>2932</v>
      </c>
    </row>
    <row r="136" spans="1:18" ht="30" customHeight="1">
      <c r="A136" s="969">
        <f>A134+1</f>
        <v>65</v>
      </c>
      <c r="B136" s="972" t="s">
        <v>2933</v>
      </c>
      <c r="C136" s="972" t="s">
        <v>1319</v>
      </c>
      <c r="D136" s="971" t="s">
        <v>2934</v>
      </c>
      <c r="E136" s="972"/>
      <c r="F136" s="972"/>
      <c r="G136" s="972"/>
      <c r="H136" s="972"/>
      <c r="I136" s="976" t="s">
        <v>2736</v>
      </c>
      <c r="J136" s="977"/>
      <c r="K136" s="970"/>
      <c r="L136" s="970" t="s">
        <v>2919</v>
      </c>
      <c r="M136" s="970" t="s">
        <v>1009</v>
      </c>
      <c r="N136" s="970" t="s">
        <v>1009</v>
      </c>
      <c r="O136" s="978" t="s">
        <v>1009</v>
      </c>
      <c r="P136" s="970"/>
      <c r="Q136" s="973"/>
      <c r="R136" s="974"/>
    </row>
    <row r="137" spans="1:18" ht="30" customHeight="1">
      <c r="A137" s="969"/>
      <c r="B137" s="972"/>
      <c r="C137" s="972"/>
      <c r="D137" s="979"/>
      <c r="E137" s="972"/>
      <c r="F137" s="972"/>
      <c r="G137" s="972"/>
      <c r="H137" s="972"/>
      <c r="I137" s="976"/>
      <c r="J137" s="977">
        <v>389</v>
      </c>
      <c r="K137" s="970"/>
      <c r="L137" s="970"/>
      <c r="M137" s="970"/>
      <c r="N137" s="970"/>
      <c r="O137" s="970"/>
      <c r="P137" s="970"/>
      <c r="Q137" s="1573"/>
      <c r="R137" s="974"/>
    </row>
    <row r="138" spans="1:18" ht="30" customHeight="1">
      <c r="A138" s="969">
        <f>A136+1</f>
        <v>66</v>
      </c>
      <c r="B138" s="972" t="s">
        <v>2216</v>
      </c>
      <c r="C138" s="972" t="s">
        <v>90</v>
      </c>
      <c r="D138" s="979"/>
      <c r="E138" s="972"/>
      <c r="F138" s="972"/>
      <c r="G138" s="972"/>
      <c r="H138" s="972"/>
      <c r="I138" s="976" t="s">
        <v>1765</v>
      </c>
      <c r="J138" s="977"/>
      <c r="K138" s="970"/>
      <c r="L138" s="970" t="s">
        <v>2919</v>
      </c>
      <c r="M138" s="970" t="s">
        <v>1009</v>
      </c>
      <c r="N138" s="970" t="s">
        <v>1009</v>
      </c>
      <c r="O138" s="970"/>
      <c r="P138" s="970"/>
      <c r="Q138" s="1574"/>
      <c r="R138" s="974"/>
    </row>
    <row r="139" spans="1:18" ht="30" customHeight="1">
      <c r="A139" s="969"/>
      <c r="B139" s="972"/>
      <c r="C139" s="972"/>
      <c r="D139" s="979"/>
      <c r="E139" s="972"/>
      <c r="F139" s="972"/>
      <c r="G139" s="972"/>
      <c r="H139" s="972"/>
      <c r="I139" s="976"/>
      <c r="J139" s="977">
        <v>468.31799999999998</v>
      </c>
      <c r="K139" s="970"/>
      <c r="L139" s="970"/>
      <c r="M139" s="970"/>
      <c r="N139" s="970"/>
      <c r="O139" s="970"/>
      <c r="P139" s="970"/>
      <c r="Q139" s="1575"/>
      <c r="R139" s="974"/>
    </row>
    <row r="140" spans="1:18" ht="30" customHeight="1">
      <c r="A140" s="969">
        <f>A138+1</f>
        <v>67</v>
      </c>
      <c r="B140" s="972" t="s">
        <v>2935</v>
      </c>
      <c r="C140" s="972" t="s">
        <v>2212</v>
      </c>
      <c r="D140" s="971" t="s">
        <v>2936</v>
      </c>
      <c r="E140" s="972"/>
      <c r="F140" s="972"/>
      <c r="G140" s="972"/>
      <c r="H140" s="972"/>
      <c r="I140" s="976" t="s">
        <v>897</v>
      </c>
      <c r="J140" s="977"/>
      <c r="K140" s="970">
        <f>J135+J137+J139</f>
        <v>1097.845</v>
      </c>
      <c r="L140" s="970" t="s">
        <v>2919</v>
      </c>
      <c r="M140" s="970" t="s">
        <v>1009</v>
      </c>
      <c r="N140" s="970"/>
      <c r="O140" s="970"/>
      <c r="P140" s="970"/>
      <c r="Q140" s="973"/>
      <c r="R140" s="974"/>
    </row>
    <row r="141" spans="1:18" ht="44.5" customHeight="1">
      <c r="A141" s="969"/>
      <c r="B141" s="972"/>
      <c r="C141" s="972"/>
      <c r="D141" s="983"/>
      <c r="E141" s="972"/>
      <c r="F141" s="972"/>
      <c r="G141" s="972"/>
      <c r="H141" s="972"/>
      <c r="I141" s="976"/>
      <c r="J141" s="977">
        <v>242.66300000000001</v>
      </c>
      <c r="K141" s="970"/>
      <c r="L141" s="970"/>
      <c r="M141" s="970"/>
      <c r="N141" s="970"/>
      <c r="O141" s="970"/>
      <c r="P141" s="970"/>
      <c r="Q141" s="973"/>
      <c r="R141" s="984" t="s">
        <v>2937</v>
      </c>
    </row>
    <row r="142" spans="1:18" ht="30" customHeight="1">
      <c r="A142" s="969">
        <f>A140+1</f>
        <v>68</v>
      </c>
      <c r="B142" s="972" t="s">
        <v>2938</v>
      </c>
      <c r="C142" s="972" t="s">
        <v>1995</v>
      </c>
      <c r="D142" s="971" t="s">
        <v>2255</v>
      </c>
      <c r="E142" s="972"/>
      <c r="F142" s="972"/>
      <c r="G142" s="972"/>
      <c r="H142" s="972"/>
      <c r="I142" s="976" t="s">
        <v>897</v>
      </c>
      <c r="J142" s="977"/>
      <c r="K142" s="970"/>
      <c r="L142" s="970" t="s">
        <v>2919</v>
      </c>
      <c r="M142" s="970" t="s">
        <v>1009</v>
      </c>
      <c r="N142" s="970"/>
      <c r="O142" s="970" t="s">
        <v>1009</v>
      </c>
      <c r="P142" s="970"/>
      <c r="Q142" s="973"/>
      <c r="R142" s="974"/>
    </row>
    <row r="143" spans="1:18" ht="30" customHeight="1">
      <c r="A143" s="969"/>
      <c r="B143" s="972"/>
      <c r="C143" s="972"/>
      <c r="D143" s="979"/>
      <c r="E143" s="972"/>
      <c r="F143" s="972"/>
      <c r="G143" s="972"/>
      <c r="H143" s="972"/>
      <c r="I143" s="976"/>
      <c r="J143" s="977">
        <v>408.25799999999998</v>
      </c>
      <c r="K143" s="970"/>
      <c r="L143" s="970"/>
      <c r="M143" s="970"/>
      <c r="N143" s="970"/>
      <c r="O143" s="970"/>
      <c r="P143" s="970"/>
      <c r="Q143" s="1573"/>
      <c r="R143" s="974"/>
    </row>
    <row r="144" spans="1:18" ht="30" customHeight="1">
      <c r="A144" s="969">
        <f>A142+1</f>
        <v>69</v>
      </c>
      <c r="B144" s="972" t="s">
        <v>2221</v>
      </c>
      <c r="C144" s="972" t="s">
        <v>76</v>
      </c>
      <c r="D144" s="979"/>
      <c r="E144" s="972"/>
      <c r="F144" s="972"/>
      <c r="G144" s="972"/>
      <c r="H144" s="972"/>
      <c r="I144" s="976" t="s">
        <v>1765</v>
      </c>
      <c r="J144" s="977"/>
      <c r="K144" s="970"/>
      <c r="L144" s="970" t="s">
        <v>2919</v>
      </c>
      <c r="M144" s="970" t="s">
        <v>1009</v>
      </c>
      <c r="N144" s="970" t="s">
        <v>1009</v>
      </c>
      <c r="O144" s="978" t="s">
        <v>1009</v>
      </c>
      <c r="P144" s="970"/>
      <c r="Q144" s="1574"/>
      <c r="R144" s="974"/>
    </row>
    <row r="145" spans="1:18" ht="30" customHeight="1">
      <c r="A145" s="969"/>
      <c r="B145" s="972"/>
      <c r="C145" s="972"/>
      <c r="D145" s="979"/>
      <c r="E145" s="972"/>
      <c r="F145" s="972"/>
      <c r="G145" s="972"/>
      <c r="H145" s="972"/>
      <c r="I145" s="976"/>
      <c r="J145" s="977">
        <v>337.476</v>
      </c>
      <c r="K145" s="970"/>
      <c r="L145" s="970"/>
      <c r="M145" s="970"/>
      <c r="N145" s="970"/>
      <c r="O145" s="970"/>
      <c r="P145" s="970"/>
      <c r="Q145" s="1574"/>
      <c r="R145" s="974"/>
    </row>
    <row r="146" spans="1:18" ht="30" customHeight="1">
      <c r="A146" s="969">
        <f>A144+1</f>
        <v>70</v>
      </c>
      <c r="B146" s="972" t="s">
        <v>2222</v>
      </c>
      <c r="C146" s="972" t="s">
        <v>62</v>
      </c>
      <c r="D146" s="979"/>
      <c r="E146" s="972"/>
      <c r="F146" s="972"/>
      <c r="G146" s="972"/>
      <c r="H146" s="972"/>
      <c r="I146" s="976" t="s">
        <v>1765</v>
      </c>
      <c r="J146" s="977"/>
      <c r="K146" s="970"/>
      <c r="L146" s="970" t="s">
        <v>2919</v>
      </c>
      <c r="M146" s="970" t="s">
        <v>1009</v>
      </c>
      <c r="N146" s="970" t="s">
        <v>1009</v>
      </c>
      <c r="O146" s="978" t="s">
        <v>1009</v>
      </c>
      <c r="P146" s="970"/>
      <c r="Q146" s="1574"/>
      <c r="R146" s="974"/>
    </row>
    <row r="147" spans="1:18" ht="30" customHeight="1">
      <c r="A147" s="969"/>
      <c r="B147" s="972"/>
      <c r="C147" s="972"/>
      <c r="D147" s="979"/>
      <c r="E147" s="972"/>
      <c r="F147" s="972"/>
      <c r="G147" s="972"/>
      <c r="H147" s="972"/>
      <c r="I147" s="976"/>
      <c r="J147" s="977">
        <v>403.41800000000001</v>
      </c>
      <c r="K147" s="970"/>
      <c r="L147" s="970"/>
      <c r="M147" s="970"/>
      <c r="N147" s="970"/>
      <c r="O147" s="970"/>
      <c r="P147" s="970"/>
      <c r="Q147" s="1575"/>
      <c r="R147" s="974"/>
    </row>
    <row r="148" spans="1:18" ht="30" customHeight="1">
      <c r="A148" s="969">
        <f>A146+1</f>
        <v>71</v>
      </c>
      <c r="B148" s="985" t="s">
        <v>2939</v>
      </c>
      <c r="C148" s="985" t="s">
        <v>1988</v>
      </c>
      <c r="D148" s="1170" t="s">
        <v>2258</v>
      </c>
      <c r="E148" s="985">
        <v>2</v>
      </c>
      <c r="F148" s="985">
        <v>2</v>
      </c>
      <c r="G148" s="985">
        <v>2</v>
      </c>
      <c r="H148" s="985">
        <v>2</v>
      </c>
      <c r="I148" s="1190" t="s">
        <v>2736</v>
      </c>
      <c r="J148" s="977"/>
      <c r="K148" s="970">
        <f>J145+J147</f>
        <v>740.89400000000001</v>
      </c>
      <c r="L148" s="970" t="s">
        <v>2919</v>
      </c>
      <c r="M148" s="970" t="s">
        <v>1009</v>
      </c>
      <c r="N148" s="970"/>
      <c r="O148" s="970"/>
      <c r="P148" s="970"/>
      <c r="Q148" s="973"/>
      <c r="R148" s="974"/>
    </row>
    <row r="149" spans="1:18" ht="30" customHeight="1">
      <c r="A149" s="969"/>
      <c r="B149" s="972"/>
      <c r="C149" s="972"/>
      <c r="D149" s="983"/>
      <c r="E149" s="972"/>
      <c r="F149" s="972"/>
      <c r="G149" s="972"/>
      <c r="H149" s="972"/>
      <c r="I149" s="976"/>
      <c r="J149" s="977">
        <v>251.51599999999999</v>
      </c>
      <c r="K149" s="970"/>
      <c r="L149" s="970"/>
      <c r="M149" s="970"/>
      <c r="N149" s="970"/>
      <c r="O149" s="970"/>
      <c r="P149" s="970"/>
      <c r="Q149" s="973"/>
      <c r="R149" s="980" t="s">
        <v>2940</v>
      </c>
    </row>
    <row r="150" spans="1:18" ht="30" customHeight="1">
      <c r="A150" s="969">
        <f>A148+1</f>
        <v>72</v>
      </c>
      <c r="B150" s="972" t="s">
        <v>2941</v>
      </c>
      <c r="C150" s="972" t="s">
        <v>2197</v>
      </c>
      <c r="D150" s="971" t="s">
        <v>2305</v>
      </c>
      <c r="E150" s="972">
        <v>2</v>
      </c>
      <c r="F150" s="972">
        <v>2</v>
      </c>
      <c r="G150" s="972">
        <v>2</v>
      </c>
      <c r="H150" s="972">
        <v>2</v>
      </c>
      <c r="I150" s="976"/>
      <c r="J150" s="977"/>
      <c r="K150" s="970">
        <f>J149</f>
        <v>251.51599999999999</v>
      </c>
      <c r="L150" s="970" t="s">
        <v>2919</v>
      </c>
      <c r="M150" s="970" t="s">
        <v>1009</v>
      </c>
      <c r="N150" s="970"/>
      <c r="O150" s="970"/>
      <c r="P150" s="970"/>
      <c r="Q150" s="973"/>
      <c r="R150" s="974"/>
    </row>
    <row r="151" spans="1:18" ht="30" customHeight="1">
      <c r="A151" s="969"/>
      <c r="B151" s="972"/>
      <c r="C151" s="972"/>
      <c r="D151" s="979"/>
      <c r="E151" s="972"/>
      <c r="F151" s="972"/>
      <c r="G151" s="972"/>
      <c r="H151" s="972"/>
      <c r="I151" s="976"/>
      <c r="J151" s="977">
        <v>445.12599999999998</v>
      </c>
      <c r="K151" s="970"/>
      <c r="L151" s="970"/>
      <c r="M151" s="970"/>
      <c r="N151" s="970"/>
      <c r="O151" s="970"/>
      <c r="P151" s="970"/>
      <c r="Q151" s="973"/>
      <c r="R151" s="974"/>
    </row>
    <row r="152" spans="1:18" ht="30" customHeight="1">
      <c r="A152" s="1016">
        <f>A150+1</f>
        <v>73</v>
      </c>
      <c r="B152" s="972" t="s">
        <v>2942</v>
      </c>
      <c r="C152" s="972" t="s">
        <v>1269</v>
      </c>
      <c r="D152" s="1005" t="s">
        <v>2943</v>
      </c>
      <c r="E152" s="972"/>
      <c r="F152" s="972"/>
      <c r="G152" s="972"/>
      <c r="H152" s="972"/>
      <c r="I152" s="976" t="s">
        <v>1765</v>
      </c>
      <c r="J152" s="976"/>
      <c r="K152" s="985"/>
      <c r="L152" s="972" t="s">
        <v>2919</v>
      </c>
      <c r="M152" s="970" t="s">
        <v>1009</v>
      </c>
      <c r="N152" s="970" t="s">
        <v>1009</v>
      </c>
      <c r="O152" s="978" t="s">
        <v>1009</v>
      </c>
      <c r="P152" s="972"/>
      <c r="Q152" s="1019"/>
      <c r="R152" s="1037"/>
    </row>
    <row r="153" spans="1:18" ht="30" customHeight="1">
      <c r="A153" s="969"/>
      <c r="B153" s="972"/>
      <c r="C153" s="972"/>
      <c r="D153" s="979"/>
      <c r="E153" s="972"/>
      <c r="F153" s="972"/>
      <c r="G153" s="972"/>
      <c r="H153" s="972"/>
      <c r="I153" s="976"/>
      <c r="J153" s="977">
        <v>387.7</v>
      </c>
      <c r="K153" s="970"/>
      <c r="L153" s="970"/>
      <c r="M153" s="970"/>
      <c r="N153" s="970"/>
      <c r="O153" s="970"/>
      <c r="P153" s="970"/>
      <c r="Q153" s="1573"/>
      <c r="R153" s="974"/>
    </row>
    <row r="154" spans="1:18" ht="30" customHeight="1">
      <c r="A154" s="1016">
        <f>A152+1</f>
        <v>74</v>
      </c>
      <c r="B154" s="1067" t="s">
        <v>3140</v>
      </c>
      <c r="C154" s="972" t="s">
        <v>249</v>
      </c>
      <c r="D154" s="983"/>
      <c r="E154" s="972"/>
      <c r="F154" s="972"/>
      <c r="G154" s="972"/>
      <c r="H154" s="972"/>
      <c r="I154" s="976" t="s">
        <v>1765</v>
      </c>
      <c r="J154" s="976"/>
      <c r="K154" s="970"/>
      <c r="L154" s="972" t="s">
        <v>2919</v>
      </c>
      <c r="M154" s="970" t="s">
        <v>1009</v>
      </c>
      <c r="N154" s="970" t="s">
        <v>1009</v>
      </c>
      <c r="O154" s="972"/>
      <c r="P154" s="972"/>
      <c r="Q154" s="1576"/>
      <c r="R154" s="1037"/>
    </row>
    <row r="155" spans="1:18" ht="30" customHeight="1">
      <c r="A155" s="969"/>
      <c r="B155" s="972"/>
      <c r="C155" s="972"/>
      <c r="D155" s="979"/>
      <c r="E155" s="972"/>
      <c r="F155" s="972"/>
      <c r="G155" s="972"/>
      <c r="H155" s="972"/>
      <c r="I155" s="976"/>
      <c r="J155" s="977">
        <v>449.34800000000001</v>
      </c>
      <c r="K155" s="970"/>
      <c r="L155" s="970"/>
      <c r="M155" s="970"/>
      <c r="N155" s="970"/>
      <c r="O155" s="970"/>
      <c r="P155" s="970"/>
      <c r="Q155" s="1575"/>
      <c r="R155" s="974"/>
    </row>
    <row r="156" spans="1:18" ht="30" customHeight="1">
      <c r="A156" s="969">
        <f>A154+1</f>
        <v>75</v>
      </c>
      <c r="B156" s="972" t="s">
        <v>2944</v>
      </c>
      <c r="C156" s="972" t="s">
        <v>1277</v>
      </c>
      <c r="D156" s="971" t="s">
        <v>2945</v>
      </c>
      <c r="E156" s="972"/>
      <c r="F156" s="972"/>
      <c r="G156" s="972"/>
      <c r="H156" s="972"/>
      <c r="I156" s="976" t="s">
        <v>1765</v>
      </c>
      <c r="J156" s="977"/>
      <c r="K156" s="970">
        <f>J151+J153+J155</f>
        <v>1282.174</v>
      </c>
      <c r="L156" s="972" t="s">
        <v>2919</v>
      </c>
      <c r="M156" s="970" t="s">
        <v>1009</v>
      </c>
      <c r="N156" s="970" t="s">
        <v>1009</v>
      </c>
      <c r="O156" s="970"/>
      <c r="P156" s="970"/>
      <c r="Q156" s="973"/>
      <c r="R156" s="974"/>
    </row>
    <row r="157" spans="1:18" ht="30" customHeight="1">
      <c r="A157" s="969"/>
      <c r="B157" s="972"/>
      <c r="C157" s="972"/>
      <c r="D157" s="979"/>
      <c r="E157" s="972"/>
      <c r="F157" s="972"/>
      <c r="G157" s="972"/>
      <c r="H157" s="972"/>
      <c r="I157" s="976"/>
      <c r="J157" s="977">
        <v>408.79300000000001</v>
      </c>
      <c r="K157" s="970"/>
      <c r="L157" s="970"/>
      <c r="M157" s="970"/>
      <c r="N157" s="970"/>
      <c r="O157" s="970"/>
      <c r="P157" s="970"/>
      <c r="Q157" s="1573"/>
      <c r="R157" s="974"/>
    </row>
    <row r="158" spans="1:18" ht="30" customHeight="1">
      <c r="A158" s="1016">
        <f>A156+1</f>
        <v>76</v>
      </c>
      <c r="B158" s="1067" t="s">
        <v>3236</v>
      </c>
      <c r="C158" s="972" t="s">
        <v>62</v>
      </c>
      <c r="D158" s="983"/>
      <c r="E158" s="972"/>
      <c r="F158" s="972"/>
      <c r="G158" s="972"/>
      <c r="H158" s="972"/>
      <c r="I158" s="976" t="s">
        <v>1765</v>
      </c>
      <c r="J158" s="976"/>
      <c r="K158" s="985"/>
      <c r="L158" s="972" t="s">
        <v>2919</v>
      </c>
      <c r="M158" s="970" t="s">
        <v>1009</v>
      </c>
      <c r="N158" s="970" t="s">
        <v>1009</v>
      </c>
      <c r="O158" s="972" t="s">
        <v>1009</v>
      </c>
      <c r="P158" s="972"/>
      <c r="Q158" s="1576"/>
      <c r="R158" s="1037"/>
    </row>
    <row r="159" spans="1:18" ht="30" customHeight="1">
      <c r="A159" s="969"/>
      <c r="B159" s="972"/>
      <c r="C159" s="972"/>
      <c r="D159" s="979"/>
      <c r="E159" s="972"/>
      <c r="F159" s="972"/>
      <c r="G159" s="972"/>
      <c r="H159" s="972"/>
      <c r="I159" s="976"/>
      <c r="J159" s="977">
        <v>425.48700000000002</v>
      </c>
      <c r="K159" s="970"/>
      <c r="L159" s="970"/>
      <c r="M159" s="970"/>
      <c r="N159" s="970"/>
      <c r="O159" s="970"/>
      <c r="P159" s="970"/>
      <c r="Q159" s="1575"/>
      <c r="R159" s="974"/>
    </row>
    <row r="160" spans="1:18" ht="30" customHeight="1">
      <c r="A160" s="969">
        <f>A158+1</f>
        <v>77</v>
      </c>
      <c r="B160" s="972" t="s">
        <v>2946</v>
      </c>
      <c r="C160" s="972" t="s">
        <v>1977</v>
      </c>
      <c r="D160" s="971" t="s">
        <v>2947</v>
      </c>
      <c r="E160" s="972"/>
      <c r="F160" s="972"/>
      <c r="G160" s="972"/>
      <c r="H160" s="972"/>
      <c r="I160" s="976" t="s">
        <v>2736</v>
      </c>
      <c r="J160" s="977"/>
      <c r="K160" s="970">
        <f>J157+J159</f>
        <v>834.28</v>
      </c>
      <c r="L160" s="970" t="s">
        <v>2919</v>
      </c>
      <c r="M160" s="970" t="s">
        <v>1009</v>
      </c>
      <c r="N160" s="970" t="s">
        <v>1009</v>
      </c>
      <c r="O160" s="970"/>
      <c r="P160" s="970"/>
      <c r="Q160" s="973"/>
      <c r="R160" s="974"/>
    </row>
    <row r="161" spans="1:18" ht="30" customHeight="1">
      <c r="A161" s="969"/>
      <c r="B161" s="972"/>
      <c r="C161" s="972"/>
      <c r="D161" s="979"/>
      <c r="E161" s="972"/>
      <c r="F161" s="972"/>
      <c r="G161" s="972"/>
      <c r="H161" s="972"/>
      <c r="I161" s="976"/>
      <c r="J161" s="977">
        <v>386.79899999999998</v>
      </c>
      <c r="K161" s="970"/>
      <c r="L161" s="970"/>
      <c r="M161" s="970"/>
      <c r="N161" s="970"/>
      <c r="O161" s="970"/>
      <c r="P161" s="970"/>
      <c r="Q161" s="1573"/>
      <c r="R161" s="974"/>
    </row>
    <row r="162" spans="1:18" ht="30" customHeight="1">
      <c r="A162" s="969">
        <f>A160+1</f>
        <v>78</v>
      </c>
      <c r="B162" s="972" t="s">
        <v>2272</v>
      </c>
      <c r="C162" s="972" t="s">
        <v>62</v>
      </c>
      <c r="D162" s="979"/>
      <c r="E162" s="972"/>
      <c r="F162" s="972"/>
      <c r="G162" s="972"/>
      <c r="H162" s="972"/>
      <c r="I162" s="976"/>
      <c r="J162" s="977"/>
      <c r="K162" s="970"/>
      <c r="L162" s="972" t="s">
        <v>1658</v>
      </c>
      <c r="M162" s="970"/>
      <c r="N162" s="970"/>
      <c r="O162" s="970"/>
      <c r="P162" s="970"/>
      <c r="Q162" s="1574"/>
      <c r="R162" s="974"/>
    </row>
    <row r="163" spans="1:18" ht="30" customHeight="1">
      <c r="A163" s="969"/>
      <c r="B163" s="972"/>
      <c r="C163" s="972"/>
      <c r="D163" s="979"/>
      <c r="E163" s="972"/>
      <c r="F163" s="972"/>
      <c r="G163" s="972"/>
      <c r="H163" s="972"/>
      <c r="I163" s="976"/>
      <c r="J163" s="977">
        <v>380.77</v>
      </c>
      <c r="K163" s="970"/>
      <c r="L163" s="970"/>
      <c r="M163" s="970"/>
      <c r="N163" s="970"/>
      <c r="O163" s="970"/>
      <c r="P163" s="970"/>
      <c r="Q163" s="1574"/>
      <c r="R163" s="974"/>
    </row>
    <row r="164" spans="1:18" ht="30" customHeight="1">
      <c r="A164" s="969">
        <f>A162+1</f>
        <v>79</v>
      </c>
      <c r="B164" s="1067" t="s">
        <v>3247</v>
      </c>
      <c r="C164" s="972" t="s">
        <v>62</v>
      </c>
      <c r="D164" s="979"/>
      <c r="E164" s="972"/>
      <c r="F164" s="972"/>
      <c r="G164" s="972"/>
      <c r="H164" s="972"/>
      <c r="I164" s="976" t="s">
        <v>1765</v>
      </c>
      <c r="J164" s="977"/>
      <c r="K164" s="970"/>
      <c r="L164" s="972" t="s">
        <v>2919</v>
      </c>
      <c r="M164" s="970" t="s">
        <v>1009</v>
      </c>
      <c r="N164" s="970" t="s">
        <v>1009</v>
      </c>
      <c r="O164" s="978" t="s">
        <v>1009</v>
      </c>
      <c r="P164" s="970"/>
      <c r="Q164" s="1574"/>
      <c r="R164" s="974"/>
    </row>
    <row r="165" spans="1:18" ht="30" customHeight="1">
      <c r="A165" s="969"/>
      <c r="B165" s="972"/>
      <c r="C165" s="972"/>
      <c r="D165" s="979"/>
      <c r="E165" s="972"/>
      <c r="F165" s="972"/>
      <c r="G165" s="972"/>
      <c r="H165" s="972"/>
      <c r="I165" s="976"/>
      <c r="J165" s="977">
        <v>421.31400000000002</v>
      </c>
      <c r="K165" s="970"/>
      <c r="L165" s="970"/>
      <c r="M165" s="970"/>
      <c r="N165" s="970"/>
      <c r="O165" s="970"/>
      <c r="P165" s="970"/>
      <c r="Q165" s="1575"/>
      <c r="R165" s="974"/>
    </row>
    <row r="166" spans="1:18" ht="30" customHeight="1">
      <c r="A166" s="969">
        <f>A164+1</f>
        <v>80</v>
      </c>
      <c r="B166" s="972" t="s">
        <v>2948</v>
      </c>
      <c r="C166" s="972" t="s">
        <v>2197</v>
      </c>
      <c r="D166" s="971" t="s">
        <v>2949</v>
      </c>
      <c r="E166" s="972"/>
      <c r="F166" s="972"/>
      <c r="G166" s="972"/>
      <c r="H166" s="972"/>
      <c r="I166" s="976" t="s">
        <v>2736</v>
      </c>
      <c r="J166" s="977"/>
      <c r="K166" s="970">
        <f>J161+J163+J165</f>
        <v>1188.883</v>
      </c>
      <c r="L166" s="970" t="s">
        <v>2919</v>
      </c>
      <c r="M166" s="970" t="s">
        <v>1009</v>
      </c>
      <c r="N166" s="970"/>
      <c r="O166" s="970"/>
      <c r="P166" s="970"/>
      <c r="Q166" s="973"/>
      <c r="R166" s="974"/>
    </row>
    <row r="167" spans="1:18" ht="57.5" customHeight="1">
      <c r="A167" s="969"/>
      <c r="B167" s="972"/>
      <c r="C167" s="972"/>
      <c r="D167" s="983"/>
      <c r="E167" s="972"/>
      <c r="F167" s="972"/>
      <c r="G167" s="972"/>
      <c r="H167" s="972"/>
      <c r="I167" s="976"/>
      <c r="J167" s="977">
        <v>211.06299999999999</v>
      </c>
      <c r="K167" s="970"/>
      <c r="L167" s="970"/>
      <c r="M167" s="970"/>
      <c r="N167" s="970"/>
      <c r="O167" s="970"/>
      <c r="P167" s="970"/>
      <c r="Q167" s="973"/>
      <c r="R167" s="984" t="s">
        <v>2950</v>
      </c>
    </row>
    <row r="168" spans="1:18" ht="30" customHeight="1">
      <c r="A168" s="969">
        <f>A166+1</f>
        <v>81</v>
      </c>
      <c r="B168" s="972" t="s">
        <v>2951</v>
      </c>
      <c r="C168" s="972" t="s">
        <v>1988</v>
      </c>
      <c r="D168" s="971" t="s">
        <v>2311</v>
      </c>
      <c r="E168" s="972"/>
      <c r="F168" s="972"/>
      <c r="G168" s="972"/>
      <c r="H168" s="972"/>
      <c r="I168" s="976" t="s">
        <v>2736</v>
      </c>
      <c r="J168" s="977"/>
      <c r="K168" s="970"/>
      <c r="L168" s="970" t="s">
        <v>2919</v>
      </c>
      <c r="M168" s="970" t="s">
        <v>1009</v>
      </c>
      <c r="N168" s="970"/>
      <c r="O168" s="970"/>
      <c r="P168" s="970"/>
      <c r="Q168" s="973"/>
      <c r="R168" s="974"/>
    </row>
    <row r="169" spans="1:18" ht="30" customHeight="1">
      <c r="A169" s="969"/>
      <c r="B169" s="972"/>
      <c r="C169" s="972"/>
      <c r="D169" s="979"/>
      <c r="E169" s="972"/>
      <c r="F169" s="972"/>
      <c r="G169" s="972"/>
      <c r="H169" s="972"/>
      <c r="I169" s="976"/>
      <c r="J169" s="977">
        <v>385.10300000000001</v>
      </c>
      <c r="K169" s="970"/>
      <c r="L169" s="970"/>
      <c r="M169" s="970"/>
      <c r="N169" s="970"/>
      <c r="O169" s="970"/>
      <c r="P169" s="970"/>
      <c r="Q169" s="1573"/>
      <c r="R169" s="974"/>
    </row>
    <row r="170" spans="1:18" ht="30" customHeight="1">
      <c r="A170" s="969">
        <f>A168+1</f>
        <v>82</v>
      </c>
      <c r="B170" s="1067" t="s">
        <v>2851</v>
      </c>
      <c r="C170" s="972" t="s">
        <v>62</v>
      </c>
      <c r="D170" s="979"/>
      <c r="E170" s="972"/>
      <c r="F170" s="972"/>
      <c r="G170" s="972"/>
      <c r="H170" s="972"/>
      <c r="I170" s="976" t="s">
        <v>1765</v>
      </c>
      <c r="J170" s="977"/>
      <c r="K170" s="970"/>
      <c r="L170" s="970" t="s">
        <v>2919</v>
      </c>
      <c r="M170" s="970" t="s">
        <v>1009</v>
      </c>
      <c r="N170" s="970" t="s">
        <v>1009</v>
      </c>
      <c r="O170" s="978" t="s">
        <v>1009</v>
      </c>
      <c r="P170" s="970"/>
      <c r="Q170" s="1574"/>
      <c r="R170" s="974"/>
    </row>
    <row r="171" spans="1:18" ht="30" customHeight="1">
      <c r="A171" s="969"/>
      <c r="B171" s="972"/>
      <c r="C171" s="972"/>
      <c r="D171" s="979"/>
      <c r="E171" s="972"/>
      <c r="F171" s="972"/>
      <c r="G171" s="972"/>
      <c r="H171" s="972"/>
      <c r="I171" s="976"/>
      <c r="J171" s="977">
        <v>233.126</v>
      </c>
      <c r="K171" s="970"/>
      <c r="L171" s="970"/>
      <c r="M171" s="970"/>
      <c r="N171" s="970"/>
      <c r="O171" s="970"/>
      <c r="P171" s="970"/>
      <c r="Q171" s="1575"/>
      <c r="R171" s="974"/>
    </row>
    <row r="172" spans="1:18" ht="30" customHeight="1">
      <c r="A172" s="969">
        <f>A170+1</f>
        <v>83</v>
      </c>
      <c r="B172" s="972" t="s">
        <v>2867</v>
      </c>
      <c r="C172" s="972" t="s">
        <v>1319</v>
      </c>
      <c r="D172" s="971" t="s">
        <v>2312</v>
      </c>
      <c r="E172" s="972"/>
      <c r="F172" s="972"/>
      <c r="G172" s="972"/>
      <c r="H172" s="972"/>
      <c r="I172" s="976" t="s">
        <v>1765</v>
      </c>
      <c r="J172" s="977"/>
      <c r="K172" s="970"/>
      <c r="L172" s="970" t="s">
        <v>2919</v>
      </c>
      <c r="M172" s="970" t="s">
        <v>1009</v>
      </c>
      <c r="N172" s="970" t="s">
        <v>1009</v>
      </c>
      <c r="O172" s="970" t="s">
        <v>1009</v>
      </c>
      <c r="P172" s="970"/>
      <c r="Q172" s="973"/>
      <c r="R172" s="974"/>
    </row>
    <row r="173" spans="1:18" ht="30" customHeight="1">
      <c r="A173" s="969"/>
      <c r="B173" s="972"/>
      <c r="C173" s="972"/>
      <c r="D173" s="979"/>
      <c r="E173" s="972"/>
      <c r="F173" s="972"/>
      <c r="G173" s="972"/>
      <c r="H173" s="972"/>
      <c r="I173" s="976"/>
      <c r="J173" s="977">
        <v>411.24</v>
      </c>
      <c r="K173" s="970"/>
      <c r="L173" s="970"/>
      <c r="M173" s="970"/>
      <c r="N173" s="970"/>
      <c r="O173" s="970"/>
      <c r="P173" s="970"/>
      <c r="Q173" s="1573"/>
      <c r="R173" s="974"/>
    </row>
    <row r="174" spans="1:18" ht="30" customHeight="1">
      <c r="A174" s="1016">
        <f>A172+1</f>
        <v>84</v>
      </c>
      <c r="B174" s="1067" t="s">
        <v>2724</v>
      </c>
      <c r="C174" s="972" t="s">
        <v>62</v>
      </c>
      <c r="D174" s="983"/>
      <c r="E174" s="972"/>
      <c r="F174" s="972"/>
      <c r="G174" s="972"/>
      <c r="H174" s="972"/>
      <c r="I174" s="976" t="s">
        <v>1765</v>
      </c>
      <c r="J174" s="976"/>
      <c r="K174" s="985">
        <f>J167+J169+J171+J173</f>
        <v>1240.5319999999999</v>
      </c>
      <c r="L174" s="972" t="s">
        <v>2919</v>
      </c>
      <c r="M174" s="970" t="s">
        <v>1009</v>
      </c>
      <c r="N174" s="972"/>
      <c r="O174" s="978" t="s">
        <v>1009</v>
      </c>
      <c r="P174" s="972"/>
      <c r="Q174" s="1576"/>
      <c r="R174" s="1037"/>
    </row>
    <row r="175" spans="1:18" ht="30" customHeight="1">
      <c r="A175" s="969"/>
      <c r="B175" s="972"/>
      <c r="C175" s="972"/>
      <c r="D175" s="979"/>
      <c r="E175" s="972"/>
      <c r="F175" s="972"/>
      <c r="G175" s="972"/>
      <c r="H175" s="972"/>
      <c r="I175" s="976"/>
      <c r="J175" s="977">
        <v>320.97899999999998</v>
      </c>
      <c r="K175" s="970"/>
      <c r="L175" s="970"/>
      <c r="M175" s="970"/>
      <c r="N175" s="970"/>
      <c r="O175" s="970"/>
      <c r="P175" s="970"/>
      <c r="Q175" s="1574"/>
      <c r="R175" s="974"/>
    </row>
    <row r="176" spans="1:18" ht="30" customHeight="1">
      <c r="A176" s="969">
        <f>A174+1</f>
        <v>85</v>
      </c>
      <c r="B176" s="1067" t="s">
        <v>3243</v>
      </c>
      <c r="C176" s="972" t="s">
        <v>76</v>
      </c>
      <c r="D176" s="979"/>
      <c r="E176" s="972"/>
      <c r="F176" s="972"/>
      <c r="G176" s="972"/>
      <c r="H176" s="972"/>
      <c r="I176" s="976" t="s">
        <v>1765</v>
      </c>
      <c r="J176" s="977"/>
      <c r="K176" s="986">
        <f>J175</f>
        <v>320.97899999999998</v>
      </c>
      <c r="L176" s="986" t="s">
        <v>2919</v>
      </c>
      <c r="M176" s="970" t="s">
        <v>1009</v>
      </c>
      <c r="N176" s="970" t="s">
        <v>1009</v>
      </c>
      <c r="O176" s="978" t="s">
        <v>1009</v>
      </c>
      <c r="P176" s="986"/>
      <c r="Q176" s="1574"/>
      <c r="R176" s="987"/>
    </row>
    <row r="177" spans="1:18" ht="30" customHeight="1">
      <c r="A177" s="969"/>
      <c r="B177" s="972"/>
      <c r="C177" s="972"/>
      <c r="D177" s="979"/>
      <c r="E177" s="972"/>
      <c r="F177" s="972"/>
      <c r="G177" s="972"/>
      <c r="H177" s="972"/>
      <c r="I177" s="976"/>
      <c r="J177" s="977">
        <v>448.791</v>
      </c>
      <c r="K177" s="970"/>
      <c r="L177" s="970"/>
      <c r="M177" s="970"/>
      <c r="N177" s="970"/>
      <c r="O177" s="970"/>
      <c r="P177" s="970"/>
      <c r="Q177" s="1575"/>
      <c r="R177" s="974"/>
    </row>
    <row r="178" spans="1:18" ht="30" customHeight="1">
      <c r="A178" s="969">
        <f>A176+1</f>
        <v>86</v>
      </c>
      <c r="B178" s="972" t="s">
        <v>2952</v>
      </c>
      <c r="C178" s="972" t="s">
        <v>1988</v>
      </c>
      <c r="D178" s="971" t="s">
        <v>2313</v>
      </c>
      <c r="E178" s="972"/>
      <c r="F178" s="972"/>
      <c r="G178" s="972"/>
      <c r="H178" s="972"/>
      <c r="I178" s="976" t="s">
        <v>2736</v>
      </c>
      <c r="J178" s="977"/>
      <c r="K178" s="970"/>
      <c r="L178" s="970" t="s">
        <v>2919</v>
      </c>
      <c r="M178" s="970" t="s">
        <v>1009</v>
      </c>
      <c r="N178" s="970" t="s">
        <v>1009</v>
      </c>
      <c r="O178" s="970"/>
      <c r="P178" s="970"/>
      <c r="Q178" s="973"/>
      <c r="R178" s="974"/>
    </row>
    <row r="179" spans="1:18" ht="30" customHeight="1">
      <c r="A179" s="969"/>
      <c r="B179" s="972"/>
      <c r="C179" s="972"/>
      <c r="D179" s="983"/>
      <c r="E179" s="972"/>
      <c r="F179" s="972"/>
      <c r="G179" s="972"/>
      <c r="H179" s="972"/>
      <c r="I179" s="976"/>
      <c r="J179" s="977">
        <v>247.685</v>
      </c>
      <c r="K179" s="970"/>
      <c r="L179" s="970"/>
      <c r="M179" s="970"/>
      <c r="N179" s="970"/>
      <c r="O179" s="970"/>
      <c r="P179" s="970"/>
      <c r="Q179" s="973"/>
      <c r="R179" s="980" t="s">
        <v>2953</v>
      </c>
    </row>
    <row r="180" spans="1:18" ht="30" customHeight="1">
      <c r="A180" s="969">
        <f>A178+1</f>
        <v>87</v>
      </c>
      <c r="B180" s="972" t="s">
        <v>2954</v>
      </c>
      <c r="C180" s="1017" t="s">
        <v>1988</v>
      </c>
      <c r="D180" s="971" t="s">
        <v>2314</v>
      </c>
      <c r="E180" s="972"/>
      <c r="F180" s="972"/>
      <c r="G180" s="972"/>
      <c r="H180" s="972"/>
      <c r="I180" s="976" t="s">
        <v>2736</v>
      </c>
      <c r="J180" s="977"/>
      <c r="K180" s="970"/>
      <c r="L180" s="970" t="s">
        <v>2919</v>
      </c>
      <c r="M180" s="970" t="s">
        <v>1009</v>
      </c>
      <c r="N180" s="970" t="s">
        <v>1009</v>
      </c>
      <c r="O180" s="970"/>
      <c r="P180" s="970"/>
      <c r="Q180" s="973"/>
      <c r="R180" s="974"/>
    </row>
    <row r="181" spans="1:18" ht="30" customHeight="1">
      <c r="A181" s="969"/>
      <c r="B181" s="972"/>
      <c r="C181" s="972"/>
      <c r="D181" s="979"/>
      <c r="E181" s="972"/>
      <c r="F181" s="972"/>
      <c r="G181" s="972"/>
      <c r="H181" s="972"/>
      <c r="I181" s="976"/>
      <c r="J181" s="977">
        <v>360.87799999999999</v>
      </c>
      <c r="K181" s="970"/>
      <c r="L181" s="970"/>
      <c r="M181" s="970"/>
      <c r="N181" s="970"/>
      <c r="O181" s="970"/>
      <c r="P181" s="970"/>
      <c r="Q181" s="1573"/>
      <c r="R181" s="974"/>
    </row>
    <row r="182" spans="1:18" ht="30" customHeight="1">
      <c r="A182" s="969">
        <f>A180+1</f>
        <v>88</v>
      </c>
      <c r="B182" s="1067" t="s">
        <v>2871</v>
      </c>
      <c r="C182" s="972" t="s">
        <v>62</v>
      </c>
      <c r="D182" s="979"/>
      <c r="E182" s="972"/>
      <c r="F182" s="972"/>
      <c r="G182" s="972"/>
      <c r="H182" s="972"/>
      <c r="I182" s="976" t="s">
        <v>1765</v>
      </c>
      <c r="J182" s="977"/>
      <c r="K182" s="970"/>
      <c r="L182" s="970" t="s">
        <v>2919</v>
      </c>
      <c r="M182" s="970" t="s">
        <v>1009</v>
      </c>
      <c r="N182" s="970" t="s">
        <v>1009</v>
      </c>
      <c r="O182" s="978" t="s">
        <v>1009</v>
      </c>
      <c r="P182" s="970"/>
      <c r="Q182" s="1574"/>
      <c r="R182" s="974"/>
    </row>
    <row r="183" spans="1:18" ht="30" customHeight="1">
      <c r="A183" s="969"/>
      <c r="B183" s="972"/>
      <c r="C183" s="972"/>
      <c r="D183" s="979"/>
      <c r="E183" s="972"/>
      <c r="F183" s="972"/>
      <c r="G183" s="972"/>
      <c r="H183" s="972"/>
      <c r="I183" s="976"/>
      <c r="J183" s="977">
        <v>415.64299999999997</v>
      </c>
      <c r="K183" s="970"/>
      <c r="L183" s="970"/>
      <c r="M183" s="970"/>
      <c r="N183" s="970"/>
      <c r="O183" s="970"/>
      <c r="P183" s="970"/>
      <c r="Q183" s="1574"/>
      <c r="R183" s="974"/>
    </row>
    <row r="184" spans="1:18" ht="30" customHeight="1">
      <c r="A184" s="969">
        <f>A182+1</f>
        <v>89</v>
      </c>
      <c r="B184" s="972" t="s">
        <v>2847</v>
      </c>
      <c r="C184" s="972" t="s">
        <v>53</v>
      </c>
      <c r="D184" s="979"/>
      <c r="E184" s="972"/>
      <c r="F184" s="972"/>
      <c r="G184" s="972"/>
      <c r="H184" s="972"/>
      <c r="I184" s="976" t="s">
        <v>1765</v>
      </c>
      <c r="J184" s="977"/>
      <c r="K184" s="986">
        <f>J177+J179+J181+J183</f>
        <v>1472.9970000000001</v>
      </c>
      <c r="L184" s="970" t="s">
        <v>2919</v>
      </c>
      <c r="M184" s="970" t="s">
        <v>1009</v>
      </c>
      <c r="N184" s="986"/>
      <c r="O184" s="978" t="s">
        <v>1009</v>
      </c>
      <c r="P184" s="986"/>
      <c r="Q184" s="1574"/>
      <c r="R184" s="987"/>
    </row>
    <row r="185" spans="1:18" ht="30" customHeight="1">
      <c r="A185" s="969"/>
      <c r="B185" s="972"/>
      <c r="C185" s="972"/>
      <c r="D185" s="979"/>
      <c r="E185" s="972"/>
      <c r="F185" s="972"/>
      <c r="G185" s="972"/>
      <c r="H185" s="972"/>
      <c r="I185" s="976"/>
      <c r="J185" s="977">
        <v>379.75099999999998</v>
      </c>
      <c r="K185" s="970"/>
      <c r="L185" s="970"/>
      <c r="M185" s="970"/>
      <c r="N185" s="970"/>
      <c r="O185" s="970"/>
      <c r="P185" s="970"/>
      <c r="Q185" s="1574"/>
      <c r="R185" s="974"/>
    </row>
    <row r="186" spans="1:18" ht="30" customHeight="1">
      <c r="A186" s="969">
        <f>A184+1</f>
        <v>90</v>
      </c>
      <c r="B186" s="972" t="s">
        <v>2842</v>
      </c>
      <c r="C186" s="972" t="s">
        <v>76</v>
      </c>
      <c r="D186" s="979"/>
      <c r="E186" s="972"/>
      <c r="F186" s="972"/>
      <c r="G186" s="972"/>
      <c r="H186" s="972"/>
      <c r="I186" s="976" t="s">
        <v>1765</v>
      </c>
      <c r="J186" s="977"/>
      <c r="K186" s="970"/>
      <c r="L186" s="970" t="s">
        <v>2919</v>
      </c>
      <c r="M186" s="970" t="s">
        <v>1009</v>
      </c>
      <c r="N186" s="970"/>
      <c r="O186" s="978" t="s">
        <v>1009</v>
      </c>
      <c r="P186" s="970"/>
      <c r="Q186" s="1574"/>
      <c r="R186" s="974"/>
    </row>
    <row r="187" spans="1:18" ht="30" customHeight="1">
      <c r="A187" s="969"/>
      <c r="B187" s="972"/>
      <c r="C187" s="972"/>
      <c r="D187" s="979"/>
      <c r="E187" s="972"/>
      <c r="F187" s="972"/>
      <c r="G187" s="972"/>
      <c r="H187" s="972"/>
      <c r="I187" s="976"/>
      <c r="J187" s="977">
        <v>298.88400000000001</v>
      </c>
      <c r="K187" s="970"/>
      <c r="L187" s="970"/>
      <c r="M187" s="970"/>
      <c r="N187" s="970"/>
      <c r="O187" s="970"/>
      <c r="P187" s="970"/>
      <c r="Q187" s="1575"/>
      <c r="R187" s="974"/>
    </row>
    <row r="188" spans="1:18" ht="30" customHeight="1">
      <c r="A188" s="969">
        <f>A186+1</f>
        <v>91</v>
      </c>
      <c r="B188" s="972" t="s">
        <v>2955</v>
      </c>
      <c r="C188" s="972" t="s">
        <v>1277</v>
      </c>
      <c r="D188" s="971" t="s">
        <v>2956</v>
      </c>
      <c r="E188" s="972"/>
      <c r="F188" s="972"/>
      <c r="G188" s="972"/>
      <c r="H188" s="972"/>
      <c r="I188" s="976" t="s">
        <v>1765</v>
      </c>
      <c r="J188" s="977"/>
      <c r="K188" s="970"/>
      <c r="L188" s="970" t="s">
        <v>2919</v>
      </c>
      <c r="M188" s="970" t="s">
        <v>1009</v>
      </c>
      <c r="N188" s="970" t="s">
        <v>1009</v>
      </c>
      <c r="O188" s="978" t="s">
        <v>1009</v>
      </c>
      <c r="P188" s="970"/>
      <c r="Q188" s="973"/>
      <c r="R188" s="974"/>
    </row>
    <row r="189" spans="1:18" ht="30" customHeight="1">
      <c r="A189" s="969"/>
      <c r="B189" s="972"/>
      <c r="C189" s="972"/>
      <c r="D189" s="979"/>
      <c r="E189" s="972"/>
      <c r="F189" s="972"/>
      <c r="G189" s="972"/>
      <c r="H189" s="972"/>
      <c r="I189" s="976"/>
      <c r="J189" s="977">
        <v>314.66399999999999</v>
      </c>
      <c r="K189" s="970"/>
      <c r="L189" s="970"/>
      <c r="M189" s="970"/>
      <c r="N189" s="970"/>
      <c r="O189" s="970"/>
      <c r="P189" s="970"/>
      <c r="Q189" s="1573"/>
      <c r="R189" s="974"/>
    </row>
    <row r="190" spans="1:18" ht="30" customHeight="1">
      <c r="A190" s="969">
        <f>A188+1</f>
        <v>92</v>
      </c>
      <c r="B190" s="1067" t="s">
        <v>2852</v>
      </c>
      <c r="C190" s="972" t="s">
        <v>76</v>
      </c>
      <c r="D190" s="979"/>
      <c r="E190" s="972"/>
      <c r="F190" s="972"/>
      <c r="G190" s="972"/>
      <c r="H190" s="972"/>
      <c r="I190" s="976" t="s">
        <v>1765</v>
      </c>
      <c r="J190" s="977"/>
      <c r="K190" s="970"/>
      <c r="L190" s="970" t="s">
        <v>2919</v>
      </c>
      <c r="M190" s="970" t="s">
        <v>1009</v>
      </c>
      <c r="N190" s="970" t="s">
        <v>1009</v>
      </c>
      <c r="O190" s="978" t="s">
        <v>1009</v>
      </c>
      <c r="P190" s="970"/>
      <c r="Q190" s="1574"/>
      <c r="R190" s="974"/>
    </row>
    <row r="191" spans="1:18" ht="30" customHeight="1">
      <c r="A191" s="969"/>
      <c r="B191" s="972"/>
      <c r="C191" s="972"/>
      <c r="D191" s="979"/>
      <c r="E191" s="972"/>
      <c r="F191" s="972"/>
      <c r="G191" s="972"/>
      <c r="H191" s="972"/>
      <c r="I191" s="976"/>
      <c r="J191" s="977">
        <v>301.75700000000001</v>
      </c>
      <c r="K191" s="970"/>
      <c r="L191" s="970"/>
      <c r="M191" s="970"/>
      <c r="N191" s="970"/>
      <c r="O191" s="970"/>
      <c r="P191" s="970"/>
      <c r="Q191" s="1574"/>
      <c r="R191" s="974"/>
    </row>
    <row r="192" spans="1:18" ht="30" customHeight="1">
      <c r="A192" s="969">
        <f>A190+1</f>
        <v>93</v>
      </c>
      <c r="B192" s="972" t="s">
        <v>2859</v>
      </c>
      <c r="C192" s="972" t="s">
        <v>76</v>
      </c>
      <c r="D192" s="979"/>
      <c r="E192" s="972"/>
      <c r="F192" s="972"/>
      <c r="G192" s="972"/>
      <c r="H192" s="972"/>
      <c r="I192" s="976" t="s">
        <v>1765</v>
      </c>
      <c r="J192" s="977"/>
      <c r="K192" s="970"/>
      <c r="L192" s="970" t="s">
        <v>2919</v>
      </c>
      <c r="M192" s="970" t="s">
        <v>1009</v>
      </c>
      <c r="N192" s="970"/>
      <c r="O192" s="978" t="s">
        <v>1009</v>
      </c>
      <c r="P192" s="970"/>
      <c r="Q192" s="1574"/>
      <c r="R192" s="974"/>
    </row>
    <row r="193" spans="1:18" ht="30" customHeight="1">
      <c r="A193" s="969"/>
      <c r="B193" s="972"/>
      <c r="C193" s="972"/>
      <c r="D193" s="979"/>
      <c r="E193" s="972"/>
      <c r="F193" s="972"/>
      <c r="G193" s="972"/>
      <c r="H193" s="972"/>
      <c r="I193" s="976"/>
      <c r="J193" s="977">
        <v>272.654</v>
      </c>
      <c r="K193" s="970"/>
      <c r="L193" s="970"/>
      <c r="M193" s="970"/>
      <c r="N193" s="970"/>
      <c r="O193" s="970"/>
      <c r="P193" s="970"/>
      <c r="Q193" s="1575"/>
      <c r="R193" s="974"/>
    </row>
    <row r="194" spans="1:18" ht="30" customHeight="1">
      <c r="A194" s="969">
        <f>A192+1</f>
        <v>94</v>
      </c>
      <c r="B194" s="972" t="s">
        <v>2957</v>
      </c>
      <c r="C194" s="972" t="s">
        <v>1269</v>
      </c>
      <c r="D194" s="971" t="s">
        <v>2316</v>
      </c>
      <c r="E194" s="972"/>
      <c r="F194" s="972"/>
      <c r="G194" s="972"/>
      <c r="H194" s="972"/>
      <c r="I194" s="976" t="s">
        <v>1765</v>
      </c>
      <c r="J194" s="977"/>
      <c r="K194" s="986">
        <f>J185+J187+J189+J191+J193</f>
        <v>1567.71</v>
      </c>
      <c r="L194" s="986" t="s">
        <v>2919</v>
      </c>
      <c r="M194" s="970" t="s">
        <v>1009</v>
      </c>
      <c r="N194" s="970" t="s">
        <v>1009</v>
      </c>
      <c r="O194" s="978" t="s">
        <v>1009</v>
      </c>
      <c r="P194" s="986"/>
      <c r="Q194" s="973"/>
      <c r="R194" s="987"/>
    </row>
    <row r="195" spans="1:18" ht="30" customHeight="1">
      <c r="A195" s="969"/>
      <c r="B195" s="972"/>
      <c r="C195" s="972"/>
      <c r="D195" s="979"/>
      <c r="E195" s="972"/>
      <c r="F195" s="972"/>
      <c r="G195" s="972"/>
      <c r="H195" s="972"/>
      <c r="I195" s="976"/>
      <c r="J195" s="977">
        <v>411.54199999999997</v>
      </c>
      <c r="K195" s="970"/>
      <c r="L195" s="970"/>
      <c r="M195" s="970"/>
      <c r="N195" s="970"/>
      <c r="O195" s="970"/>
      <c r="P195" s="970"/>
      <c r="Q195" s="973"/>
      <c r="R195" s="974"/>
    </row>
    <row r="196" spans="1:18" ht="30" customHeight="1">
      <c r="A196" s="969">
        <f>A194+1</f>
        <v>95</v>
      </c>
      <c r="B196" s="972" t="s">
        <v>2958</v>
      </c>
      <c r="C196" s="972" t="s">
        <v>1361</v>
      </c>
      <c r="D196" s="971" t="s">
        <v>2959</v>
      </c>
      <c r="E196" s="972"/>
      <c r="F196" s="972"/>
      <c r="G196" s="972"/>
      <c r="H196" s="972"/>
      <c r="I196" s="976" t="s">
        <v>1765</v>
      </c>
      <c r="J196" s="977"/>
      <c r="K196" s="970"/>
      <c r="L196" s="970" t="s">
        <v>2919</v>
      </c>
      <c r="M196" s="970" t="s">
        <v>1009</v>
      </c>
      <c r="N196" s="970" t="s">
        <v>1009</v>
      </c>
      <c r="O196" s="978" t="s">
        <v>1009</v>
      </c>
      <c r="P196" s="970"/>
      <c r="Q196" s="973"/>
      <c r="R196" s="974"/>
    </row>
    <row r="197" spans="1:18" ht="30" customHeight="1">
      <c r="A197" s="969"/>
      <c r="B197" s="972"/>
      <c r="C197" s="972"/>
      <c r="D197" s="979"/>
      <c r="E197" s="972"/>
      <c r="F197" s="972"/>
      <c r="G197" s="972"/>
      <c r="H197" s="972"/>
      <c r="I197" s="976"/>
      <c r="J197" s="977">
        <v>375.05399999999997</v>
      </c>
      <c r="K197" s="970"/>
      <c r="L197" s="970"/>
      <c r="M197" s="970"/>
      <c r="N197" s="970"/>
      <c r="O197" s="970"/>
      <c r="P197" s="970"/>
      <c r="Q197" s="1573"/>
      <c r="R197" s="974"/>
    </row>
    <row r="198" spans="1:18" ht="30" customHeight="1">
      <c r="A198" s="969">
        <f>A196+1</f>
        <v>96</v>
      </c>
      <c r="B198" s="1067" t="s">
        <v>3091</v>
      </c>
      <c r="C198" s="972" t="s">
        <v>76</v>
      </c>
      <c r="D198" s="979"/>
      <c r="E198" s="972"/>
      <c r="F198" s="972"/>
      <c r="G198" s="972"/>
      <c r="H198" s="972"/>
      <c r="I198" s="976" t="s">
        <v>1765</v>
      </c>
      <c r="J198" s="977"/>
      <c r="K198" s="970"/>
      <c r="L198" s="970" t="s">
        <v>2919</v>
      </c>
      <c r="M198" s="970" t="s">
        <v>1009</v>
      </c>
      <c r="N198" s="970" t="s">
        <v>1009</v>
      </c>
      <c r="O198" s="978" t="s">
        <v>1009</v>
      </c>
      <c r="P198" s="970"/>
      <c r="Q198" s="1574"/>
      <c r="R198" s="974"/>
    </row>
    <row r="199" spans="1:18" ht="30" customHeight="1">
      <c r="A199" s="969"/>
      <c r="B199" s="972"/>
      <c r="C199" s="972"/>
      <c r="D199" s="979"/>
      <c r="E199" s="972"/>
      <c r="F199" s="972"/>
      <c r="G199" s="972"/>
      <c r="H199" s="972"/>
      <c r="I199" s="976"/>
      <c r="J199" s="977">
        <v>357.80099999999999</v>
      </c>
      <c r="K199" s="970"/>
      <c r="L199" s="970"/>
      <c r="M199" s="970"/>
      <c r="N199" s="970"/>
      <c r="O199" s="970"/>
      <c r="P199" s="970"/>
      <c r="Q199" s="1574"/>
      <c r="R199" s="974"/>
    </row>
    <row r="200" spans="1:18" ht="30" customHeight="1">
      <c r="A200" s="969">
        <f>A198+1</f>
        <v>97</v>
      </c>
      <c r="B200" s="1067" t="s">
        <v>2858</v>
      </c>
      <c r="C200" s="972" t="s">
        <v>76</v>
      </c>
      <c r="D200" s="979"/>
      <c r="E200" s="972"/>
      <c r="F200" s="972"/>
      <c r="G200" s="972"/>
      <c r="H200" s="972"/>
      <c r="I200" s="976" t="s">
        <v>1765</v>
      </c>
      <c r="J200" s="977"/>
      <c r="K200" s="970"/>
      <c r="L200" s="970" t="s">
        <v>2919</v>
      </c>
      <c r="M200" s="970" t="s">
        <v>1009</v>
      </c>
      <c r="N200" s="970" t="s">
        <v>1009</v>
      </c>
      <c r="O200" s="978" t="s">
        <v>1009</v>
      </c>
      <c r="P200" s="970"/>
      <c r="Q200" s="1574"/>
      <c r="R200" s="974"/>
    </row>
    <row r="201" spans="1:18" ht="30" customHeight="1">
      <c r="A201" s="969"/>
      <c r="B201" s="972"/>
      <c r="C201" s="972"/>
      <c r="D201" s="979"/>
      <c r="E201" s="972"/>
      <c r="F201" s="972"/>
      <c r="G201" s="972"/>
      <c r="H201" s="972"/>
      <c r="I201" s="976"/>
      <c r="J201" s="977">
        <v>338.209</v>
      </c>
      <c r="K201" s="970"/>
      <c r="L201" s="970"/>
      <c r="M201" s="970"/>
      <c r="N201" s="970"/>
      <c r="O201" s="970"/>
      <c r="P201" s="970"/>
      <c r="Q201" s="1574"/>
      <c r="R201" s="974"/>
    </row>
    <row r="202" spans="1:18" ht="30" customHeight="1">
      <c r="A202" s="969">
        <f>A200+1</f>
        <v>98</v>
      </c>
      <c r="B202" s="1067" t="s">
        <v>2869</v>
      </c>
      <c r="C202" s="972" t="s">
        <v>76</v>
      </c>
      <c r="D202" s="979"/>
      <c r="E202" s="972"/>
      <c r="F202" s="972"/>
      <c r="G202" s="972"/>
      <c r="H202" s="972"/>
      <c r="I202" s="976" t="s">
        <v>1765</v>
      </c>
      <c r="J202" s="977"/>
      <c r="K202" s="986">
        <f>J195+J197+J199+J201</f>
        <v>1482.606</v>
      </c>
      <c r="L202" s="970" t="s">
        <v>2919</v>
      </c>
      <c r="M202" s="970" t="s">
        <v>1009</v>
      </c>
      <c r="N202" s="970" t="s">
        <v>1009</v>
      </c>
      <c r="O202" s="978" t="s">
        <v>1009</v>
      </c>
      <c r="P202" s="986"/>
      <c r="Q202" s="1574"/>
      <c r="R202" s="987"/>
    </row>
    <row r="203" spans="1:18" ht="30" customHeight="1">
      <c r="A203" s="969"/>
      <c r="B203" s="972"/>
      <c r="C203" s="972"/>
      <c r="D203" s="979"/>
      <c r="E203" s="972"/>
      <c r="F203" s="972"/>
      <c r="G203" s="972"/>
      <c r="H203" s="972"/>
      <c r="I203" s="976"/>
      <c r="J203" s="977">
        <v>358.79300000000001</v>
      </c>
      <c r="K203" s="970"/>
      <c r="L203" s="970"/>
      <c r="M203" s="970"/>
      <c r="N203" s="970"/>
      <c r="O203" s="970"/>
      <c r="P203" s="970"/>
      <c r="Q203" s="1574"/>
      <c r="R203" s="974"/>
    </row>
    <row r="204" spans="1:18" ht="30" customHeight="1">
      <c r="A204" s="969">
        <f>A202+1</f>
        <v>99</v>
      </c>
      <c r="B204" s="1067" t="s">
        <v>3094</v>
      </c>
      <c r="C204" s="972" t="s">
        <v>76</v>
      </c>
      <c r="D204" s="979"/>
      <c r="E204" s="972"/>
      <c r="F204" s="972"/>
      <c r="G204" s="972"/>
      <c r="H204" s="972"/>
      <c r="I204" s="976" t="s">
        <v>1765</v>
      </c>
      <c r="J204" s="977"/>
      <c r="K204" s="970">
        <f>J193+J195+J197+J199+J201+J203</f>
        <v>2114.0529999999999</v>
      </c>
      <c r="L204" s="970" t="s">
        <v>2919</v>
      </c>
      <c r="M204" s="970" t="s">
        <v>1009</v>
      </c>
      <c r="N204" s="970" t="s">
        <v>1009</v>
      </c>
      <c r="O204" s="978" t="s">
        <v>1009</v>
      </c>
      <c r="P204" s="970"/>
      <c r="Q204" s="1574"/>
      <c r="R204" s="974"/>
    </row>
    <row r="205" spans="1:18" ht="30" customHeight="1">
      <c r="A205" s="969"/>
      <c r="B205" s="972"/>
      <c r="C205" s="972"/>
      <c r="D205" s="979"/>
      <c r="E205" s="972"/>
      <c r="F205" s="972"/>
      <c r="G205" s="972"/>
      <c r="H205" s="972"/>
      <c r="I205" s="976"/>
      <c r="J205" s="977">
        <v>321.16199999999998</v>
      </c>
      <c r="K205" s="970"/>
      <c r="L205" s="970"/>
      <c r="M205" s="970"/>
      <c r="N205" s="970"/>
      <c r="O205" s="970"/>
      <c r="P205" s="970"/>
      <c r="Q205" s="1575"/>
      <c r="R205" s="974"/>
    </row>
    <row r="206" spans="1:18" ht="30" customHeight="1">
      <c r="A206" s="969">
        <f>A204+1</f>
        <v>100</v>
      </c>
      <c r="B206" s="972" t="s">
        <v>2960</v>
      </c>
      <c r="C206" s="972" t="s">
        <v>1277</v>
      </c>
      <c r="D206" s="971" t="s">
        <v>2961</v>
      </c>
      <c r="E206" s="972"/>
      <c r="F206" s="972"/>
      <c r="G206" s="972"/>
      <c r="H206" s="972"/>
      <c r="I206" s="976" t="s">
        <v>1765</v>
      </c>
      <c r="J206" s="977"/>
      <c r="K206" s="970"/>
      <c r="L206" s="970" t="s">
        <v>2919</v>
      </c>
      <c r="M206" s="970" t="s">
        <v>1009</v>
      </c>
      <c r="N206" s="970" t="s">
        <v>1009</v>
      </c>
      <c r="O206" s="978" t="s">
        <v>1009</v>
      </c>
      <c r="P206" s="970"/>
      <c r="Q206" s="973"/>
      <c r="R206" s="974"/>
    </row>
    <row r="207" spans="1:18" ht="30" customHeight="1">
      <c r="A207" s="969"/>
      <c r="B207" s="972"/>
      <c r="C207" s="972"/>
      <c r="D207" s="979"/>
      <c r="E207" s="972"/>
      <c r="F207" s="972"/>
      <c r="G207" s="972"/>
      <c r="H207" s="972"/>
      <c r="I207" s="976"/>
      <c r="J207" s="977">
        <v>243.93600000000001</v>
      </c>
      <c r="K207" s="970"/>
      <c r="L207" s="970"/>
      <c r="M207" s="970"/>
      <c r="N207" s="970"/>
      <c r="O207" s="970"/>
      <c r="P207" s="970"/>
      <c r="Q207" s="973"/>
      <c r="R207" s="974"/>
    </row>
    <row r="208" spans="1:18" ht="30" customHeight="1">
      <c r="A208" s="969">
        <f>A206+1</f>
        <v>101</v>
      </c>
      <c r="B208" s="972" t="s">
        <v>2389</v>
      </c>
      <c r="C208" s="972" t="s">
        <v>1995</v>
      </c>
      <c r="D208" s="971" t="s">
        <v>2962</v>
      </c>
      <c r="E208" s="972"/>
      <c r="F208" s="972"/>
      <c r="G208" s="972"/>
      <c r="H208" s="972"/>
      <c r="I208" s="976" t="s">
        <v>1765</v>
      </c>
      <c r="J208" s="977"/>
      <c r="K208" s="986">
        <f>J203+J205+J207</f>
        <v>923.89099999999996</v>
      </c>
      <c r="L208" s="986" t="s">
        <v>2919</v>
      </c>
      <c r="M208" s="970" t="s">
        <v>1009</v>
      </c>
      <c r="N208" s="970" t="s">
        <v>1009</v>
      </c>
      <c r="O208" s="978" t="s">
        <v>1009</v>
      </c>
      <c r="P208" s="986"/>
      <c r="Q208" s="973"/>
      <c r="R208" s="987"/>
    </row>
    <row r="209" spans="1:18" ht="30" customHeight="1">
      <c r="A209" s="969"/>
      <c r="B209" s="972"/>
      <c r="C209" s="972"/>
      <c r="D209" s="979"/>
      <c r="E209" s="972"/>
      <c r="F209" s="972"/>
      <c r="G209" s="972"/>
      <c r="H209" s="972"/>
      <c r="I209" s="976"/>
      <c r="J209" s="977">
        <v>406.69200000000001</v>
      </c>
      <c r="K209" s="970"/>
      <c r="L209" s="970"/>
      <c r="M209" s="970"/>
      <c r="N209" s="970"/>
      <c r="O209" s="970"/>
      <c r="P209" s="970"/>
      <c r="Q209" s="1573"/>
      <c r="R209" s="974"/>
    </row>
    <row r="210" spans="1:18" ht="30" customHeight="1">
      <c r="A210" s="969">
        <f>A208+1</f>
        <v>102</v>
      </c>
      <c r="B210" s="1067" t="s">
        <v>2870</v>
      </c>
      <c r="C210" s="972" t="s">
        <v>76</v>
      </c>
      <c r="D210" s="979"/>
      <c r="E210" s="972"/>
      <c r="F210" s="972"/>
      <c r="G210" s="972"/>
      <c r="H210" s="972"/>
      <c r="I210" s="976" t="s">
        <v>1765</v>
      </c>
      <c r="J210" s="977"/>
      <c r="K210" s="970"/>
      <c r="L210" s="970" t="s">
        <v>2919</v>
      </c>
      <c r="M210" s="970" t="s">
        <v>1009</v>
      </c>
      <c r="N210" s="970" t="s">
        <v>1009</v>
      </c>
      <c r="O210" s="978" t="s">
        <v>1009</v>
      </c>
      <c r="P210" s="970"/>
      <c r="Q210" s="1574"/>
      <c r="R210" s="974"/>
    </row>
    <row r="211" spans="1:18" ht="30" customHeight="1">
      <c r="A211" s="969"/>
      <c r="B211" s="972"/>
      <c r="C211" s="972"/>
      <c r="D211" s="979"/>
      <c r="E211" s="972"/>
      <c r="F211" s="972"/>
      <c r="G211" s="972"/>
      <c r="H211" s="972"/>
      <c r="I211" s="976"/>
      <c r="J211" s="977">
        <v>387.95</v>
      </c>
      <c r="K211" s="970"/>
      <c r="L211" s="970"/>
      <c r="M211" s="970"/>
      <c r="N211" s="970"/>
      <c r="O211" s="970"/>
      <c r="P211" s="970"/>
      <c r="Q211" s="1574"/>
      <c r="R211" s="974"/>
    </row>
    <row r="212" spans="1:18" ht="30" customHeight="1">
      <c r="A212" s="969">
        <f>A210+1</f>
        <v>103</v>
      </c>
      <c r="B212" s="1067" t="s">
        <v>2860</v>
      </c>
      <c r="C212" s="972" t="s">
        <v>76</v>
      </c>
      <c r="D212" s="979"/>
      <c r="E212" s="972"/>
      <c r="F212" s="972"/>
      <c r="G212" s="972"/>
      <c r="H212" s="972"/>
      <c r="I212" s="976" t="s">
        <v>1765</v>
      </c>
      <c r="J212" s="977"/>
      <c r="K212" s="970"/>
      <c r="L212" s="970" t="s">
        <v>2919</v>
      </c>
      <c r="M212" s="970" t="s">
        <v>1009</v>
      </c>
      <c r="N212" s="970" t="s">
        <v>1009</v>
      </c>
      <c r="O212" s="978" t="s">
        <v>1009</v>
      </c>
      <c r="P212" s="970"/>
      <c r="Q212" s="1574"/>
      <c r="R212" s="974"/>
    </row>
    <row r="213" spans="1:18" ht="30" customHeight="1">
      <c r="A213" s="969"/>
      <c r="B213" s="972"/>
      <c r="C213" s="972"/>
      <c r="D213" s="979"/>
      <c r="E213" s="972"/>
      <c r="F213" s="972"/>
      <c r="G213" s="972"/>
      <c r="H213" s="972"/>
      <c r="I213" s="976"/>
      <c r="J213" s="977">
        <v>401.31700000000001</v>
      </c>
      <c r="K213" s="970"/>
      <c r="L213" s="970"/>
      <c r="M213" s="970"/>
      <c r="N213" s="970"/>
      <c r="O213" s="970"/>
      <c r="P213" s="970"/>
      <c r="Q213" s="1574"/>
      <c r="R213" s="974"/>
    </row>
    <row r="214" spans="1:18" ht="30" customHeight="1">
      <c r="A214" s="969">
        <f>A212+1</f>
        <v>104</v>
      </c>
      <c r="B214" s="1067" t="s">
        <v>3093</v>
      </c>
      <c r="C214" s="972" t="s">
        <v>62</v>
      </c>
      <c r="D214" s="979"/>
      <c r="E214" s="972"/>
      <c r="F214" s="972"/>
      <c r="G214" s="972"/>
      <c r="H214" s="972"/>
      <c r="I214" s="976" t="s">
        <v>1765</v>
      </c>
      <c r="J214" s="977"/>
      <c r="K214" s="970">
        <f>J203+J205+J207+J209+J211+J213</f>
        <v>2119.8500000000004</v>
      </c>
      <c r="L214" s="970" t="s">
        <v>2919</v>
      </c>
      <c r="M214" s="970" t="s">
        <v>1009</v>
      </c>
      <c r="N214" s="970" t="s">
        <v>1009</v>
      </c>
      <c r="O214" s="978" t="s">
        <v>1009</v>
      </c>
      <c r="P214" s="970"/>
      <c r="Q214" s="1574"/>
      <c r="R214" s="974"/>
    </row>
    <row r="215" spans="1:18" ht="30" customHeight="1">
      <c r="A215" s="969"/>
      <c r="B215" s="972"/>
      <c r="C215" s="972"/>
      <c r="D215" s="979"/>
      <c r="E215" s="972"/>
      <c r="F215" s="972"/>
      <c r="G215" s="972"/>
      <c r="H215" s="972"/>
      <c r="I215" s="976"/>
      <c r="J215" s="977">
        <v>419.63600000000002</v>
      </c>
      <c r="K215" s="970"/>
      <c r="L215" s="970"/>
      <c r="M215" s="970"/>
      <c r="N215" s="970"/>
      <c r="O215" s="970"/>
      <c r="P215" s="970"/>
      <c r="Q215" s="1575"/>
      <c r="R215" s="974"/>
    </row>
    <row r="216" spans="1:18" ht="30" customHeight="1">
      <c r="A216" s="969">
        <f>A214+1</f>
        <v>105</v>
      </c>
      <c r="B216" s="972" t="s">
        <v>2963</v>
      </c>
      <c r="C216" s="972" t="s">
        <v>90</v>
      </c>
      <c r="D216" s="971" t="s">
        <v>2964</v>
      </c>
      <c r="E216" s="972"/>
      <c r="F216" s="972"/>
      <c r="G216" s="972"/>
      <c r="H216" s="972"/>
      <c r="I216" s="976" t="s">
        <v>1765</v>
      </c>
      <c r="J216" s="977"/>
      <c r="K216" s="970"/>
      <c r="L216" s="970" t="s">
        <v>2919</v>
      </c>
      <c r="M216" s="970" t="s">
        <v>1009</v>
      </c>
      <c r="N216" s="970" t="s">
        <v>1009</v>
      </c>
      <c r="O216" s="978" t="s">
        <v>1009</v>
      </c>
      <c r="P216" s="970"/>
      <c r="Q216" s="973"/>
      <c r="R216" s="974"/>
    </row>
    <row r="217" spans="1:18" ht="30" customHeight="1">
      <c r="A217" s="969"/>
      <c r="B217" s="972"/>
      <c r="C217" s="972"/>
      <c r="D217" s="979"/>
      <c r="E217" s="972"/>
      <c r="F217" s="972"/>
      <c r="G217" s="972"/>
      <c r="H217" s="972"/>
      <c r="I217" s="976"/>
      <c r="J217" s="977">
        <v>369.14100000000002</v>
      </c>
      <c r="K217" s="970"/>
      <c r="L217" s="970"/>
      <c r="M217" s="970"/>
      <c r="N217" s="970"/>
      <c r="O217" s="970"/>
      <c r="P217" s="970"/>
      <c r="Q217" s="1573"/>
      <c r="R217" s="974"/>
    </row>
    <row r="218" spans="1:18" ht="30" customHeight="1">
      <c r="A218" s="969">
        <f>A216+1</f>
        <v>106</v>
      </c>
      <c r="B218" s="1067" t="s">
        <v>3108</v>
      </c>
      <c r="C218" s="972" t="s">
        <v>62</v>
      </c>
      <c r="D218" s="979"/>
      <c r="E218" s="972"/>
      <c r="F218" s="972"/>
      <c r="G218" s="972"/>
      <c r="H218" s="972"/>
      <c r="I218" s="976" t="s">
        <v>1765</v>
      </c>
      <c r="J218" s="977"/>
      <c r="K218" s="970"/>
      <c r="L218" s="970" t="s">
        <v>2919</v>
      </c>
      <c r="M218" s="970" t="s">
        <v>1009</v>
      </c>
      <c r="N218" s="970" t="s">
        <v>1009</v>
      </c>
      <c r="O218" s="978" t="s">
        <v>1009</v>
      </c>
      <c r="P218" s="970"/>
      <c r="Q218" s="1574"/>
      <c r="R218" s="974"/>
    </row>
    <row r="219" spans="1:18" ht="30" customHeight="1">
      <c r="A219" s="969"/>
      <c r="B219" s="12"/>
      <c r="C219" s="1169"/>
      <c r="D219" s="979"/>
      <c r="E219" s="972"/>
      <c r="F219" s="972"/>
      <c r="G219" s="972"/>
      <c r="H219" s="972"/>
      <c r="I219" s="976"/>
      <c r="J219" s="977">
        <v>280.435</v>
      </c>
      <c r="K219" s="970"/>
      <c r="L219" s="970"/>
      <c r="M219" s="970"/>
      <c r="N219" s="970"/>
      <c r="O219" s="970"/>
      <c r="P219" s="970"/>
      <c r="Q219" s="1575"/>
      <c r="R219" s="974"/>
    </row>
    <row r="220" spans="1:18" ht="30" customHeight="1">
      <c r="A220" s="969">
        <f>A218+1</f>
        <v>107</v>
      </c>
      <c r="B220" s="972" t="s">
        <v>2965</v>
      </c>
      <c r="C220" s="972" t="s">
        <v>1269</v>
      </c>
      <c r="D220" s="971" t="s">
        <v>2966</v>
      </c>
      <c r="E220" s="972"/>
      <c r="F220" s="972"/>
      <c r="G220" s="972"/>
      <c r="H220" s="972"/>
      <c r="I220" s="976" t="s">
        <v>1765</v>
      </c>
      <c r="J220" s="977"/>
      <c r="K220" s="986">
        <f>J209+J211+J213+J215+J217+J219</f>
        <v>2265.1710000000003</v>
      </c>
      <c r="L220" s="986" t="s">
        <v>2919</v>
      </c>
      <c r="M220" s="970" t="s">
        <v>1009</v>
      </c>
      <c r="N220" s="970" t="s">
        <v>1009</v>
      </c>
      <c r="O220" s="978" t="s">
        <v>1009</v>
      </c>
      <c r="P220" s="986"/>
      <c r="Q220" s="973"/>
      <c r="R220" s="987"/>
    </row>
    <row r="221" spans="1:18" ht="30" customHeight="1">
      <c r="A221" s="969"/>
      <c r="B221" s="972"/>
      <c r="C221" s="972"/>
      <c r="D221" s="979"/>
      <c r="E221" s="972"/>
      <c r="F221" s="972"/>
      <c r="G221" s="972"/>
      <c r="H221" s="972"/>
      <c r="I221" s="976"/>
      <c r="J221" s="977">
        <v>392.60300000000001</v>
      </c>
      <c r="K221" s="970"/>
      <c r="L221" s="970"/>
      <c r="M221" s="970"/>
      <c r="N221" s="970"/>
      <c r="O221" s="970"/>
      <c r="P221" s="970"/>
      <c r="Q221" s="1573"/>
      <c r="R221" s="974"/>
    </row>
    <row r="222" spans="1:18" ht="30" customHeight="1">
      <c r="A222" s="969">
        <f>A220+1</f>
        <v>108</v>
      </c>
      <c r="B222" s="1067" t="s">
        <v>3135</v>
      </c>
      <c r="C222" s="972" t="s">
        <v>249</v>
      </c>
      <c r="D222" s="979"/>
      <c r="E222" s="972"/>
      <c r="F222" s="972"/>
      <c r="G222" s="972"/>
      <c r="H222" s="972"/>
      <c r="I222" s="976" t="s">
        <v>1765</v>
      </c>
      <c r="J222" s="977"/>
      <c r="K222" s="970"/>
      <c r="L222" s="970" t="s">
        <v>2919</v>
      </c>
      <c r="M222" s="970" t="s">
        <v>1009</v>
      </c>
      <c r="N222" s="970" t="s">
        <v>1009</v>
      </c>
      <c r="O222" s="978" t="s">
        <v>1009</v>
      </c>
      <c r="P222" s="970"/>
      <c r="Q222" s="1574"/>
      <c r="R222" s="974"/>
    </row>
    <row r="223" spans="1:18" ht="30" customHeight="1">
      <c r="A223" s="969"/>
      <c r="B223" s="972"/>
      <c r="C223" s="972"/>
      <c r="D223" s="979"/>
      <c r="E223" s="972"/>
      <c r="F223" s="972"/>
      <c r="G223" s="972"/>
      <c r="H223" s="972"/>
      <c r="I223" s="976"/>
      <c r="J223" s="977">
        <v>384.166</v>
      </c>
      <c r="K223" s="970"/>
      <c r="L223" s="970"/>
      <c r="M223" s="970"/>
      <c r="N223" s="970"/>
      <c r="O223" s="970"/>
      <c r="P223" s="970"/>
      <c r="Q223" s="1575"/>
      <c r="R223" s="974"/>
    </row>
    <row r="224" spans="1:18" ht="30" customHeight="1">
      <c r="A224" s="969">
        <f>A222+1</f>
        <v>109</v>
      </c>
      <c r="B224" s="972" t="s">
        <v>2967</v>
      </c>
      <c r="C224" s="972" t="s">
        <v>1361</v>
      </c>
      <c r="D224" s="971" t="s">
        <v>2968</v>
      </c>
      <c r="E224" s="972"/>
      <c r="F224" s="972"/>
      <c r="G224" s="972"/>
      <c r="H224" s="972"/>
      <c r="I224" s="976" t="s">
        <v>1765</v>
      </c>
      <c r="J224" s="977"/>
      <c r="K224" s="970"/>
      <c r="L224" s="970" t="s">
        <v>2919</v>
      </c>
      <c r="M224" s="970" t="s">
        <v>1009</v>
      </c>
      <c r="N224" s="970" t="s">
        <v>1009</v>
      </c>
      <c r="O224" s="978" t="s">
        <v>1009</v>
      </c>
      <c r="P224" s="970"/>
      <c r="Q224" s="973"/>
      <c r="R224" s="974"/>
    </row>
    <row r="225" spans="1:18" ht="30" customHeight="1">
      <c r="A225" s="969"/>
      <c r="B225" s="972"/>
      <c r="C225" s="972"/>
      <c r="D225" s="979"/>
      <c r="E225" s="972"/>
      <c r="F225" s="972"/>
      <c r="G225" s="972"/>
      <c r="H225" s="972"/>
      <c r="I225" s="976"/>
      <c r="J225" s="977">
        <v>408.00299999999999</v>
      </c>
      <c r="K225" s="970"/>
      <c r="L225" s="970"/>
      <c r="M225" s="970"/>
      <c r="N225" s="970"/>
      <c r="O225" s="970"/>
      <c r="P225" s="970"/>
      <c r="Q225" s="973"/>
      <c r="R225" s="974"/>
    </row>
    <row r="226" spans="1:18" ht="30" customHeight="1">
      <c r="A226" s="969">
        <f>A224+1</f>
        <v>110</v>
      </c>
      <c r="B226" s="972" t="s">
        <v>2969</v>
      </c>
      <c r="C226" s="972" t="s">
        <v>1277</v>
      </c>
      <c r="D226" s="971" t="s">
        <v>2970</v>
      </c>
      <c r="E226" s="972"/>
      <c r="F226" s="972"/>
      <c r="G226" s="972"/>
      <c r="H226" s="972"/>
      <c r="I226" s="976"/>
      <c r="J226" s="977"/>
      <c r="K226" s="970"/>
      <c r="L226" s="970" t="s">
        <v>1658</v>
      </c>
      <c r="M226" s="970"/>
      <c r="N226" s="970"/>
      <c r="O226" s="970"/>
      <c r="P226" s="970"/>
      <c r="Q226" s="973"/>
      <c r="R226" s="974"/>
    </row>
    <row r="227" spans="1:18" ht="30" customHeight="1">
      <c r="A227" s="969"/>
      <c r="B227" s="972"/>
      <c r="C227" s="972"/>
      <c r="D227" s="979"/>
      <c r="E227" s="972"/>
      <c r="F227" s="972"/>
      <c r="G227" s="972"/>
      <c r="H227" s="972"/>
      <c r="I227" s="976"/>
      <c r="J227" s="977">
        <v>390.238</v>
      </c>
      <c r="K227" s="970"/>
      <c r="L227" s="970"/>
      <c r="M227" s="970"/>
      <c r="N227" s="970"/>
      <c r="O227" s="970"/>
      <c r="P227" s="970"/>
      <c r="Q227" s="973"/>
      <c r="R227" s="974"/>
    </row>
    <row r="228" spans="1:18" ht="30" customHeight="1">
      <c r="A228" s="1016">
        <f>A226+1</f>
        <v>111</v>
      </c>
      <c r="B228" s="972" t="s">
        <v>2971</v>
      </c>
      <c r="C228" s="972" t="s">
        <v>1269</v>
      </c>
      <c r="D228" s="1005" t="s">
        <v>2972</v>
      </c>
      <c r="E228" s="972"/>
      <c r="F228" s="972"/>
      <c r="G228" s="972"/>
      <c r="H228" s="972"/>
      <c r="I228" s="976" t="s">
        <v>1765</v>
      </c>
      <c r="J228" s="976"/>
      <c r="K228" s="1035">
        <f>J221+J223+J225+J227</f>
        <v>1575.01</v>
      </c>
      <c r="L228" s="1018" t="s">
        <v>2919</v>
      </c>
      <c r="M228" s="970" t="s">
        <v>1009</v>
      </c>
      <c r="N228" s="970" t="s">
        <v>1009</v>
      </c>
      <c r="O228" s="978" t="s">
        <v>1009</v>
      </c>
      <c r="P228" s="1018"/>
      <c r="Q228" s="1019"/>
      <c r="R228" s="1038"/>
    </row>
    <row r="229" spans="1:18" ht="30" customHeight="1">
      <c r="A229" s="969"/>
      <c r="B229" s="972"/>
      <c r="C229" s="972"/>
      <c r="D229" s="979"/>
      <c r="E229" s="972"/>
      <c r="F229" s="972"/>
      <c r="G229" s="972"/>
      <c r="H229" s="972"/>
      <c r="I229" s="976"/>
      <c r="J229" s="977">
        <v>360.68299999999999</v>
      </c>
      <c r="K229" s="986"/>
      <c r="L229" s="986"/>
      <c r="M229" s="986"/>
      <c r="N229" s="986"/>
      <c r="O229" s="986"/>
      <c r="P229" s="986"/>
      <c r="Q229" s="1573"/>
      <c r="R229" s="987"/>
    </row>
    <row r="230" spans="1:18" ht="30" customHeight="1">
      <c r="A230" s="1016">
        <f>A228+1</f>
        <v>112</v>
      </c>
      <c r="B230" s="972" t="s">
        <v>2973</v>
      </c>
      <c r="C230" s="972" t="s">
        <v>53</v>
      </c>
      <c r="D230" s="983"/>
      <c r="E230" s="972"/>
      <c r="F230" s="972"/>
      <c r="G230" s="972"/>
      <c r="H230" s="972"/>
      <c r="I230" s="976" t="s">
        <v>1765</v>
      </c>
      <c r="J230" s="976"/>
      <c r="K230" s="1035">
        <f>J229</f>
        <v>360.68299999999999</v>
      </c>
      <c r="L230" s="1018" t="s">
        <v>2919</v>
      </c>
      <c r="M230" s="970" t="s">
        <v>1009</v>
      </c>
      <c r="N230" s="970" t="s">
        <v>1009</v>
      </c>
      <c r="O230" s="1018"/>
      <c r="P230" s="1018"/>
      <c r="Q230" s="1576"/>
      <c r="R230" s="1038"/>
    </row>
    <row r="231" spans="1:18" ht="30" customHeight="1">
      <c r="A231" s="969"/>
      <c r="B231" s="972"/>
      <c r="C231" s="972"/>
      <c r="D231" s="979"/>
      <c r="E231" s="972"/>
      <c r="F231" s="972"/>
      <c r="G231" s="972"/>
      <c r="H231" s="972"/>
      <c r="I231" s="976"/>
      <c r="J231" s="977">
        <v>350.52699999999999</v>
      </c>
      <c r="K231" s="986"/>
      <c r="L231" s="986"/>
      <c r="M231" s="986"/>
      <c r="N231" s="986"/>
      <c r="O231" s="986"/>
      <c r="P231" s="986"/>
      <c r="Q231" s="1575"/>
      <c r="R231" s="974"/>
    </row>
    <row r="232" spans="1:18" ht="30" customHeight="1">
      <c r="A232" s="1016">
        <f>A230+1</f>
        <v>113</v>
      </c>
      <c r="B232" s="972" t="s">
        <v>2974</v>
      </c>
      <c r="C232" s="972" t="s">
        <v>1319</v>
      </c>
      <c r="D232" s="1005" t="s">
        <v>2975</v>
      </c>
      <c r="E232" s="972"/>
      <c r="F232" s="972"/>
      <c r="G232" s="972"/>
      <c r="H232" s="972"/>
      <c r="I232" s="976" t="s">
        <v>1765</v>
      </c>
      <c r="J232" s="976"/>
      <c r="K232" s="1035">
        <f>J231</f>
        <v>350.52699999999999</v>
      </c>
      <c r="L232" s="1018" t="s">
        <v>2919</v>
      </c>
      <c r="M232" s="970" t="s">
        <v>1009</v>
      </c>
      <c r="N232" s="970" t="s">
        <v>1009</v>
      </c>
      <c r="O232" s="978" t="s">
        <v>1009</v>
      </c>
      <c r="P232" s="1018"/>
      <c r="Q232" s="1019"/>
      <c r="R232" s="1038"/>
    </row>
    <row r="233" spans="1:18" ht="30" customHeight="1">
      <c r="A233" s="969"/>
      <c r="B233" s="972"/>
      <c r="C233" s="972"/>
      <c r="D233" s="979"/>
      <c r="E233" s="972"/>
      <c r="F233" s="972"/>
      <c r="G233" s="972"/>
      <c r="H233" s="972"/>
      <c r="I233" s="976"/>
      <c r="J233" s="977">
        <v>380.322</v>
      </c>
      <c r="K233" s="986"/>
      <c r="L233" s="986"/>
      <c r="M233" s="986"/>
      <c r="N233" s="986"/>
      <c r="O233" s="986"/>
      <c r="P233" s="986"/>
      <c r="Q233" s="1573"/>
      <c r="R233" s="974"/>
    </row>
    <row r="234" spans="1:18" ht="30" customHeight="1">
      <c r="A234" s="969">
        <f>A232+1</f>
        <v>114</v>
      </c>
      <c r="B234" s="1067" t="s">
        <v>3109</v>
      </c>
      <c r="C234" s="972" t="s">
        <v>76</v>
      </c>
      <c r="D234" s="979"/>
      <c r="E234" s="972"/>
      <c r="F234" s="972"/>
      <c r="G234" s="972"/>
      <c r="H234" s="972"/>
      <c r="I234" s="976" t="s">
        <v>1765</v>
      </c>
      <c r="J234" s="977"/>
      <c r="K234" s="986">
        <f>J233</f>
        <v>380.322</v>
      </c>
      <c r="L234" s="986" t="s">
        <v>2919</v>
      </c>
      <c r="M234" s="970" t="s">
        <v>1009</v>
      </c>
      <c r="N234" s="970" t="s">
        <v>1009</v>
      </c>
      <c r="O234" s="978" t="s">
        <v>1009</v>
      </c>
      <c r="P234" s="986"/>
      <c r="Q234" s="1574"/>
      <c r="R234" s="974"/>
    </row>
    <row r="235" spans="1:18" ht="30" customHeight="1">
      <c r="A235" s="969"/>
      <c r="B235" s="972"/>
      <c r="C235" s="972"/>
      <c r="D235" s="979"/>
      <c r="E235" s="972"/>
      <c r="F235" s="972"/>
      <c r="G235" s="972"/>
      <c r="H235" s="972"/>
      <c r="I235" s="976"/>
      <c r="J235" s="977">
        <v>331.6</v>
      </c>
      <c r="K235" s="970"/>
      <c r="L235" s="970"/>
      <c r="M235" s="970"/>
      <c r="N235" s="970"/>
      <c r="O235" s="970"/>
      <c r="P235" s="970"/>
      <c r="Q235" s="1575"/>
      <c r="R235" s="974"/>
    </row>
    <row r="236" spans="1:18" ht="30" customHeight="1">
      <c r="A236" s="1016">
        <f>A234+1</f>
        <v>115</v>
      </c>
      <c r="B236" s="972" t="s">
        <v>2976</v>
      </c>
      <c r="C236" s="972" t="s">
        <v>1269</v>
      </c>
      <c r="D236" s="1005" t="s">
        <v>2977</v>
      </c>
      <c r="E236" s="972"/>
      <c r="F236" s="972"/>
      <c r="G236" s="972"/>
      <c r="H236" s="972"/>
      <c r="I236" s="976" t="s">
        <v>1765</v>
      </c>
      <c r="J236" s="976"/>
      <c r="K236" s="985"/>
      <c r="L236" s="972" t="s">
        <v>2919</v>
      </c>
      <c r="M236" s="970" t="s">
        <v>1009</v>
      </c>
      <c r="N236" s="970" t="s">
        <v>1009</v>
      </c>
      <c r="O236" s="978" t="s">
        <v>1009</v>
      </c>
      <c r="P236" s="972"/>
      <c r="Q236" s="1019"/>
      <c r="R236" s="1038"/>
    </row>
    <row r="237" spans="1:18" ht="30" customHeight="1">
      <c r="A237" s="969"/>
      <c r="B237" s="972"/>
      <c r="C237" s="972"/>
      <c r="D237" s="979"/>
      <c r="E237" s="972"/>
      <c r="F237" s="972"/>
      <c r="G237" s="972"/>
      <c r="H237" s="972"/>
      <c r="I237" s="976"/>
      <c r="J237" s="977">
        <v>406.096</v>
      </c>
      <c r="K237" s="970"/>
      <c r="L237" s="970"/>
      <c r="M237" s="970"/>
      <c r="N237" s="970"/>
      <c r="O237" s="970"/>
      <c r="P237" s="970"/>
      <c r="Q237" s="1573"/>
      <c r="R237" s="974"/>
    </row>
    <row r="238" spans="1:18" ht="30" customHeight="1">
      <c r="A238" s="969">
        <f>A236+1</f>
        <v>116</v>
      </c>
      <c r="B238" s="1067" t="s">
        <v>3134</v>
      </c>
      <c r="C238" s="972" t="s">
        <v>62</v>
      </c>
      <c r="D238" s="979"/>
      <c r="E238" s="972"/>
      <c r="F238" s="972"/>
      <c r="G238" s="972"/>
      <c r="H238" s="972"/>
      <c r="I238" s="976" t="s">
        <v>1765</v>
      </c>
      <c r="J238" s="977"/>
      <c r="K238" s="970"/>
      <c r="L238" s="970" t="s">
        <v>2919</v>
      </c>
      <c r="M238" s="970" t="s">
        <v>1009</v>
      </c>
      <c r="N238" s="970" t="s">
        <v>1009</v>
      </c>
      <c r="O238" s="978" t="s">
        <v>1009</v>
      </c>
      <c r="P238" s="970"/>
      <c r="Q238" s="1574"/>
      <c r="R238" s="974"/>
    </row>
    <row r="239" spans="1:18" ht="30" customHeight="1">
      <c r="A239" s="969"/>
      <c r="B239" s="972"/>
      <c r="C239" s="972"/>
      <c r="D239" s="979"/>
      <c r="E239" s="972"/>
      <c r="F239" s="972"/>
      <c r="G239" s="972"/>
      <c r="H239" s="972"/>
      <c r="I239" s="976"/>
      <c r="J239" s="977">
        <v>313.78800000000001</v>
      </c>
      <c r="K239" s="970"/>
      <c r="L239" s="970"/>
      <c r="M239" s="970"/>
      <c r="N239" s="970"/>
      <c r="O239" s="970"/>
      <c r="P239" s="970"/>
      <c r="Q239" s="1575"/>
      <c r="R239" s="974"/>
    </row>
    <row r="240" spans="1:18" ht="30" customHeight="1">
      <c r="A240" s="969">
        <f>A238+1</f>
        <v>117</v>
      </c>
      <c r="B240" s="972" t="s">
        <v>2978</v>
      </c>
      <c r="C240" s="972" t="s">
        <v>1995</v>
      </c>
      <c r="D240" s="971" t="s">
        <v>2979</v>
      </c>
      <c r="E240" s="972">
        <v>1</v>
      </c>
      <c r="F240" s="972">
        <v>1</v>
      </c>
      <c r="G240" s="972">
        <v>1</v>
      </c>
      <c r="H240" s="972">
        <v>1</v>
      </c>
      <c r="I240" s="976" t="s">
        <v>1765</v>
      </c>
      <c r="J240" s="977"/>
      <c r="K240" s="970"/>
      <c r="L240" s="970" t="s">
        <v>2919</v>
      </c>
      <c r="M240" s="970" t="s">
        <v>1009</v>
      </c>
      <c r="N240" s="970"/>
      <c r="O240" s="970"/>
      <c r="P240" s="970"/>
      <c r="Q240" s="973"/>
      <c r="R240" s="974"/>
    </row>
    <row r="241" spans="1:18" ht="30" customHeight="1">
      <c r="A241" s="969"/>
      <c r="B241" s="972"/>
      <c r="C241" s="972"/>
      <c r="D241" s="979"/>
      <c r="E241" s="972"/>
      <c r="F241" s="972"/>
      <c r="G241" s="972"/>
      <c r="H241" s="972"/>
      <c r="I241" s="976"/>
      <c r="J241" s="977">
        <v>413.22300000000001</v>
      </c>
      <c r="K241" s="970"/>
      <c r="L241" s="970"/>
      <c r="M241" s="970"/>
      <c r="N241" s="970"/>
      <c r="O241" s="970"/>
      <c r="P241" s="970"/>
      <c r="Q241" s="973"/>
      <c r="R241" s="974"/>
    </row>
    <row r="242" spans="1:18" ht="30" customHeight="1">
      <c r="A242" s="1016">
        <f>A240+1</f>
        <v>118</v>
      </c>
      <c r="B242" s="972" t="s">
        <v>2387</v>
      </c>
      <c r="C242" s="972" t="s">
        <v>1935</v>
      </c>
      <c r="D242" s="1005" t="s">
        <v>2980</v>
      </c>
      <c r="E242" s="972"/>
      <c r="F242" s="972"/>
      <c r="G242" s="972"/>
      <c r="H242" s="972"/>
      <c r="I242" s="976" t="s">
        <v>1765</v>
      </c>
      <c r="J242" s="976"/>
      <c r="K242" s="985"/>
      <c r="L242" s="972" t="s">
        <v>2919</v>
      </c>
      <c r="M242" s="970" t="s">
        <v>1009</v>
      </c>
      <c r="N242" s="970" t="s">
        <v>1009</v>
      </c>
      <c r="O242" s="978" t="s">
        <v>1009</v>
      </c>
      <c r="P242" s="972"/>
      <c r="Q242" s="1019"/>
      <c r="R242" s="1038"/>
    </row>
    <row r="243" spans="1:18" ht="30" customHeight="1">
      <c r="A243" s="969"/>
      <c r="B243" s="972"/>
      <c r="C243" s="972"/>
      <c r="D243" s="979"/>
      <c r="E243" s="972"/>
      <c r="F243" s="972"/>
      <c r="G243" s="972"/>
      <c r="H243" s="972"/>
      <c r="I243" s="976"/>
      <c r="J243" s="977">
        <v>297.53899999999999</v>
      </c>
      <c r="K243" s="970"/>
      <c r="L243" s="970"/>
      <c r="M243" s="970"/>
      <c r="N243" s="970"/>
      <c r="O243" s="970"/>
      <c r="P243" s="970"/>
      <c r="Q243" s="1573"/>
      <c r="R243" s="974"/>
    </row>
    <row r="244" spans="1:18" ht="30" customHeight="1">
      <c r="A244" s="1016">
        <f>A242+1</f>
        <v>119</v>
      </c>
      <c r="B244" s="1067" t="s">
        <v>3197</v>
      </c>
      <c r="C244" s="972" t="s">
        <v>76</v>
      </c>
      <c r="D244" s="983"/>
      <c r="E244" s="972"/>
      <c r="F244" s="972"/>
      <c r="G244" s="972"/>
      <c r="H244" s="972"/>
      <c r="I244" s="976" t="s">
        <v>1765</v>
      </c>
      <c r="J244" s="976"/>
      <c r="K244" s="985"/>
      <c r="L244" s="972" t="s">
        <v>2919</v>
      </c>
      <c r="M244" s="970" t="s">
        <v>1009</v>
      </c>
      <c r="N244" s="970" t="s">
        <v>1009</v>
      </c>
      <c r="O244" s="972"/>
      <c r="P244" s="972"/>
      <c r="Q244" s="1576"/>
      <c r="R244" s="1038"/>
    </row>
    <row r="245" spans="1:18" ht="30" customHeight="1">
      <c r="A245" s="969"/>
      <c r="B245" s="972"/>
      <c r="C245" s="972"/>
      <c r="D245" s="979"/>
      <c r="E245" s="972"/>
      <c r="F245" s="972"/>
      <c r="G245" s="972"/>
      <c r="H245" s="972"/>
      <c r="I245" s="976"/>
      <c r="J245" s="977">
        <v>283.67099999999999</v>
      </c>
      <c r="K245" s="970"/>
      <c r="L245" s="970"/>
      <c r="M245" s="970"/>
      <c r="N245" s="970"/>
      <c r="O245" s="970"/>
      <c r="P245" s="970"/>
      <c r="Q245" s="1575"/>
      <c r="R245" s="974"/>
    </row>
    <row r="246" spans="1:18" ht="30" customHeight="1">
      <c r="A246" s="969">
        <f>A244+1</f>
        <v>120</v>
      </c>
      <c r="B246" s="972" t="s">
        <v>2388</v>
      </c>
      <c r="C246" s="972" t="s">
        <v>1269</v>
      </c>
      <c r="D246" s="971"/>
      <c r="E246" s="972"/>
      <c r="F246" s="972"/>
      <c r="G246" s="972"/>
      <c r="H246" s="972"/>
      <c r="I246" s="976"/>
      <c r="J246" s="977"/>
      <c r="K246" s="970"/>
      <c r="L246" s="970" t="s">
        <v>1658</v>
      </c>
      <c r="M246" s="970"/>
      <c r="N246" s="970"/>
      <c r="O246" s="970"/>
      <c r="P246" s="970"/>
      <c r="Q246" s="973"/>
      <c r="R246" s="974"/>
    </row>
    <row r="247" spans="1:18" ht="30" customHeight="1">
      <c r="A247" s="969"/>
      <c r="B247" s="972"/>
      <c r="C247" s="972"/>
      <c r="D247" s="979"/>
      <c r="E247" s="972"/>
      <c r="F247" s="972"/>
      <c r="G247" s="972"/>
      <c r="H247" s="972"/>
      <c r="I247" s="976"/>
      <c r="J247" s="977">
        <v>378.12</v>
      </c>
      <c r="K247" s="970"/>
      <c r="L247" s="970"/>
      <c r="M247" s="970"/>
      <c r="N247" s="970"/>
      <c r="O247" s="970"/>
      <c r="P247" s="970"/>
      <c r="Q247" s="973"/>
      <c r="R247" s="974"/>
    </row>
    <row r="248" spans="1:18" ht="30" customHeight="1">
      <c r="A248" s="969">
        <f>A246+1</f>
        <v>121</v>
      </c>
      <c r="B248" s="972" t="s">
        <v>2981</v>
      </c>
      <c r="C248" s="972" t="s">
        <v>1988</v>
      </c>
      <c r="D248" s="971" t="s">
        <v>2982</v>
      </c>
      <c r="E248" s="972"/>
      <c r="F248" s="972"/>
      <c r="G248" s="972"/>
      <c r="H248" s="972"/>
      <c r="I248" s="976" t="s">
        <v>2736</v>
      </c>
      <c r="J248" s="977"/>
      <c r="K248" s="970"/>
      <c r="L248" s="970" t="s">
        <v>2919</v>
      </c>
      <c r="M248" s="970" t="s">
        <v>1009</v>
      </c>
      <c r="N248" s="970" t="s">
        <v>1009</v>
      </c>
      <c r="O248" s="970"/>
      <c r="P248" s="970"/>
      <c r="Q248" s="973"/>
      <c r="R248" s="974"/>
    </row>
    <row r="249" spans="1:18" ht="30" customHeight="1">
      <c r="A249" s="969"/>
      <c r="B249" s="972"/>
      <c r="C249" s="972"/>
      <c r="D249" s="983"/>
      <c r="E249" s="972"/>
      <c r="F249" s="972"/>
      <c r="G249" s="972"/>
      <c r="H249" s="972"/>
      <c r="I249" s="976"/>
      <c r="J249" s="977">
        <v>249.17599999999999</v>
      </c>
      <c r="K249" s="970"/>
      <c r="L249" s="970"/>
      <c r="M249" s="970"/>
      <c r="N249" s="970"/>
      <c r="O249" s="970"/>
      <c r="P249" s="970"/>
      <c r="Q249" s="973"/>
      <c r="R249" s="980" t="s">
        <v>2983</v>
      </c>
    </row>
    <row r="250" spans="1:18" ht="30" customHeight="1">
      <c r="A250" s="969">
        <f>A248+1</f>
        <v>122</v>
      </c>
      <c r="B250" s="972" t="s">
        <v>2984</v>
      </c>
      <c r="C250" s="972" t="s">
        <v>2023</v>
      </c>
      <c r="D250" s="971" t="s">
        <v>2985</v>
      </c>
      <c r="E250" s="972"/>
      <c r="F250" s="972"/>
      <c r="G250" s="972"/>
      <c r="H250" s="972"/>
      <c r="I250" s="976" t="s">
        <v>2736</v>
      </c>
      <c r="J250" s="977"/>
      <c r="K250" s="970"/>
      <c r="L250" s="970" t="s">
        <v>2919</v>
      </c>
      <c r="M250" s="970" t="s">
        <v>1009</v>
      </c>
      <c r="N250" s="970" t="s">
        <v>1009</v>
      </c>
      <c r="O250" s="970"/>
      <c r="P250" s="970"/>
      <c r="Q250" s="973"/>
      <c r="R250" s="974"/>
    </row>
    <row r="251" spans="1:18" ht="30" customHeight="1">
      <c r="A251" s="969"/>
      <c r="B251" s="972"/>
      <c r="C251" s="972"/>
      <c r="D251" s="979"/>
      <c r="E251" s="972"/>
      <c r="F251" s="972"/>
      <c r="G251" s="972"/>
      <c r="H251" s="972"/>
      <c r="I251" s="976"/>
      <c r="J251" s="977">
        <v>198.71899999999999</v>
      </c>
      <c r="K251" s="970"/>
      <c r="L251" s="970"/>
      <c r="M251" s="970"/>
      <c r="N251" s="970"/>
      <c r="O251" s="970"/>
      <c r="P251" s="970"/>
      <c r="Q251" s="973"/>
      <c r="R251" s="974"/>
    </row>
    <row r="252" spans="1:18" ht="30" customHeight="1">
      <c r="A252" s="969">
        <f>A250+1</f>
        <v>123</v>
      </c>
      <c r="B252" s="972" t="s">
        <v>2986</v>
      </c>
      <c r="C252" s="972" t="s">
        <v>1319</v>
      </c>
      <c r="D252" s="971" t="s">
        <v>2987</v>
      </c>
      <c r="E252" s="972"/>
      <c r="F252" s="972"/>
      <c r="G252" s="972"/>
      <c r="H252" s="972"/>
      <c r="I252" s="976" t="s">
        <v>1765</v>
      </c>
      <c r="J252" s="977"/>
      <c r="K252" s="970"/>
      <c r="L252" s="970" t="s">
        <v>2919</v>
      </c>
      <c r="M252" s="970" t="s">
        <v>1009</v>
      </c>
      <c r="N252" s="970" t="s">
        <v>1009</v>
      </c>
      <c r="O252" s="970"/>
      <c r="P252" s="970"/>
      <c r="Q252" s="973"/>
      <c r="R252" s="974"/>
    </row>
    <row r="253" spans="1:18" ht="30" customHeight="1">
      <c r="A253" s="969"/>
      <c r="B253" s="972"/>
      <c r="C253" s="972"/>
      <c r="D253" s="979"/>
      <c r="E253" s="972"/>
      <c r="F253" s="972"/>
      <c r="G253" s="972"/>
      <c r="H253" s="972"/>
      <c r="I253" s="976"/>
      <c r="J253" s="977">
        <v>287.04700000000003</v>
      </c>
      <c r="K253" s="970"/>
      <c r="L253" s="970"/>
      <c r="M253" s="970"/>
      <c r="N253" s="970"/>
      <c r="O253" s="970"/>
      <c r="P253" s="970"/>
      <c r="Q253" s="973"/>
      <c r="R253" s="974"/>
    </row>
    <row r="254" spans="1:18" ht="30" customHeight="1">
      <c r="A254" s="969">
        <f>A252+1</f>
        <v>124</v>
      </c>
      <c r="B254" s="972" t="s">
        <v>2988</v>
      </c>
      <c r="C254" s="972" t="s">
        <v>1277</v>
      </c>
      <c r="D254" s="971" t="s">
        <v>2989</v>
      </c>
      <c r="E254" s="972"/>
      <c r="F254" s="972"/>
      <c r="G254" s="972"/>
      <c r="H254" s="972"/>
      <c r="I254" s="976" t="s">
        <v>1765</v>
      </c>
      <c r="J254" s="977"/>
      <c r="K254" s="970"/>
      <c r="L254" s="970" t="s">
        <v>2919</v>
      </c>
      <c r="M254" s="970" t="s">
        <v>1009</v>
      </c>
      <c r="N254" s="970" t="s">
        <v>1009</v>
      </c>
      <c r="O254" s="978" t="s">
        <v>1009</v>
      </c>
      <c r="P254" s="970"/>
      <c r="Q254" s="973"/>
      <c r="R254" s="974"/>
    </row>
    <row r="255" spans="1:18" ht="30" customHeight="1">
      <c r="A255" s="969"/>
      <c r="B255" s="972"/>
      <c r="C255" s="972"/>
      <c r="D255" s="979"/>
      <c r="E255" s="972"/>
      <c r="F255" s="972"/>
      <c r="G255" s="972"/>
      <c r="H255" s="972"/>
      <c r="I255" s="976"/>
      <c r="J255" s="977">
        <v>317.654</v>
      </c>
      <c r="K255" s="970"/>
      <c r="L255" s="970"/>
      <c r="M255" s="970"/>
      <c r="N255" s="970"/>
      <c r="O255" s="970"/>
      <c r="P255" s="970"/>
      <c r="Q255" s="973"/>
      <c r="R255" s="974"/>
    </row>
    <row r="256" spans="1:18" ht="30" customHeight="1">
      <c r="A256" s="969">
        <f>A254+1</f>
        <v>125</v>
      </c>
      <c r="B256" s="972" t="s">
        <v>2990</v>
      </c>
      <c r="C256" s="972" t="s">
        <v>2023</v>
      </c>
      <c r="D256" s="971" t="s">
        <v>2991</v>
      </c>
      <c r="E256" s="972"/>
      <c r="F256" s="972"/>
      <c r="G256" s="972"/>
      <c r="H256" s="972"/>
      <c r="I256" s="976" t="s">
        <v>2736</v>
      </c>
      <c r="J256" s="977"/>
      <c r="K256" s="986">
        <f>J235+J237+J239+J241+J243+J245+J247+J249+J251+J253+J255</f>
        <v>3476.6329999999998</v>
      </c>
      <c r="L256" s="970" t="s">
        <v>2919</v>
      </c>
      <c r="M256" s="970" t="s">
        <v>1009</v>
      </c>
      <c r="N256" s="986" t="s">
        <v>1009</v>
      </c>
      <c r="O256" s="986"/>
      <c r="P256" s="986"/>
      <c r="Q256" s="973"/>
      <c r="R256" s="987"/>
    </row>
    <row r="257" spans="1:18" ht="30" customHeight="1">
      <c r="A257" s="969"/>
      <c r="B257" s="972"/>
      <c r="C257" s="972"/>
      <c r="D257" s="983"/>
      <c r="E257" s="972"/>
      <c r="F257" s="972"/>
      <c r="G257" s="972"/>
      <c r="H257" s="972"/>
      <c r="I257" s="976"/>
      <c r="J257" s="977">
        <v>245.547</v>
      </c>
      <c r="K257" s="986"/>
      <c r="L257" s="986"/>
      <c r="M257" s="986"/>
      <c r="N257" s="986"/>
      <c r="O257" s="986"/>
      <c r="P257" s="986"/>
      <c r="Q257" s="973"/>
      <c r="R257" s="988" t="s">
        <v>2983</v>
      </c>
    </row>
    <row r="258" spans="1:18" ht="30" customHeight="1">
      <c r="A258" s="969">
        <f>A256+1</f>
        <v>126</v>
      </c>
      <c r="B258" s="972" t="s">
        <v>2992</v>
      </c>
      <c r="C258" s="972" t="s">
        <v>1988</v>
      </c>
      <c r="D258" s="971" t="s">
        <v>2993</v>
      </c>
      <c r="E258" s="972"/>
      <c r="F258" s="972"/>
      <c r="G258" s="972"/>
      <c r="H258" s="972"/>
      <c r="I258" s="976" t="s">
        <v>2736</v>
      </c>
      <c r="J258" s="977"/>
      <c r="K258" s="986"/>
      <c r="L258" s="970" t="s">
        <v>2919</v>
      </c>
      <c r="M258" s="970" t="s">
        <v>1009</v>
      </c>
      <c r="N258" s="970" t="s">
        <v>1009</v>
      </c>
      <c r="O258" s="986"/>
      <c r="P258" s="986"/>
      <c r="Q258" s="973"/>
      <c r="R258" s="987"/>
    </row>
    <row r="259" spans="1:18" ht="30" customHeight="1">
      <c r="A259" s="969"/>
      <c r="B259" s="972"/>
      <c r="C259" s="972"/>
      <c r="D259" s="979"/>
      <c r="E259" s="972"/>
      <c r="F259" s="972"/>
      <c r="G259" s="972"/>
      <c r="H259" s="972"/>
      <c r="I259" s="976"/>
      <c r="J259" s="977">
        <v>342.98599999999999</v>
      </c>
      <c r="K259" s="986"/>
      <c r="L259" s="986"/>
      <c r="M259" s="986"/>
      <c r="N259" s="986"/>
      <c r="O259" s="986"/>
      <c r="P259" s="986"/>
      <c r="Q259" s="973"/>
      <c r="R259" s="987"/>
    </row>
    <row r="260" spans="1:18" ht="30" customHeight="1">
      <c r="A260" s="969">
        <f>A258+1</f>
        <v>127</v>
      </c>
      <c r="B260" s="972" t="s">
        <v>2994</v>
      </c>
      <c r="C260" s="972" t="s">
        <v>1269</v>
      </c>
      <c r="D260" s="971"/>
      <c r="E260" s="972"/>
      <c r="F260" s="972"/>
      <c r="G260" s="972"/>
      <c r="H260" s="972"/>
      <c r="I260" s="976" t="s">
        <v>1765</v>
      </c>
      <c r="J260" s="977"/>
      <c r="K260" s="986"/>
      <c r="L260" s="986" t="s">
        <v>2919</v>
      </c>
      <c r="M260" s="970" t="s">
        <v>1009</v>
      </c>
      <c r="N260" s="970" t="s">
        <v>1009</v>
      </c>
      <c r="O260" s="978" t="s">
        <v>1009</v>
      </c>
      <c r="P260" s="986"/>
      <c r="Q260" s="973"/>
      <c r="R260" s="987"/>
    </row>
    <row r="261" spans="1:18" ht="30" customHeight="1">
      <c r="A261" s="969"/>
      <c r="B261" s="972"/>
      <c r="C261" s="972"/>
      <c r="D261" s="979"/>
      <c r="E261" s="972"/>
      <c r="F261" s="972"/>
      <c r="G261" s="972"/>
      <c r="H261" s="972"/>
      <c r="I261" s="976"/>
      <c r="J261" s="977">
        <v>384.06400000000002</v>
      </c>
      <c r="K261" s="986"/>
      <c r="L261" s="986"/>
      <c r="M261" s="986"/>
      <c r="N261" s="986"/>
      <c r="O261" s="986"/>
      <c r="P261" s="986"/>
      <c r="Q261" s="973"/>
      <c r="R261" s="987"/>
    </row>
    <row r="262" spans="1:18" ht="30" customHeight="1">
      <c r="A262" s="969">
        <f>A260+1</f>
        <v>128</v>
      </c>
      <c r="B262" s="972" t="s">
        <v>2995</v>
      </c>
      <c r="C262" s="972" t="s">
        <v>1269</v>
      </c>
      <c r="D262" s="971" t="s">
        <v>2446</v>
      </c>
      <c r="E262" s="972"/>
      <c r="F262" s="972"/>
      <c r="G262" s="972"/>
      <c r="H262" s="972"/>
      <c r="I262" s="976" t="s">
        <v>1765</v>
      </c>
      <c r="J262" s="978"/>
      <c r="K262" s="986"/>
      <c r="L262" s="986" t="s">
        <v>2919</v>
      </c>
      <c r="M262" s="970" t="s">
        <v>1009</v>
      </c>
      <c r="N262" s="970" t="s">
        <v>1009</v>
      </c>
      <c r="O262" s="978" t="s">
        <v>1009</v>
      </c>
      <c r="P262" s="986"/>
      <c r="Q262" s="973"/>
      <c r="R262" s="987"/>
    </row>
    <row r="263" spans="1:18" ht="30" customHeight="1">
      <c r="A263" s="969"/>
      <c r="B263" s="972"/>
      <c r="C263" s="972"/>
      <c r="D263" s="971"/>
      <c r="E263" s="972"/>
      <c r="F263" s="972"/>
      <c r="G263" s="972"/>
      <c r="H263" s="972"/>
      <c r="I263" s="976"/>
      <c r="J263" s="977">
        <v>373</v>
      </c>
      <c r="K263" s="986"/>
      <c r="L263" s="986"/>
      <c r="M263" s="986"/>
      <c r="N263" s="986"/>
      <c r="O263" s="986"/>
      <c r="P263" s="986"/>
      <c r="Q263" s="1573"/>
      <c r="R263" s="987"/>
    </row>
    <row r="264" spans="1:18" ht="30" customHeight="1">
      <c r="A264" s="969">
        <f>A262+1</f>
        <v>129</v>
      </c>
      <c r="B264" s="972" t="s">
        <v>2447</v>
      </c>
      <c r="C264" s="972" t="s">
        <v>53</v>
      </c>
      <c r="D264" s="971"/>
      <c r="E264" s="972"/>
      <c r="F264" s="972"/>
      <c r="G264" s="972"/>
      <c r="H264" s="972"/>
      <c r="I264" s="976" t="s">
        <v>1765</v>
      </c>
      <c r="J264" s="977"/>
      <c r="K264" s="986"/>
      <c r="L264" s="986" t="s">
        <v>2919</v>
      </c>
      <c r="M264" s="970" t="s">
        <v>1009</v>
      </c>
      <c r="N264" s="970" t="s">
        <v>1009</v>
      </c>
      <c r="O264" s="978" t="s">
        <v>1009</v>
      </c>
      <c r="P264" s="986"/>
      <c r="Q264" s="1574"/>
      <c r="R264" s="987"/>
    </row>
    <row r="265" spans="1:18" ht="30" customHeight="1">
      <c r="A265" s="969"/>
      <c r="B265" s="972"/>
      <c r="C265" s="972"/>
      <c r="D265" s="971"/>
      <c r="E265" s="972"/>
      <c r="F265" s="972"/>
      <c r="G265" s="972"/>
      <c r="H265" s="972"/>
      <c r="I265" s="976"/>
      <c r="J265" s="977">
        <v>378</v>
      </c>
      <c r="K265" s="986"/>
      <c r="L265" s="986"/>
      <c r="M265" s="986"/>
      <c r="N265" s="986"/>
      <c r="O265" s="986"/>
      <c r="P265" s="986"/>
      <c r="Q265" s="1575"/>
      <c r="R265" s="988" t="s">
        <v>3225</v>
      </c>
    </row>
    <row r="266" spans="1:18" ht="30" customHeight="1">
      <c r="A266" s="969">
        <f>A264+1</f>
        <v>130</v>
      </c>
      <c r="B266" s="972" t="s">
        <v>2996</v>
      </c>
      <c r="C266" s="1017" t="s">
        <v>915</v>
      </c>
      <c r="D266" s="1005"/>
      <c r="E266" s="972"/>
      <c r="F266" s="972"/>
      <c r="G266" s="972"/>
      <c r="H266" s="972"/>
      <c r="I266" s="976" t="s">
        <v>897</v>
      </c>
      <c r="J266" s="977"/>
      <c r="K266" s="986"/>
      <c r="L266" s="986" t="s">
        <v>2919</v>
      </c>
      <c r="M266" s="970" t="s">
        <v>1009</v>
      </c>
      <c r="N266" s="970" t="s">
        <v>1009</v>
      </c>
      <c r="O266" s="986"/>
      <c r="P266" s="986"/>
      <c r="Q266" s="973"/>
      <c r="R266" s="987"/>
    </row>
    <row r="267" spans="1:18" ht="30" customHeight="1">
      <c r="A267" s="969"/>
      <c r="B267" s="972"/>
      <c r="C267" s="972"/>
      <c r="D267" s="1005"/>
      <c r="E267" s="972"/>
      <c r="F267" s="972"/>
      <c r="G267" s="972"/>
      <c r="H267" s="972"/>
      <c r="I267" s="976"/>
      <c r="J267" s="977">
        <v>283</v>
      </c>
      <c r="K267" s="986"/>
      <c r="L267" s="986"/>
      <c r="M267" s="986"/>
      <c r="N267" s="986"/>
      <c r="O267" s="986"/>
      <c r="P267" s="986"/>
      <c r="Q267" s="973"/>
      <c r="R267" s="987"/>
    </row>
    <row r="268" spans="1:18" ht="30" customHeight="1">
      <c r="A268" s="969">
        <f>A266+1</f>
        <v>131</v>
      </c>
      <c r="B268" s="972" t="s">
        <v>2450</v>
      </c>
      <c r="C268" s="972" t="s">
        <v>76</v>
      </c>
      <c r="D268" s="1005"/>
      <c r="E268" s="972"/>
      <c r="F268" s="972"/>
      <c r="G268" s="972"/>
      <c r="H268" s="972"/>
      <c r="I268" s="976" t="s">
        <v>1765</v>
      </c>
      <c r="J268" s="977"/>
      <c r="K268" s="986"/>
      <c r="L268" s="986" t="s">
        <v>2919</v>
      </c>
      <c r="M268" s="970" t="s">
        <v>1009</v>
      </c>
      <c r="N268" s="970" t="s">
        <v>1009</v>
      </c>
      <c r="O268" s="978" t="s">
        <v>1009</v>
      </c>
      <c r="P268" s="986"/>
      <c r="Q268" s="973"/>
      <c r="R268" s="987"/>
    </row>
    <row r="269" spans="1:18" ht="30" customHeight="1">
      <c r="A269" s="969"/>
      <c r="B269" s="972"/>
      <c r="C269" s="972"/>
      <c r="D269" s="1005"/>
      <c r="E269" s="972"/>
      <c r="F269" s="972"/>
      <c r="G269" s="972"/>
      <c r="H269" s="972"/>
      <c r="I269" s="976"/>
      <c r="J269" s="977">
        <v>232.01499999999999</v>
      </c>
      <c r="K269" s="986"/>
      <c r="L269" s="986"/>
      <c r="M269" s="986"/>
      <c r="N269" s="986"/>
      <c r="O269" s="986"/>
      <c r="P269" s="986"/>
      <c r="Q269" s="973"/>
      <c r="R269" s="987"/>
    </row>
    <row r="270" spans="1:18" ht="30" customHeight="1">
      <c r="A270" s="969">
        <f>A268+1</f>
        <v>132</v>
      </c>
      <c r="B270" s="972" t="s">
        <v>2997</v>
      </c>
      <c r="C270" s="972" t="s">
        <v>1269</v>
      </c>
      <c r="D270" s="1005" t="s">
        <v>3224</v>
      </c>
      <c r="E270" s="972"/>
      <c r="F270" s="972"/>
      <c r="G270" s="972"/>
      <c r="H270" s="972"/>
      <c r="I270" s="976" t="s">
        <v>1765</v>
      </c>
      <c r="J270" s="977"/>
      <c r="K270" s="986"/>
      <c r="L270" s="986" t="s">
        <v>2919</v>
      </c>
      <c r="M270" s="970" t="s">
        <v>1009</v>
      </c>
      <c r="N270" s="970" t="s">
        <v>1009</v>
      </c>
      <c r="O270" s="978" t="s">
        <v>1009</v>
      </c>
      <c r="P270" s="986"/>
      <c r="Q270" s="973"/>
      <c r="R270" s="987"/>
    </row>
    <row r="271" spans="1:18" ht="30" customHeight="1">
      <c r="A271" s="969"/>
      <c r="B271" s="972"/>
      <c r="C271" s="972"/>
      <c r="D271" s="971"/>
      <c r="E271" s="972"/>
      <c r="F271" s="972"/>
      <c r="G271" s="972"/>
      <c r="H271" s="972"/>
      <c r="I271" s="976"/>
      <c r="J271" s="977">
        <v>323.18599999999998</v>
      </c>
      <c r="K271" s="986"/>
      <c r="L271" s="986"/>
      <c r="M271" s="986"/>
      <c r="N271" s="986"/>
      <c r="O271" s="986"/>
      <c r="P271" s="986"/>
      <c r="Q271" s="1573"/>
      <c r="R271" s="987"/>
    </row>
    <row r="272" spans="1:18" ht="30" customHeight="1">
      <c r="A272" s="969">
        <f>A270+1</f>
        <v>133</v>
      </c>
      <c r="B272" s="972" t="s">
        <v>2378</v>
      </c>
      <c r="C272" s="972" t="s">
        <v>76</v>
      </c>
      <c r="D272" s="971"/>
      <c r="E272" s="972"/>
      <c r="F272" s="972"/>
      <c r="G272" s="972"/>
      <c r="H272" s="972"/>
      <c r="I272" s="976" t="s">
        <v>1765</v>
      </c>
      <c r="J272" s="977"/>
      <c r="K272" s="986"/>
      <c r="L272" s="986" t="s">
        <v>2919</v>
      </c>
      <c r="M272" s="970" t="s">
        <v>1009</v>
      </c>
      <c r="N272" s="986"/>
      <c r="O272" s="978" t="s">
        <v>1009</v>
      </c>
      <c r="P272" s="986"/>
      <c r="Q272" s="1574"/>
      <c r="R272" s="987"/>
    </row>
    <row r="273" spans="1:18" ht="30" customHeight="1">
      <c r="A273" s="969"/>
      <c r="B273" s="972"/>
      <c r="C273" s="972"/>
      <c r="D273" s="971"/>
      <c r="E273" s="972"/>
      <c r="F273" s="972"/>
      <c r="G273" s="972"/>
      <c r="H273" s="972"/>
      <c r="I273" s="976"/>
      <c r="J273" s="977">
        <v>351.47500000000002</v>
      </c>
      <c r="K273" s="986"/>
      <c r="L273" s="986"/>
      <c r="M273" s="986"/>
      <c r="N273" s="986"/>
      <c r="O273" s="986"/>
      <c r="P273" s="986"/>
      <c r="Q273" s="1574"/>
      <c r="R273" s="987"/>
    </row>
    <row r="274" spans="1:18" ht="30" customHeight="1">
      <c r="A274" s="969">
        <f>A272+1</f>
        <v>134</v>
      </c>
      <c r="B274" s="972" t="s">
        <v>2453</v>
      </c>
      <c r="C274" s="972" t="s">
        <v>62</v>
      </c>
      <c r="D274" s="971"/>
      <c r="E274" s="972"/>
      <c r="F274" s="972"/>
      <c r="G274" s="972"/>
      <c r="H274" s="972"/>
      <c r="I274" s="976" t="s">
        <v>1765</v>
      </c>
      <c r="J274" s="977"/>
      <c r="K274" s="986"/>
      <c r="L274" s="986" t="s">
        <v>2919</v>
      </c>
      <c r="M274" s="970" t="s">
        <v>1009</v>
      </c>
      <c r="N274" s="970" t="s">
        <v>1009</v>
      </c>
      <c r="O274" s="978" t="s">
        <v>1009</v>
      </c>
      <c r="P274" s="986"/>
      <c r="Q274" s="1574"/>
      <c r="R274" s="987"/>
    </row>
    <row r="275" spans="1:18" ht="30" customHeight="1">
      <c r="A275" s="969"/>
      <c r="B275" s="972"/>
      <c r="C275" s="972"/>
      <c r="D275" s="971"/>
      <c r="E275" s="972"/>
      <c r="F275" s="972"/>
      <c r="G275" s="972"/>
      <c r="H275" s="972"/>
      <c r="I275" s="976"/>
      <c r="J275" s="977">
        <v>368.87400000000002</v>
      </c>
      <c r="K275" s="986"/>
      <c r="L275" s="986"/>
      <c r="M275" s="986"/>
      <c r="N275" s="986"/>
      <c r="O275" s="986"/>
      <c r="P275" s="986"/>
      <c r="Q275" s="1574"/>
      <c r="R275" s="987"/>
    </row>
    <row r="276" spans="1:18" ht="30" customHeight="1">
      <c r="A276" s="969">
        <f>A274+1</f>
        <v>135</v>
      </c>
      <c r="B276" s="972" t="s">
        <v>2379</v>
      </c>
      <c r="C276" s="972" t="s">
        <v>76</v>
      </c>
      <c r="D276" s="971"/>
      <c r="E276" s="972"/>
      <c r="F276" s="972"/>
      <c r="G276" s="972"/>
      <c r="H276" s="972"/>
      <c r="I276" s="976" t="s">
        <v>1765</v>
      </c>
      <c r="J276" s="977"/>
      <c r="K276" s="986"/>
      <c r="L276" s="986" t="s">
        <v>2919</v>
      </c>
      <c r="M276" s="970" t="s">
        <v>1009</v>
      </c>
      <c r="N276" s="970" t="s">
        <v>1009</v>
      </c>
      <c r="O276" s="978" t="s">
        <v>1009</v>
      </c>
      <c r="P276" s="986"/>
      <c r="Q276" s="1574"/>
      <c r="R276" s="987"/>
    </row>
    <row r="277" spans="1:18" ht="30" customHeight="1">
      <c r="A277" s="969"/>
      <c r="B277" s="972"/>
      <c r="C277" s="972"/>
      <c r="D277" s="971"/>
      <c r="E277" s="972"/>
      <c r="F277" s="972"/>
      <c r="G277" s="972"/>
      <c r="H277" s="972"/>
      <c r="I277" s="976"/>
      <c r="J277" s="977">
        <v>366.14699999999999</v>
      </c>
      <c r="K277" s="986"/>
      <c r="L277" s="986"/>
      <c r="M277" s="986"/>
      <c r="N277" s="986"/>
      <c r="O277" s="986"/>
      <c r="P277" s="986"/>
      <c r="Q277" s="1575"/>
      <c r="R277" s="987"/>
    </row>
    <row r="278" spans="1:18" ht="30" customHeight="1">
      <c r="A278" s="969">
        <f>A276+1</f>
        <v>136</v>
      </c>
      <c r="B278" s="972" t="s">
        <v>2998</v>
      </c>
      <c r="C278" s="972" t="s">
        <v>1277</v>
      </c>
      <c r="D278" s="971" t="s">
        <v>2455</v>
      </c>
      <c r="E278" s="972"/>
      <c r="F278" s="972"/>
      <c r="G278" s="972"/>
      <c r="H278" s="972"/>
      <c r="I278" s="976" t="s">
        <v>1765</v>
      </c>
      <c r="J278" s="977"/>
      <c r="K278" s="986"/>
      <c r="L278" s="986" t="s">
        <v>2919</v>
      </c>
      <c r="M278" s="970" t="s">
        <v>1009</v>
      </c>
      <c r="N278" s="970" t="s">
        <v>1009</v>
      </c>
      <c r="O278" s="978" t="s">
        <v>1009</v>
      </c>
      <c r="P278" s="986"/>
      <c r="Q278" s="973"/>
      <c r="R278" s="987"/>
    </row>
    <row r="279" spans="1:18" ht="30" customHeight="1">
      <c r="A279" s="969"/>
      <c r="B279" s="972"/>
      <c r="C279" s="972"/>
      <c r="D279" s="971"/>
      <c r="E279" s="972"/>
      <c r="F279" s="972"/>
      <c r="G279" s="972"/>
      <c r="H279" s="972"/>
      <c r="I279" s="976"/>
      <c r="J279" s="977">
        <v>326.20999999999998</v>
      </c>
      <c r="K279" s="986"/>
      <c r="L279" s="986"/>
      <c r="M279" s="986"/>
      <c r="N279" s="986"/>
      <c r="O279" s="986"/>
      <c r="P279" s="986"/>
      <c r="Q279" s="1573"/>
      <c r="R279" s="987"/>
    </row>
    <row r="280" spans="1:18" ht="30" customHeight="1">
      <c r="A280" s="969">
        <f>A278+1</f>
        <v>137</v>
      </c>
      <c r="B280" s="972" t="s">
        <v>2377</v>
      </c>
      <c r="C280" s="972" t="s">
        <v>76</v>
      </c>
      <c r="D280" s="971"/>
      <c r="E280" s="972"/>
      <c r="F280" s="972"/>
      <c r="G280" s="972"/>
      <c r="H280" s="972"/>
      <c r="I280" s="976" t="s">
        <v>1765</v>
      </c>
      <c r="J280" s="977"/>
      <c r="K280" s="986"/>
      <c r="L280" s="986" t="s">
        <v>2919</v>
      </c>
      <c r="M280" s="970" t="s">
        <v>1009</v>
      </c>
      <c r="N280" s="970" t="s">
        <v>1009</v>
      </c>
      <c r="O280" s="978" t="s">
        <v>1009</v>
      </c>
      <c r="P280" s="986"/>
      <c r="Q280" s="1574"/>
      <c r="R280" s="987"/>
    </row>
    <row r="281" spans="1:18" ht="30" customHeight="1">
      <c r="A281" s="969"/>
      <c r="B281" s="972"/>
      <c r="C281" s="972"/>
      <c r="D281" s="971"/>
      <c r="E281" s="972"/>
      <c r="F281" s="972"/>
      <c r="G281" s="972"/>
      <c r="H281" s="972"/>
      <c r="I281" s="976"/>
      <c r="J281" s="977">
        <v>308.149</v>
      </c>
      <c r="K281" s="986"/>
      <c r="L281" s="986"/>
      <c r="M281" s="986"/>
      <c r="N281" s="986"/>
      <c r="O281" s="986"/>
      <c r="P281" s="986"/>
      <c r="Q281" s="1575"/>
      <c r="R281" s="987"/>
    </row>
    <row r="282" spans="1:18" ht="30" customHeight="1">
      <c r="A282" s="969">
        <f>A280+1</f>
        <v>138</v>
      </c>
      <c r="B282" s="972" t="s">
        <v>2999</v>
      </c>
      <c r="C282" s="972" t="s">
        <v>1277</v>
      </c>
      <c r="D282" s="971" t="s">
        <v>2457</v>
      </c>
      <c r="E282" s="972"/>
      <c r="F282" s="972"/>
      <c r="G282" s="972"/>
      <c r="H282" s="972"/>
      <c r="I282" s="976"/>
      <c r="J282" s="977"/>
      <c r="K282" s="986"/>
      <c r="L282" s="986"/>
      <c r="M282" s="986"/>
      <c r="N282" s="986"/>
      <c r="O282" s="986"/>
      <c r="P282" s="986"/>
      <c r="Q282" s="973"/>
      <c r="R282" s="987"/>
    </row>
    <row r="283" spans="1:18" ht="30" customHeight="1">
      <c r="A283" s="969"/>
      <c r="B283" s="972"/>
      <c r="C283" s="972"/>
      <c r="D283" s="971"/>
      <c r="E283" s="972"/>
      <c r="F283" s="972"/>
      <c r="G283" s="972"/>
      <c r="H283" s="972"/>
      <c r="I283" s="976"/>
      <c r="J283" s="977">
        <v>285.935</v>
      </c>
      <c r="K283" s="986"/>
      <c r="L283" s="986"/>
      <c r="M283" s="986"/>
      <c r="N283" s="986"/>
      <c r="O283" s="986"/>
      <c r="P283" s="986"/>
      <c r="Q283" s="1573"/>
      <c r="R283" s="987"/>
    </row>
    <row r="284" spans="1:18" ht="30" customHeight="1">
      <c r="A284" s="969">
        <f>A282+1</f>
        <v>139</v>
      </c>
      <c r="B284" s="972" t="s">
        <v>2458</v>
      </c>
      <c r="C284" s="972" t="s">
        <v>76</v>
      </c>
      <c r="D284" s="971"/>
      <c r="E284" s="972"/>
      <c r="F284" s="972"/>
      <c r="G284" s="972"/>
      <c r="H284" s="972"/>
      <c r="I284" s="976"/>
      <c r="J284" s="977"/>
      <c r="K284" s="986"/>
      <c r="L284" s="986"/>
      <c r="M284" s="986"/>
      <c r="N284" s="986"/>
      <c r="O284" s="986"/>
      <c r="P284" s="986"/>
      <c r="Q284" s="1574"/>
      <c r="R284" s="987"/>
    </row>
    <row r="285" spans="1:18" ht="30" customHeight="1">
      <c r="A285" s="969"/>
      <c r="B285" s="972"/>
      <c r="C285" s="972"/>
      <c r="D285" s="971"/>
      <c r="E285" s="972"/>
      <c r="F285" s="972"/>
      <c r="G285" s="972"/>
      <c r="H285" s="972"/>
      <c r="I285" s="976"/>
      <c r="J285" s="977">
        <v>232.238</v>
      </c>
      <c r="K285" s="986"/>
      <c r="L285" s="986"/>
      <c r="M285" s="986"/>
      <c r="N285" s="986"/>
      <c r="O285" s="986"/>
      <c r="P285" s="986"/>
      <c r="Q285" s="1575"/>
      <c r="R285" s="987"/>
    </row>
    <row r="286" spans="1:18" ht="30" customHeight="1">
      <c r="A286" s="969">
        <f>A284+1</f>
        <v>140</v>
      </c>
      <c r="B286" s="972" t="s">
        <v>3000</v>
      </c>
      <c r="C286" s="972" t="s">
        <v>1319</v>
      </c>
      <c r="D286" s="971" t="s">
        <v>2460</v>
      </c>
      <c r="E286" s="972"/>
      <c r="F286" s="972"/>
      <c r="G286" s="972"/>
      <c r="H286" s="972"/>
      <c r="I286" s="976"/>
      <c r="J286" s="977"/>
      <c r="K286" s="986"/>
      <c r="L286" s="986"/>
      <c r="M286" s="986"/>
      <c r="N286" s="986"/>
      <c r="O286" s="986"/>
      <c r="P286" s="986"/>
      <c r="Q286" s="973"/>
      <c r="R286" s="987"/>
    </row>
    <row r="287" spans="1:18" ht="30" customHeight="1">
      <c r="A287" s="969"/>
      <c r="B287" s="972"/>
      <c r="C287" s="972"/>
      <c r="D287" s="971"/>
      <c r="E287" s="972"/>
      <c r="F287" s="972"/>
      <c r="G287" s="972"/>
      <c r="H287" s="972"/>
      <c r="I287" s="976"/>
      <c r="J287" s="977">
        <v>396.91300000000001</v>
      </c>
      <c r="K287" s="986"/>
      <c r="L287" s="986"/>
      <c r="M287" s="986"/>
      <c r="N287" s="986"/>
      <c r="O287" s="986"/>
      <c r="P287" s="986"/>
      <c r="Q287" s="1573"/>
      <c r="R287" s="987"/>
    </row>
    <row r="288" spans="1:18" ht="30" customHeight="1">
      <c r="A288" s="969">
        <f>A286+1</f>
        <v>141</v>
      </c>
      <c r="B288" s="972" t="s">
        <v>2461</v>
      </c>
      <c r="C288" s="972" t="s">
        <v>62</v>
      </c>
      <c r="D288" s="971"/>
      <c r="E288" s="972"/>
      <c r="F288" s="972"/>
      <c r="G288" s="972"/>
      <c r="H288" s="972"/>
      <c r="I288" s="976"/>
      <c r="J288" s="977"/>
      <c r="K288" s="986"/>
      <c r="L288" s="986"/>
      <c r="M288" s="986"/>
      <c r="N288" s="986"/>
      <c r="O288" s="986"/>
      <c r="P288" s="986"/>
      <c r="Q288" s="1574"/>
      <c r="R288" s="987"/>
    </row>
    <row r="289" spans="1:18" ht="30" customHeight="1">
      <c r="A289" s="969"/>
      <c r="B289" s="972"/>
      <c r="C289" s="972"/>
      <c r="D289" s="971"/>
      <c r="E289" s="972"/>
      <c r="F289" s="972"/>
      <c r="G289" s="972"/>
      <c r="H289" s="972"/>
      <c r="I289" s="976"/>
      <c r="J289" s="977">
        <v>412.767</v>
      </c>
      <c r="K289" s="986"/>
      <c r="L289" s="986"/>
      <c r="M289" s="986"/>
      <c r="N289" s="986"/>
      <c r="O289" s="986"/>
      <c r="P289" s="986"/>
      <c r="Q289" s="1574"/>
      <c r="R289" s="987"/>
    </row>
    <row r="290" spans="1:18" ht="30" customHeight="1">
      <c r="A290" s="969">
        <f>A288+1</f>
        <v>142</v>
      </c>
      <c r="B290" s="972" t="s">
        <v>2462</v>
      </c>
      <c r="C290" s="972" t="s">
        <v>53</v>
      </c>
      <c r="D290" s="971"/>
      <c r="E290" s="972"/>
      <c r="F290" s="972"/>
      <c r="G290" s="972"/>
      <c r="H290" s="972"/>
      <c r="I290" s="976"/>
      <c r="J290" s="977"/>
      <c r="K290" s="986"/>
      <c r="L290" s="986"/>
      <c r="M290" s="986"/>
      <c r="N290" s="986"/>
      <c r="O290" s="986"/>
      <c r="P290" s="986"/>
      <c r="Q290" s="1574"/>
      <c r="R290" s="987"/>
    </row>
    <row r="291" spans="1:18" ht="30" customHeight="1">
      <c r="A291" s="969"/>
      <c r="B291" s="972"/>
      <c r="C291" s="972"/>
      <c r="D291" s="971"/>
      <c r="E291" s="972"/>
      <c r="F291" s="972"/>
      <c r="G291" s="972"/>
      <c r="H291" s="972"/>
      <c r="I291" s="976"/>
      <c r="J291" s="977">
        <v>402.69</v>
      </c>
      <c r="K291" s="986"/>
      <c r="L291" s="986"/>
      <c r="M291" s="986"/>
      <c r="N291" s="986"/>
      <c r="O291" s="986"/>
      <c r="P291" s="986"/>
      <c r="Q291" s="1575"/>
      <c r="R291" s="987"/>
    </row>
    <row r="292" spans="1:18" ht="30" customHeight="1">
      <c r="A292" s="969">
        <f>A290+1</f>
        <v>143</v>
      </c>
      <c r="B292" s="972" t="s">
        <v>3001</v>
      </c>
      <c r="C292" s="972" t="s">
        <v>1361</v>
      </c>
      <c r="D292" s="971" t="s">
        <v>2484</v>
      </c>
      <c r="E292" s="972"/>
      <c r="F292" s="972"/>
      <c r="G292" s="972"/>
      <c r="H292" s="972"/>
      <c r="I292" s="976"/>
      <c r="J292" s="977"/>
      <c r="K292" s="986"/>
      <c r="L292" s="986"/>
      <c r="M292" s="986"/>
      <c r="N292" s="986"/>
      <c r="O292" s="986"/>
      <c r="P292" s="986"/>
      <c r="Q292" s="973"/>
      <c r="R292" s="987"/>
    </row>
    <row r="293" spans="1:18" ht="30" customHeight="1">
      <c r="A293" s="969"/>
      <c r="B293" s="972"/>
      <c r="C293" s="972"/>
      <c r="D293" s="971"/>
      <c r="E293" s="972"/>
      <c r="F293" s="972"/>
      <c r="G293" s="972"/>
      <c r="H293" s="972"/>
      <c r="I293" s="976"/>
      <c r="J293" s="977">
        <v>374.13299999999998</v>
      </c>
      <c r="K293" s="986"/>
      <c r="L293" s="986"/>
      <c r="M293" s="986"/>
      <c r="N293" s="986"/>
      <c r="O293" s="986"/>
      <c r="P293" s="986"/>
      <c r="Q293" s="1573"/>
      <c r="R293" s="987"/>
    </row>
    <row r="294" spans="1:18" ht="30" customHeight="1">
      <c r="A294" s="969">
        <f>A292+1</f>
        <v>144</v>
      </c>
      <c r="B294" s="972" t="s">
        <v>2464</v>
      </c>
      <c r="C294" s="972" t="s">
        <v>76</v>
      </c>
      <c r="D294" s="971"/>
      <c r="E294" s="972"/>
      <c r="F294" s="972"/>
      <c r="G294" s="972"/>
      <c r="H294" s="972"/>
      <c r="I294" s="976"/>
      <c r="J294" s="977"/>
      <c r="K294" s="986"/>
      <c r="L294" s="986"/>
      <c r="M294" s="986"/>
      <c r="N294" s="986"/>
      <c r="O294" s="986"/>
      <c r="P294" s="986"/>
      <c r="Q294" s="1574"/>
      <c r="R294" s="987"/>
    </row>
    <row r="295" spans="1:18" ht="30" customHeight="1">
      <c r="A295" s="969"/>
      <c r="B295" s="972"/>
      <c r="C295" s="972"/>
      <c r="D295" s="971"/>
      <c r="E295" s="972"/>
      <c r="F295" s="972"/>
      <c r="G295" s="972"/>
      <c r="H295" s="972"/>
      <c r="I295" s="976"/>
      <c r="J295" s="977">
        <v>377.37599999999998</v>
      </c>
      <c r="K295" s="986"/>
      <c r="L295" s="986"/>
      <c r="M295" s="986"/>
      <c r="N295" s="986"/>
      <c r="O295" s="986"/>
      <c r="P295" s="986"/>
      <c r="Q295" s="1574"/>
      <c r="R295" s="987"/>
    </row>
    <row r="296" spans="1:18" ht="30" customHeight="1">
      <c r="A296" s="969">
        <f>A294+1</f>
        <v>145</v>
      </c>
      <c r="B296" s="972" t="s">
        <v>2465</v>
      </c>
      <c r="C296" s="972" t="s">
        <v>76</v>
      </c>
      <c r="D296" s="971"/>
      <c r="E296" s="972"/>
      <c r="F296" s="972"/>
      <c r="G296" s="972"/>
      <c r="H296" s="972"/>
      <c r="I296" s="976"/>
      <c r="J296" s="977"/>
      <c r="K296" s="986"/>
      <c r="L296" s="986"/>
      <c r="M296" s="986"/>
      <c r="N296" s="986"/>
      <c r="O296" s="986"/>
      <c r="P296" s="986"/>
      <c r="Q296" s="1574"/>
      <c r="R296" s="987"/>
    </row>
    <row r="297" spans="1:18" ht="30" customHeight="1">
      <c r="A297" s="969"/>
      <c r="B297" s="972"/>
      <c r="C297" s="972"/>
      <c r="D297" s="971"/>
      <c r="E297" s="972"/>
      <c r="F297" s="972"/>
      <c r="G297" s="972"/>
      <c r="H297" s="972"/>
      <c r="I297" s="976"/>
      <c r="J297" s="977">
        <v>385.34899999999999</v>
      </c>
      <c r="K297" s="986"/>
      <c r="L297" s="986"/>
      <c r="M297" s="986"/>
      <c r="N297" s="986"/>
      <c r="O297" s="986"/>
      <c r="P297" s="986"/>
      <c r="Q297" s="1575"/>
      <c r="R297" s="987"/>
    </row>
    <row r="298" spans="1:18" ht="30" customHeight="1">
      <c r="A298" s="969">
        <f>A296+1</f>
        <v>146</v>
      </c>
      <c r="B298" s="972" t="s">
        <v>3002</v>
      </c>
      <c r="C298" s="972" t="s">
        <v>1269</v>
      </c>
      <c r="D298" s="971" t="s">
        <v>2488</v>
      </c>
      <c r="E298" s="972"/>
      <c r="F298" s="972"/>
      <c r="G298" s="972"/>
      <c r="H298" s="972"/>
      <c r="I298" s="976"/>
      <c r="J298" s="977"/>
      <c r="K298" s="986"/>
      <c r="L298" s="986"/>
      <c r="M298" s="986"/>
      <c r="N298" s="986"/>
      <c r="O298" s="986"/>
      <c r="P298" s="986"/>
      <c r="Q298" s="973"/>
      <c r="R298" s="987"/>
    </row>
    <row r="299" spans="1:18" ht="30" customHeight="1">
      <c r="A299" s="969"/>
      <c r="B299" s="972"/>
      <c r="C299" s="972"/>
      <c r="D299" s="971"/>
      <c r="E299" s="972"/>
      <c r="F299" s="972"/>
      <c r="G299" s="972"/>
      <c r="H299" s="972"/>
      <c r="I299" s="976"/>
      <c r="J299" s="977">
        <v>395.25200000000001</v>
      </c>
      <c r="K299" s="986"/>
      <c r="L299" s="986"/>
      <c r="M299" s="986"/>
      <c r="N299" s="986"/>
      <c r="O299" s="986"/>
      <c r="P299" s="986"/>
      <c r="Q299" s="1573"/>
      <c r="R299" s="987"/>
    </row>
    <row r="300" spans="1:18" ht="30" customHeight="1">
      <c r="A300" s="969">
        <f>A298+1</f>
        <v>147</v>
      </c>
      <c r="B300" s="972" t="s">
        <v>2467</v>
      </c>
      <c r="C300" s="972" t="s">
        <v>62</v>
      </c>
      <c r="D300" s="971"/>
      <c r="E300" s="972"/>
      <c r="F300" s="972"/>
      <c r="G300" s="972"/>
      <c r="H300" s="972"/>
      <c r="I300" s="976" t="s">
        <v>1765</v>
      </c>
      <c r="J300" s="977"/>
      <c r="K300" s="986"/>
      <c r="L300" s="986" t="s">
        <v>2919</v>
      </c>
      <c r="M300" s="970" t="s">
        <v>1009</v>
      </c>
      <c r="N300" s="970" t="s">
        <v>1009</v>
      </c>
      <c r="O300" s="986" t="s">
        <v>1009</v>
      </c>
      <c r="P300" s="986"/>
      <c r="Q300" s="1574"/>
      <c r="R300" s="987"/>
    </row>
    <row r="301" spans="1:18" ht="30" customHeight="1">
      <c r="A301" s="969"/>
      <c r="B301" s="972"/>
      <c r="C301" s="972"/>
      <c r="D301" s="971"/>
      <c r="E301" s="972"/>
      <c r="F301" s="972"/>
      <c r="G301" s="972"/>
      <c r="H301" s="972"/>
      <c r="I301" s="976"/>
      <c r="J301" s="977">
        <v>358.29399999999998</v>
      </c>
      <c r="K301" s="986"/>
      <c r="L301" s="986"/>
      <c r="M301" s="986"/>
      <c r="N301" s="986"/>
      <c r="O301" s="986"/>
      <c r="P301" s="986"/>
      <c r="Q301" s="1575"/>
      <c r="R301" s="987"/>
    </row>
    <row r="302" spans="1:18" ht="30" customHeight="1">
      <c r="A302" s="969">
        <f>A300+1</f>
        <v>148</v>
      </c>
      <c r="B302" s="972" t="s">
        <v>3003</v>
      </c>
      <c r="C302" s="985" t="s">
        <v>1277</v>
      </c>
      <c r="D302" s="971" t="s">
        <v>2492</v>
      </c>
      <c r="E302" s="972"/>
      <c r="F302" s="972"/>
      <c r="G302" s="972"/>
      <c r="H302" s="972"/>
      <c r="I302" s="976" t="s">
        <v>1765</v>
      </c>
      <c r="J302" s="978"/>
      <c r="K302" s="986"/>
      <c r="L302" s="986" t="s">
        <v>2919</v>
      </c>
      <c r="M302" s="970" t="s">
        <v>1009</v>
      </c>
      <c r="N302" s="970" t="s">
        <v>1009</v>
      </c>
      <c r="O302" s="986" t="s">
        <v>22</v>
      </c>
      <c r="P302" s="986"/>
      <c r="Q302" s="973"/>
      <c r="R302" s="987"/>
    </row>
    <row r="303" spans="1:18" ht="30" customHeight="1">
      <c r="A303" s="969"/>
      <c r="B303" s="972"/>
      <c r="C303" s="972"/>
      <c r="D303" s="971"/>
      <c r="E303" s="972"/>
      <c r="F303" s="972"/>
      <c r="G303" s="972"/>
      <c r="H303" s="972"/>
      <c r="I303" s="976"/>
      <c r="J303" s="977">
        <v>426.27600000000001</v>
      </c>
      <c r="K303" s="986"/>
      <c r="L303" s="986"/>
      <c r="M303" s="986"/>
      <c r="N303" s="986"/>
      <c r="O303" s="986"/>
      <c r="P303" s="986"/>
      <c r="Q303" s="973"/>
      <c r="R303" s="988" t="s">
        <v>3226</v>
      </c>
    </row>
    <row r="304" spans="1:18" ht="30" customHeight="1">
      <c r="A304" s="969">
        <f>A302+1</f>
        <v>149</v>
      </c>
      <c r="B304" s="972" t="s">
        <v>3119</v>
      </c>
      <c r="C304" s="985" t="s">
        <v>1977</v>
      </c>
      <c r="D304" s="971" t="s">
        <v>3126</v>
      </c>
      <c r="E304" s="972"/>
      <c r="F304" s="972"/>
      <c r="G304" s="972"/>
      <c r="H304" s="972"/>
      <c r="I304" s="976" t="s">
        <v>2736</v>
      </c>
      <c r="J304" s="977"/>
      <c r="K304" s="986"/>
      <c r="L304" s="986" t="s">
        <v>2919</v>
      </c>
      <c r="M304" s="970" t="s">
        <v>1009</v>
      </c>
      <c r="N304" s="986"/>
      <c r="O304" s="986" t="s">
        <v>1009</v>
      </c>
      <c r="P304" s="986"/>
      <c r="Q304" s="973"/>
      <c r="R304" s="987"/>
    </row>
    <row r="305" spans="1:18" ht="30" customHeight="1">
      <c r="A305" s="969"/>
      <c r="B305" s="972"/>
      <c r="C305" s="972"/>
      <c r="D305" s="971"/>
      <c r="E305" s="972"/>
      <c r="F305" s="972"/>
      <c r="G305" s="972"/>
      <c r="H305" s="972"/>
      <c r="I305" s="976"/>
      <c r="J305" s="977">
        <v>217.161</v>
      </c>
      <c r="K305" s="986"/>
      <c r="L305" s="986"/>
      <c r="M305" s="986"/>
      <c r="N305" s="986"/>
      <c r="O305" s="986"/>
      <c r="P305" s="986"/>
      <c r="Q305" s="973"/>
      <c r="R305" s="987"/>
    </row>
    <row r="306" spans="1:18" ht="30" customHeight="1">
      <c r="A306" s="969">
        <f>A304+1</f>
        <v>150</v>
      </c>
      <c r="B306" s="972" t="s">
        <v>3120</v>
      </c>
      <c r="C306" s="972" t="s">
        <v>2197</v>
      </c>
      <c r="D306" s="971" t="s">
        <v>3127</v>
      </c>
      <c r="E306" s="972"/>
      <c r="F306" s="972"/>
      <c r="G306" s="972"/>
      <c r="H306" s="972"/>
      <c r="I306" s="976" t="s">
        <v>2736</v>
      </c>
      <c r="J306" s="977"/>
      <c r="K306" s="986"/>
      <c r="L306" s="986" t="s">
        <v>2919</v>
      </c>
      <c r="M306" s="970" t="s">
        <v>1009</v>
      </c>
      <c r="N306" s="970" t="s">
        <v>1009</v>
      </c>
      <c r="O306" s="986"/>
      <c r="P306" s="986"/>
      <c r="Q306" s="973"/>
      <c r="R306" s="987"/>
    </row>
    <row r="307" spans="1:18" ht="30" customHeight="1">
      <c r="A307" s="969"/>
      <c r="B307" s="972"/>
      <c r="C307" s="972"/>
      <c r="D307" s="971"/>
      <c r="E307" s="972"/>
      <c r="F307" s="972"/>
      <c r="G307" s="972"/>
      <c r="H307" s="972"/>
      <c r="I307" s="976"/>
      <c r="J307" s="977">
        <v>425.24400000000003</v>
      </c>
      <c r="K307" s="986"/>
      <c r="L307" s="986"/>
      <c r="M307" s="986"/>
      <c r="N307" s="986"/>
      <c r="O307" s="986"/>
      <c r="P307" s="986"/>
      <c r="Q307" s="973"/>
      <c r="R307" s="987"/>
    </row>
    <row r="308" spans="1:18" ht="30" customHeight="1">
      <c r="A308" s="969">
        <f>A306+1</f>
        <v>151</v>
      </c>
      <c r="B308" s="972" t="s">
        <v>3121</v>
      </c>
      <c r="C308" s="972" t="s">
        <v>3222</v>
      </c>
      <c r="D308" s="971"/>
      <c r="E308" s="972"/>
      <c r="F308" s="972"/>
      <c r="G308" s="972"/>
      <c r="H308" s="972"/>
      <c r="I308" s="976" t="s">
        <v>1765</v>
      </c>
      <c r="J308" s="977"/>
      <c r="K308" s="986"/>
      <c r="L308" s="986" t="s">
        <v>2919</v>
      </c>
      <c r="M308" s="970" t="s">
        <v>1009</v>
      </c>
      <c r="N308" s="970" t="s">
        <v>1009</v>
      </c>
      <c r="O308" s="986"/>
      <c r="P308" s="986"/>
      <c r="Q308" s="973"/>
      <c r="R308" s="987"/>
    </row>
    <row r="309" spans="1:18" ht="30" customHeight="1">
      <c r="A309" s="969"/>
      <c r="B309" s="972"/>
      <c r="C309" s="972"/>
      <c r="D309" s="971"/>
      <c r="E309" s="972"/>
      <c r="F309" s="972"/>
      <c r="G309" s="972"/>
      <c r="H309" s="972"/>
      <c r="I309" s="976"/>
      <c r="J309" s="977">
        <v>373.291</v>
      </c>
      <c r="K309" s="986"/>
      <c r="L309" s="986"/>
      <c r="M309" s="986"/>
      <c r="N309" s="986"/>
      <c r="O309" s="986"/>
      <c r="P309" s="986"/>
      <c r="Q309" s="973"/>
      <c r="R309" s="987"/>
    </row>
    <row r="310" spans="1:18" ht="30" customHeight="1">
      <c r="A310" s="969">
        <f>A308+1</f>
        <v>152</v>
      </c>
      <c r="B310" s="972" t="s">
        <v>3122</v>
      </c>
      <c r="C310" s="972" t="s">
        <v>2023</v>
      </c>
      <c r="D310" s="971" t="s">
        <v>3128</v>
      </c>
      <c r="E310" s="972">
        <v>2</v>
      </c>
      <c r="F310" s="972">
        <v>2</v>
      </c>
      <c r="G310" s="972">
        <v>2</v>
      </c>
      <c r="H310" s="972">
        <v>2</v>
      </c>
      <c r="I310" s="976" t="s">
        <v>2736</v>
      </c>
      <c r="J310" s="977"/>
      <c r="K310" s="986"/>
      <c r="L310" s="986" t="s">
        <v>2919</v>
      </c>
      <c r="M310" s="970" t="s">
        <v>1009</v>
      </c>
      <c r="N310" s="970" t="s">
        <v>1009</v>
      </c>
      <c r="O310" s="986"/>
      <c r="P310" s="986"/>
      <c r="Q310" s="973"/>
      <c r="R310" s="987"/>
    </row>
    <row r="311" spans="1:18" ht="30" customHeight="1">
      <c r="A311" s="969"/>
      <c r="B311" s="972"/>
      <c r="C311" s="972"/>
      <c r="D311" s="971"/>
      <c r="E311" s="972"/>
      <c r="F311" s="972"/>
      <c r="G311" s="972"/>
      <c r="H311" s="972"/>
      <c r="I311" s="976"/>
      <c r="J311" s="977">
        <v>240.81</v>
      </c>
      <c r="K311" s="986"/>
      <c r="L311" s="986"/>
      <c r="M311" s="986"/>
      <c r="N311" s="986"/>
      <c r="O311" s="986"/>
      <c r="P311" s="986"/>
      <c r="Q311" s="973"/>
      <c r="R311" s="988" t="s">
        <v>3227</v>
      </c>
    </row>
    <row r="312" spans="1:18" ht="30" customHeight="1">
      <c r="A312" s="969">
        <f>A310+1</f>
        <v>153</v>
      </c>
      <c r="B312" s="972" t="s">
        <v>3123</v>
      </c>
      <c r="C312" s="972" t="s">
        <v>3223</v>
      </c>
      <c r="D312" s="971" t="s">
        <v>3129</v>
      </c>
      <c r="E312" s="972">
        <v>2</v>
      </c>
      <c r="F312" s="972">
        <v>2</v>
      </c>
      <c r="G312" s="972">
        <v>2</v>
      </c>
      <c r="H312" s="972">
        <v>2</v>
      </c>
      <c r="I312" s="976" t="s">
        <v>2736</v>
      </c>
      <c r="J312" s="977"/>
      <c r="K312" s="986"/>
      <c r="L312" s="970" t="s">
        <v>2919</v>
      </c>
      <c r="M312" s="970" t="s">
        <v>1009</v>
      </c>
      <c r="N312" s="970" t="s">
        <v>1009</v>
      </c>
      <c r="O312" s="986"/>
      <c r="P312" s="986"/>
      <c r="Q312" s="973"/>
      <c r="R312" s="987"/>
    </row>
    <row r="313" spans="1:18" ht="30" customHeight="1">
      <c r="A313" s="969"/>
      <c r="B313" s="972"/>
      <c r="C313" s="972"/>
      <c r="D313" s="971"/>
      <c r="E313" s="972"/>
      <c r="F313" s="972"/>
      <c r="G313" s="972"/>
      <c r="H313" s="972"/>
      <c r="I313" s="976"/>
      <c r="J313" s="977">
        <v>501.81299999999999</v>
      </c>
      <c r="K313" s="986"/>
      <c r="L313" s="986"/>
      <c r="M313" s="986"/>
      <c r="N313" s="986"/>
      <c r="O313" s="986"/>
      <c r="P313" s="986"/>
      <c r="Q313" s="973"/>
      <c r="R313" s="987"/>
    </row>
    <row r="314" spans="1:18" ht="30" customHeight="1">
      <c r="A314" s="969">
        <f>A312+1</f>
        <v>154</v>
      </c>
      <c r="B314" s="972" t="s">
        <v>3124</v>
      </c>
      <c r="C314" s="985" t="s">
        <v>1977</v>
      </c>
      <c r="D314" s="971" t="s">
        <v>3130</v>
      </c>
      <c r="E314" s="972"/>
      <c r="F314" s="972"/>
      <c r="G314" s="972"/>
      <c r="H314" s="972"/>
      <c r="I314" s="976" t="s">
        <v>2736</v>
      </c>
      <c r="J314" s="977"/>
      <c r="K314" s="986"/>
      <c r="L314" s="986" t="s">
        <v>2919</v>
      </c>
      <c r="M314" s="970" t="s">
        <v>1009</v>
      </c>
      <c r="N314" s="970" t="s">
        <v>1009</v>
      </c>
      <c r="O314" s="970" t="s">
        <v>1009</v>
      </c>
      <c r="P314" s="986"/>
      <c r="Q314" s="973"/>
      <c r="R314" s="987"/>
    </row>
    <row r="315" spans="1:18" ht="30" customHeight="1">
      <c r="A315" s="969"/>
      <c r="B315" s="972"/>
      <c r="C315" s="972"/>
      <c r="D315" s="971"/>
      <c r="E315" s="972"/>
      <c r="F315" s="972"/>
      <c r="G315" s="972"/>
      <c r="H315" s="972"/>
      <c r="I315" s="976"/>
      <c r="J315" s="977">
        <v>244.06800000000001</v>
      </c>
      <c r="K315" s="986"/>
      <c r="L315" s="986"/>
      <c r="M315" s="986"/>
      <c r="N315" s="986"/>
      <c r="O315" s="986"/>
      <c r="P315" s="986"/>
      <c r="Q315" s="973"/>
      <c r="R315" s="988" t="s">
        <v>3228</v>
      </c>
    </row>
    <row r="316" spans="1:18" ht="30" customHeight="1">
      <c r="A316" s="969">
        <f>A314+1</f>
        <v>155</v>
      </c>
      <c r="B316" s="972" t="s">
        <v>3125</v>
      </c>
      <c r="C316" s="972" t="s">
        <v>2197</v>
      </c>
      <c r="D316" s="971" t="s">
        <v>3131</v>
      </c>
      <c r="E316" s="972"/>
      <c r="F316" s="972"/>
      <c r="G316" s="972"/>
      <c r="H316" s="972"/>
      <c r="I316" s="976" t="s">
        <v>2736</v>
      </c>
      <c r="J316" s="977"/>
      <c r="K316" s="986"/>
      <c r="L316" s="986" t="s">
        <v>2919</v>
      </c>
      <c r="M316" s="970" t="s">
        <v>1009</v>
      </c>
      <c r="N316" s="970" t="s">
        <v>1009</v>
      </c>
      <c r="O316" s="986"/>
      <c r="P316" s="986"/>
      <c r="Q316" s="973"/>
      <c r="R316" s="987"/>
    </row>
    <row r="317" spans="1:18" ht="30" customHeight="1">
      <c r="A317" s="969"/>
      <c r="B317" s="972"/>
      <c r="C317" s="972"/>
      <c r="D317" s="971"/>
      <c r="E317" s="972"/>
      <c r="F317" s="972"/>
      <c r="G317" s="972"/>
      <c r="H317" s="972"/>
      <c r="I317" s="976"/>
      <c r="J317" s="977">
        <v>387.815</v>
      </c>
      <c r="K317" s="986"/>
      <c r="L317" s="986"/>
      <c r="M317" s="986"/>
      <c r="N317" s="986"/>
      <c r="O317" s="986"/>
      <c r="P317" s="986"/>
      <c r="Q317" s="973"/>
      <c r="R317" s="987"/>
    </row>
    <row r="318" spans="1:18" ht="30" customHeight="1">
      <c r="A318" s="969">
        <f>A316+1</f>
        <v>156</v>
      </c>
      <c r="B318" s="972" t="s">
        <v>3117</v>
      </c>
      <c r="C318" s="972" t="s">
        <v>3151</v>
      </c>
      <c r="D318" s="971"/>
      <c r="E318" s="972"/>
      <c r="F318" s="972"/>
      <c r="G318" s="972"/>
      <c r="H318" s="972"/>
      <c r="I318" s="976" t="s">
        <v>1765</v>
      </c>
      <c r="J318" s="977"/>
      <c r="K318" s="986"/>
      <c r="L318" s="986" t="s">
        <v>2919</v>
      </c>
      <c r="M318" s="970" t="s">
        <v>1009</v>
      </c>
      <c r="N318" s="970" t="s">
        <v>1009</v>
      </c>
      <c r="O318" s="986" t="s">
        <v>1009</v>
      </c>
      <c r="P318" s="986"/>
      <c r="Q318" s="973"/>
      <c r="R318" s="987"/>
    </row>
    <row r="319" spans="1:18" ht="30" customHeight="1">
      <c r="A319" s="969"/>
      <c r="B319" s="972"/>
      <c r="C319" s="972"/>
      <c r="D319" s="971"/>
      <c r="E319" s="972"/>
      <c r="F319" s="972"/>
      <c r="G319" s="972"/>
      <c r="H319" s="972"/>
      <c r="I319" s="976"/>
      <c r="J319" s="977">
        <v>303.92700000000002</v>
      </c>
      <c r="K319" s="986"/>
      <c r="L319" s="986"/>
      <c r="M319" s="986"/>
      <c r="N319" s="986"/>
      <c r="O319" s="986"/>
      <c r="P319" s="986"/>
      <c r="Q319" s="973"/>
      <c r="R319" s="987"/>
    </row>
    <row r="320" spans="1:18" ht="30" customHeight="1">
      <c r="A320" s="969">
        <f>A318+1</f>
        <v>157</v>
      </c>
      <c r="B320" s="972" t="s">
        <v>3118</v>
      </c>
      <c r="C320" s="972" t="s">
        <v>76</v>
      </c>
      <c r="D320" s="971"/>
      <c r="E320" s="972"/>
      <c r="F320" s="972"/>
      <c r="G320" s="972"/>
      <c r="H320" s="972"/>
      <c r="I320" s="976" t="s">
        <v>1765</v>
      </c>
      <c r="J320" s="977"/>
      <c r="K320" s="986"/>
      <c r="L320" s="986" t="s">
        <v>2919</v>
      </c>
      <c r="M320" s="970" t="s">
        <v>1009</v>
      </c>
      <c r="N320" s="970" t="s">
        <v>1009</v>
      </c>
      <c r="O320" s="978" t="s">
        <v>1009</v>
      </c>
      <c r="P320" s="986"/>
      <c r="Q320" s="973"/>
      <c r="R320" s="1036"/>
    </row>
    <row r="321" spans="1:18">
      <c r="O321" s="962"/>
    </row>
    <row r="322" spans="1:18" ht="30" customHeight="1">
      <c r="A322" s="969">
        <f>A320+1</f>
        <v>158</v>
      </c>
      <c r="B322" s="972" t="s">
        <v>3004</v>
      </c>
      <c r="C322" s="972" t="s">
        <v>3132</v>
      </c>
      <c r="D322" s="971" t="s">
        <v>2499</v>
      </c>
      <c r="E322" s="972"/>
      <c r="F322" s="972"/>
      <c r="G322" s="972"/>
      <c r="H322" s="972"/>
      <c r="I322" s="976" t="s">
        <v>1765</v>
      </c>
      <c r="J322" s="978"/>
      <c r="K322" s="986"/>
      <c r="L322" s="986" t="s">
        <v>2919</v>
      </c>
      <c r="M322" s="970" t="s">
        <v>1009</v>
      </c>
      <c r="N322" s="970" t="s">
        <v>1009</v>
      </c>
      <c r="O322" s="986" t="s">
        <v>1009</v>
      </c>
      <c r="P322" s="986"/>
      <c r="Q322" s="973"/>
      <c r="R322" s="987"/>
    </row>
    <row r="323" spans="1:18" ht="30" customHeight="1">
      <c r="A323" s="969"/>
      <c r="B323" s="972"/>
      <c r="C323" s="972"/>
      <c r="D323" s="971"/>
      <c r="E323" s="972"/>
      <c r="F323" s="972"/>
      <c r="G323" s="972"/>
      <c r="H323" s="972"/>
      <c r="I323" s="976"/>
      <c r="J323" s="977">
        <v>407.94600000000003</v>
      </c>
      <c r="K323" s="986"/>
      <c r="L323" s="986"/>
      <c r="M323" s="986"/>
      <c r="N323" s="986"/>
      <c r="O323" s="986"/>
      <c r="P323" s="986"/>
      <c r="Q323" s="1573"/>
      <c r="R323" s="987"/>
    </row>
    <row r="324" spans="1:18" ht="30" customHeight="1">
      <c r="A324" s="969">
        <f>A322+1</f>
        <v>159</v>
      </c>
      <c r="B324" s="972" t="s">
        <v>2500</v>
      </c>
      <c r="C324" s="972" t="s">
        <v>62</v>
      </c>
      <c r="D324" s="971"/>
      <c r="E324" s="972"/>
      <c r="F324" s="972"/>
      <c r="G324" s="972"/>
      <c r="H324" s="972"/>
      <c r="I324" s="976" t="s">
        <v>1765</v>
      </c>
      <c r="J324" s="977"/>
      <c r="K324" s="986"/>
      <c r="L324" s="986" t="s">
        <v>2919</v>
      </c>
      <c r="M324" s="970" t="s">
        <v>1009</v>
      </c>
      <c r="N324" s="970" t="s">
        <v>1009</v>
      </c>
      <c r="O324" s="978" t="s">
        <v>1009</v>
      </c>
      <c r="P324" s="986"/>
      <c r="Q324" s="1574"/>
      <c r="R324" s="987"/>
    </row>
    <row r="325" spans="1:18" ht="30" customHeight="1">
      <c r="A325" s="969"/>
      <c r="B325" s="972"/>
      <c r="C325" s="972"/>
      <c r="D325" s="971"/>
      <c r="E325" s="972"/>
      <c r="F325" s="972"/>
      <c r="G325" s="972"/>
      <c r="H325" s="972"/>
      <c r="I325" s="976"/>
      <c r="J325" s="977">
        <v>429.84699999999998</v>
      </c>
      <c r="K325" s="986"/>
      <c r="L325" s="986"/>
      <c r="M325" s="986"/>
      <c r="N325" s="986"/>
      <c r="O325" s="986"/>
      <c r="P325" s="986"/>
      <c r="Q325" s="1574"/>
      <c r="R325" s="987"/>
    </row>
    <row r="326" spans="1:18" ht="30" customHeight="1">
      <c r="A326" s="969">
        <f>A324+1</f>
        <v>160</v>
      </c>
      <c r="B326" s="972" t="s">
        <v>2501</v>
      </c>
      <c r="C326" s="972" t="s">
        <v>62</v>
      </c>
      <c r="D326" s="971"/>
      <c r="E326" s="972"/>
      <c r="F326" s="972"/>
      <c r="G326" s="972"/>
      <c r="H326" s="972"/>
      <c r="I326" s="976" t="s">
        <v>1765</v>
      </c>
      <c r="J326" s="977"/>
      <c r="K326" s="986"/>
      <c r="L326" s="986" t="s">
        <v>2919</v>
      </c>
      <c r="M326" s="970" t="s">
        <v>1009</v>
      </c>
      <c r="N326" s="970" t="s">
        <v>1009</v>
      </c>
      <c r="O326" s="978" t="s">
        <v>1009</v>
      </c>
      <c r="P326" s="986"/>
      <c r="Q326" s="1574"/>
      <c r="R326" s="987"/>
    </row>
    <row r="327" spans="1:18" ht="30" customHeight="1">
      <c r="A327" s="969"/>
      <c r="B327" s="972"/>
      <c r="C327" s="972"/>
      <c r="D327" s="971"/>
      <c r="E327" s="972"/>
      <c r="F327" s="972"/>
      <c r="G327" s="972"/>
      <c r="H327" s="972"/>
      <c r="I327" s="976"/>
      <c r="J327" s="977">
        <v>407.77800000000002</v>
      </c>
      <c r="K327" s="986"/>
      <c r="L327" s="986"/>
      <c r="M327" s="986"/>
      <c r="N327" s="986"/>
      <c r="O327" s="986"/>
      <c r="P327" s="986"/>
      <c r="Q327" s="1574"/>
      <c r="R327" s="987"/>
    </row>
    <row r="328" spans="1:18" ht="30" customHeight="1">
      <c r="A328" s="969">
        <f>A326+1</f>
        <v>161</v>
      </c>
      <c r="B328" s="972" t="s">
        <v>2502</v>
      </c>
      <c r="C328" s="972" t="s">
        <v>62</v>
      </c>
      <c r="D328" s="971"/>
      <c r="E328" s="972"/>
      <c r="F328" s="972"/>
      <c r="G328" s="972"/>
      <c r="H328" s="972"/>
      <c r="I328" s="976" t="s">
        <v>1765</v>
      </c>
      <c r="J328" s="977"/>
      <c r="K328" s="986"/>
      <c r="L328" s="986" t="s">
        <v>2919</v>
      </c>
      <c r="M328" s="970" t="s">
        <v>1009</v>
      </c>
      <c r="N328" s="970" t="s">
        <v>1009</v>
      </c>
      <c r="O328" s="978" t="s">
        <v>1009</v>
      </c>
      <c r="P328" s="986"/>
      <c r="Q328" s="1574"/>
      <c r="R328" s="987"/>
    </row>
    <row r="329" spans="1:18" ht="30" customHeight="1">
      <c r="A329" s="969"/>
      <c r="B329" s="972"/>
      <c r="C329" s="972"/>
      <c r="D329" s="971"/>
      <c r="E329" s="972"/>
      <c r="F329" s="972"/>
      <c r="G329" s="972"/>
      <c r="H329" s="972"/>
      <c r="I329" s="976"/>
      <c r="J329" s="977">
        <v>416.733</v>
      </c>
      <c r="K329" s="986"/>
      <c r="L329" s="986"/>
      <c r="M329" s="986"/>
      <c r="N329" s="986"/>
      <c r="O329" s="986"/>
      <c r="P329" s="986"/>
      <c r="Q329" s="1574"/>
      <c r="R329" s="987"/>
    </row>
    <row r="330" spans="1:18" ht="30" customHeight="1">
      <c r="A330" s="969">
        <f>A328+1</f>
        <v>162</v>
      </c>
      <c r="B330" s="972" t="s">
        <v>2503</v>
      </c>
      <c r="C330" s="972" t="s">
        <v>76</v>
      </c>
      <c r="D330" s="971"/>
      <c r="E330" s="972"/>
      <c r="F330" s="972"/>
      <c r="G330" s="972"/>
      <c r="H330" s="972"/>
      <c r="I330" s="976" t="s">
        <v>1765</v>
      </c>
      <c r="J330" s="977"/>
      <c r="K330" s="986"/>
      <c r="L330" s="986" t="s">
        <v>2919</v>
      </c>
      <c r="M330" s="970" t="s">
        <v>1009</v>
      </c>
      <c r="N330" s="970" t="s">
        <v>1009</v>
      </c>
      <c r="O330" s="978" t="s">
        <v>1009</v>
      </c>
      <c r="P330" s="986"/>
      <c r="Q330" s="1574"/>
      <c r="R330" s="987"/>
    </row>
    <row r="331" spans="1:18" ht="30" customHeight="1">
      <c r="A331" s="969"/>
      <c r="B331" s="972"/>
      <c r="C331" s="972"/>
      <c r="D331" s="971"/>
      <c r="E331" s="972"/>
      <c r="F331" s="972"/>
      <c r="G331" s="972"/>
      <c r="H331" s="972"/>
      <c r="I331" s="976"/>
      <c r="J331" s="977">
        <v>421.34500000000003</v>
      </c>
      <c r="K331" s="986"/>
      <c r="L331" s="986"/>
      <c r="M331" s="986"/>
      <c r="N331" s="986"/>
      <c r="O331" s="986"/>
      <c r="P331" s="986"/>
      <c r="Q331" s="1574"/>
      <c r="R331" s="987"/>
    </row>
    <row r="332" spans="1:18" ht="30" customHeight="1">
      <c r="A332" s="969">
        <f>A330+1</f>
        <v>163</v>
      </c>
      <c r="B332" s="972" t="s">
        <v>2504</v>
      </c>
      <c r="C332" s="972" t="s">
        <v>62</v>
      </c>
      <c r="D332" s="971"/>
      <c r="E332" s="972"/>
      <c r="F332" s="972"/>
      <c r="G332" s="972"/>
      <c r="H332" s="972"/>
      <c r="I332" s="976" t="s">
        <v>1765</v>
      </c>
      <c r="J332" s="977"/>
      <c r="K332" s="986"/>
      <c r="L332" s="986" t="s">
        <v>2919</v>
      </c>
      <c r="M332" s="970" t="s">
        <v>1009</v>
      </c>
      <c r="N332" s="970" t="s">
        <v>1009</v>
      </c>
      <c r="O332" s="978" t="s">
        <v>1009</v>
      </c>
      <c r="P332" s="986"/>
      <c r="Q332" s="1574"/>
      <c r="R332" s="987"/>
    </row>
    <row r="333" spans="1:18" ht="30" customHeight="1">
      <c r="A333" s="969"/>
      <c r="B333" s="972"/>
      <c r="C333" s="972"/>
      <c r="D333" s="971"/>
      <c r="E333" s="972"/>
      <c r="F333" s="972"/>
      <c r="G333" s="972"/>
      <c r="H333" s="972"/>
      <c r="I333" s="976"/>
      <c r="J333" s="977">
        <v>385.64</v>
      </c>
      <c r="K333" s="986"/>
      <c r="L333" s="986"/>
      <c r="M333" s="986"/>
      <c r="N333" s="986"/>
      <c r="O333" s="986"/>
      <c r="P333" s="986"/>
      <c r="Q333" s="1574"/>
      <c r="R333" s="987"/>
    </row>
    <row r="334" spans="1:18" ht="30" customHeight="1">
      <c r="A334" s="969">
        <f>A332+1</f>
        <v>164</v>
      </c>
      <c r="B334" s="972" t="s">
        <v>2505</v>
      </c>
      <c r="C334" s="1004" t="s">
        <v>249</v>
      </c>
      <c r="D334" s="971"/>
      <c r="E334" s="972"/>
      <c r="F334" s="972"/>
      <c r="G334" s="972"/>
      <c r="H334" s="972"/>
      <c r="I334" s="976" t="s">
        <v>1765</v>
      </c>
      <c r="J334" s="977"/>
      <c r="K334" s="986"/>
      <c r="L334" s="986" t="s">
        <v>2919</v>
      </c>
      <c r="M334" s="970" t="s">
        <v>1009</v>
      </c>
      <c r="N334" s="970" t="s">
        <v>1009</v>
      </c>
      <c r="O334" s="978" t="s">
        <v>1009</v>
      </c>
      <c r="P334" s="986"/>
      <c r="Q334" s="1574"/>
      <c r="R334" s="987"/>
    </row>
    <row r="335" spans="1:18" ht="30" customHeight="1">
      <c r="A335" s="969"/>
      <c r="B335" s="972"/>
      <c r="C335" s="972"/>
      <c r="D335" s="971"/>
      <c r="E335" s="972"/>
      <c r="F335" s="972"/>
      <c r="G335" s="972"/>
      <c r="H335" s="972"/>
      <c r="I335" s="976"/>
      <c r="J335" s="977">
        <v>372.69900000000001</v>
      </c>
      <c r="K335" s="986"/>
      <c r="L335" s="986"/>
      <c r="M335" s="986"/>
      <c r="N335" s="986"/>
      <c r="O335" s="986"/>
      <c r="P335" s="986"/>
      <c r="Q335" s="1575"/>
      <c r="R335" s="988" t="s">
        <v>3229</v>
      </c>
    </row>
    <row r="336" spans="1:18" ht="30" customHeight="1">
      <c r="A336" s="969">
        <f>A334+1</f>
        <v>165</v>
      </c>
      <c r="B336" s="972" t="s">
        <v>3005</v>
      </c>
      <c r="C336" s="972" t="s">
        <v>1953</v>
      </c>
      <c r="D336" s="971" t="s">
        <v>2507</v>
      </c>
      <c r="E336" s="972">
        <v>1.5</v>
      </c>
      <c r="F336" s="972">
        <v>1.5</v>
      </c>
      <c r="G336" s="972">
        <v>1.5</v>
      </c>
      <c r="H336" s="972">
        <v>1.5</v>
      </c>
      <c r="I336" s="976" t="s">
        <v>1765</v>
      </c>
      <c r="J336" s="977"/>
      <c r="K336" s="986"/>
      <c r="L336" s="986" t="s">
        <v>2919</v>
      </c>
      <c r="M336" s="970" t="s">
        <v>1009</v>
      </c>
      <c r="N336" s="970" t="s">
        <v>1009</v>
      </c>
      <c r="O336" s="986" t="s">
        <v>1009</v>
      </c>
      <c r="P336" s="986"/>
      <c r="Q336" s="973"/>
      <c r="R336" s="987"/>
    </row>
    <row r="337" spans="1:18" ht="30" customHeight="1">
      <c r="A337" s="969"/>
      <c r="B337" s="972"/>
      <c r="C337" s="972"/>
      <c r="D337" s="971"/>
      <c r="E337" s="972"/>
      <c r="F337" s="972"/>
      <c r="G337" s="972"/>
      <c r="H337" s="972"/>
      <c r="I337" s="976"/>
      <c r="J337" s="977">
        <v>407.91199999999998</v>
      </c>
      <c r="K337" s="986"/>
      <c r="L337" s="986"/>
      <c r="M337" s="986"/>
      <c r="N337" s="986"/>
      <c r="O337" s="986"/>
      <c r="P337" s="986"/>
      <c r="Q337" s="1573"/>
      <c r="R337" s="1020"/>
    </row>
    <row r="338" spans="1:18" ht="30" customHeight="1">
      <c r="A338" s="969">
        <f>A336+1</f>
        <v>166</v>
      </c>
      <c r="B338" s="972" t="s">
        <v>2508</v>
      </c>
      <c r="C338" s="972" t="s">
        <v>62</v>
      </c>
      <c r="D338" s="971"/>
      <c r="E338" s="972"/>
      <c r="F338" s="972"/>
      <c r="G338" s="972"/>
      <c r="H338" s="972"/>
      <c r="I338" s="976" t="s">
        <v>1765</v>
      </c>
      <c r="J338" s="977"/>
      <c r="K338" s="986"/>
      <c r="L338" s="986" t="s">
        <v>2919</v>
      </c>
      <c r="M338" s="970" t="s">
        <v>1009</v>
      </c>
      <c r="N338" s="970" t="s">
        <v>1009</v>
      </c>
      <c r="O338" s="978" t="s">
        <v>1009</v>
      </c>
      <c r="P338" s="986"/>
      <c r="Q338" s="1574"/>
      <c r="R338" s="987"/>
    </row>
    <row r="339" spans="1:18" ht="30" customHeight="1">
      <c r="A339" s="969"/>
      <c r="B339" s="972"/>
      <c r="C339" s="972"/>
      <c r="D339" s="971"/>
      <c r="E339" s="972"/>
      <c r="F339" s="972"/>
      <c r="G339" s="972"/>
      <c r="H339" s="972"/>
      <c r="I339" s="976"/>
      <c r="J339" s="977">
        <v>408.16500000000002</v>
      </c>
      <c r="K339" s="986"/>
      <c r="L339" s="986"/>
      <c r="M339" s="986"/>
      <c r="N339" s="986"/>
      <c r="O339" s="986"/>
      <c r="P339" s="986"/>
      <c r="Q339" s="1575"/>
      <c r="R339" s="987"/>
    </row>
    <row r="340" spans="1:18" ht="30" customHeight="1">
      <c r="A340" s="969">
        <f>A338+1</f>
        <v>167</v>
      </c>
      <c r="B340" s="972" t="s">
        <v>3006</v>
      </c>
      <c r="C340" s="972" t="s">
        <v>1402</v>
      </c>
      <c r="D340" s="971" t="s">
        <v>2510</v>
      </c>
      <c r="E340" s="972"/>
      <c r="F340" s="972"/>
      <c r="G340" s="972"/>
      <c r="H340" s="972"/>
      <c r="I340" s="976"/>
      <c r="J340" s="977"/>
      <c r="K340" s="986"/>
      <c r="L340" s="986"/>
      <c r="M340" s="986"/>
      <c r="N340" s="986"/>
      <c r="O340" s="986"/>
      <c r="P340" s="986"/>
      <c r="Q340" s="973"/>
      <c r="R340" s="987"/>
    </row>
    <row r="341" spans="1:18" ht="38" customHeight="1">
      <c r="A341" s="969"/>
      <c r="B341" s="972"/>
      <c r="C341" s="972"/>
      <c r="D341" s="971"/>
      <c r="E341" s="972"/>
      <c r="F341" s="972"/>
      <c r="G341" s="972"/>
      <c r="H341" s="972"/>
      <c r="I341" s="976"/>
      <c r="J341" s="977">
        <v>227.36600000000001</v>
      </c>
      <c r="K341" s="986"/>
      <c r="L341" s="986"/>
      <c r="M341" s="986"/>
      <c r="N341" s="986"/>
      <c r="O341" s="986"/>
      <c r="P341" s="986"/>
      <c r="Q341" s="973"/>
      <c r="R341" s="990" t="s">
        <v>3230</v>
      </c>
    </row>
    <row r="342" spans="1:18" ht="30" customHeight="1">
      <c r="A342" s="969">
        <f>A340+1</f>
        <v>168</v>
      </c>
      <c r="B342" s="972" t="s">
        <v>3007</v>
      </c>
      <c r="C342" s="972" t="s">
        <v>90</v>
      </c>
      <c r="D342" s="971" t="s">
        <v>2512</v>
      </c>
      <c r="E342" s="972"/>
      <c r="F342" s="972"/>
      <c r="G342" s="972"/>
      <c r="H342" s="972"/>
      <c r="I342" s="976"/>
      <c r="J342" s="977"/>
      <c r="K342" s="986"/>
      <c r="L342" s="970" t="s">
        <v>2919</v>
      </c>
      <c r="M342" s="970"/>
      <c r="N342" s="986"/>
      <c r="O342" s="986"/>
      <c r="P342" s="986"/>
      <c r="Q342" s="973"/>
      <c r="R342" s="987"/>
    </row>
    <row r="343" spans="1:18" ht="30" customHeight="1">
      <c r="A343" s="969"/>
      <c r="B343" s="972"/>
      <c r="C343" s="972"/>
      <c r="D343" s="971"/>
      <c r="E343" s="972"/>
      <c r="F343" s="972"/>
      <c r="G343" s="972"/>
      <c r="H343" s="972"/>
      <c r="I343" s="976"/>
      <c r="J343" s="977">
        <v>401.36599999999999</v>
      </c>
      <c r="K343" s="986"/>
      <c r="L343" s="986"/>
      <c r="M343" s="986"/>
      <c r="N343" s="986"/>
      <c r="O343" s="986"/>
      <c r="P343" s="986"/>
      <c r="Q343" s="973"/>
      <c r="R343" s="987"/>
    </row>
    <row r="344" spans="1:18" ht="30" customHeight="1">
      <c r="A344" s="969">
        <f>A342+1</f>
        <v>169</v>
      </c>
      <c r="B344" s="972" t="s">
        <v>3008</v>
      </c>
      <c r="C344" s="972" t="s">
        <v>90</v>
      </c>
      <c r="D344" s="971" t="s">
        <v>2514</v>
      </c>
      <c r="E344" s="972"/>
      <c r="F344" s="972"/>
      <c r="G344" s="972"/>
      <c r="H344" s="972"/>
      <c r="I344" s="976" t="s">
        <v>1765</v>
      </c>
      <c r="J344" s="977"/>
      <c r="K344" s="986"/>
      <c r="L344" s="986" t="s">
        <v>2919</v>
      </c>
      <c r="M344" s="970" t="s">
        <v>1009</v>
      </c>
      <c r="N344" s="970" t="s">
        <v>1009</v>
      </c>
      <c r="O344" s="978" t="s">
        <v>1009</v>
      </c>
      <c r="P344" s="986"/>
      <c r="Q344" s="973"/>
      <c r="R344" s="1034"/>
    </row>
    <row r="345" spans="1:18" ht="30" customHeight="1">
      <c r="A345" s="969"/>
      <c r="B345" s="972"/>
      <c r="C345" s="972"/>
      <c r="D345" s="971"/>
      <c r="E345" s="972"/>
      <c r="F345" s="972"/>
      <c r="G345" s="972"/>
      <c r="H345" s="972"/>
      <c r="I345" s="976"/>
      <c r="J345" s="977">
        <v>403.06400000000002</v>
      </c>
      <c r="K345" s="986"/>
      <c r="L345" s="986"/>
      <c r="M345" s="986"/>
      <c r="N345" s="986"/>
      <c r="O345" s="986"/>
      <c r="P345" s="986"/>
      <c r="Q345" s="1573"/>
      <c r="R345" s="987"/>
    </row>
    <row r="346" spans="1:18" ht="30" customHeight="1">
      <c r="A346" s="969">
        <f>A344+1</f>
        <v>170</v>
      </c>
      <c r="B346" s="972" t="s">
        <v>2515</v>
      </c>
      <c r="C346" s="972" t="s">
        <v>53</v>
      </c>
      <c r="D346" s="971"/>
      <c r="E346" s="972"/>
      <c r="F346" s="972"/>
      <c r="G346" s="972"/>
      <c r="H346" s="972"/>
      <c r="I346" s="976" t="s">
        <v>1765</v>
      </c>
      <c r="J346" s="977"/>
      <c r="K346" s="986"/>
      <c r="L346" s="986" t="s">
        <v>2919</v>
      </c>
      <c r="M346" s="970" t="s">
        <v>1009</v>
      </c>
      <c r="N346" s="970" t="s">
        <v>1009</v>
      </c>
      <c r="O346" s="978" t="s">
        <v>1009</v>
      </c>
      <c r="P346" s="986"/>
      <c r="Q346" s="1574"/>
      <c r="R346" s="1034"/>
    </row>
    <row r="347" spans="1:18" ht="30" customHeight="1">
      <c r="A347" s="969"/>
      <c r="B347" s="972"/>
      <c r="C347" s="972"/>
      <c r="D347" s="971"/>
      <c r="E347" s="972"/>
      <c r="F347" s="972"/>
      <c r="G347" s="972"/>
      <c r="H347" s="972"/>
      <c r="I347" s="976"/>
      <c r="J347" s="977">
        <v>398.93299999999999</v>
      </c>
      <c r="K347" s="986"/>
      <c r="L347" s="986"/>
      <c r="M347" s="986"/>
      <c r="N347" s="986"/>
      <c r="O347" s="986"/>
      <c r="P347" s="986"/>
      <c r="Q347" s="1574"/>
      <c r="R347" s="987"/>
    </row>
    <row r="348" spans="1:18" ht="30" customHeight="1">
      <c r="A348" s="969">
        <f>A346+1</f>
        <v>171</v>
      </c>
      <c r="B348" s="972" t="s">
        <v>2516</v>
      </c>
      <c r="C348" s="972" t="s">
        <v>62</v>
      </c>
      <c r="D348" s="971"/>
      <c r="E348" s="972"/>
      <c r="F348" s="972"/>
      <c r="G348" s="972"/>
      <c r="H348" s="972"/>
      <c r="I348" s="976" t="s">
        <v>1765</v>
      </c>
      <c r="J348" s="977"/>
      <c r="K348" s="986"/>
      <c r="L348" s="986" t="s">
        <v>2919</v>
      </c>
      <c r="M348" s="970" t="s">
        <v>1009</v>
      </c>
      <c r="N348" s="970" t="s">
        <v>1009</v>
      </c>
      <c r="O348" s="986" t="s">
        <v>1009</v>
      </c>
      <c r="P348" s="986"/>
      <c r="Q348" s="1574"/>
      <c r="R348" s="987"/>
    </row>
    <row r="349" spans="1:18" ht="30" customHeight="1">
      <c r="A349" s="969"/>
      <c r="B349" s="972"/>
      <c r="C349" s="972"/>
      <c r="D349" s="971"/>
      <c r="E349" s="972"/>
      <c r="F349" s="972"/>
      <c r="G349" s="972"/>
      <c r="H349" s="972"/>
      <c r="I349" s="976"/>
      <c r="J349" s="977">
        <v>419.90499999999997</v>
      </c>
      <c r="K349" s="986"/>
      <c r="L349" s="986"/>
      <c r="M349" s="986"/>
      <c r="N349" s="986"/>
      <c r="O349" s="986"/>
      <c r="P349" s="986"/>
      <c r="Q349" s="1575"/>
      <c r="R349" s="987"/>
    </row>
    <row r="350" spans="1:18" ht="30" customHeight="1">
      <c r="A350" s="969">
        <f>A348+1</f>
        <v>172</v>
      </c>
      <c r="B350" s="972" t="s">
        <v>3009</v>
      </c>
      <c r="C350" s="972" t="s">
        <v>1361</v>
      </c>
      <c r="D350" s="971" t="s">
        <v>2546</v>
      </c>
      <c r="E350" s="972"/>
      <c r="F350" s="972"/>
      <c r="G350" s="972"/>
      <c r="H350" s="972"/>
      <c r="I350" s="976" t="s">
        <v>1765</v>
      </c>
      <c r="J350" s="977"/>
      <c r="K350" s="986"/>
      <c r="L350" s="986" t="s">
        <v>2919</v>
      </c>
      <c r="M350" s="970" t="s">
        <v>1009</v>
      </c>
      <c r="N350" s="970" t="s">
        <v>1009</v>
      </c>
      <c r="O350" s="986" t="s">
        <v>1009</v>
      </c>
      <c r="P350" s="986"/>
      <c r="Q350" s="973"/>
      <c r="R350" s="987"/>
    </row>
    <row r="351" spans="1:18" ht="30" customHeight="1">
      <c r="A351" s="969"/>
      <c r="B351" s="972"/>
      <c r="C351" s="972"/>
      <c r="D351" s="971"/>
      <c r="E351" s="972"/>
      <c r="F351" s="972"/>
      <c r="G351" s="972"/>
      <c r="H351" s="972"/>
      <c r="I351" s="976"/>
      <c r="J351" s="977">
        <v>373.38900000000001</v>
      </c>
      <c r="K351" s="986"/>
      <c r="L351" s="986"/>
      <c r="M351" s="986"/>
      <c r="N351" s="986"/>
      <c r="O351" s="986"/>
      <c r="P351" s="986"/>
      <c r="Q351" s="1573"/>
      <c r="R351" s="987"/>
    </row>
    <row r="352" spans="1:18" ht="30" customHeight="1">
      <c r="A352" s="969">
        <f>A350+1</f>
        <v>173</v>
      </c>
      <c r="B352" s="972" t="s">
        <v>2519</v>
      </c>
      <c r="C352" s="972" t="s">
        <v>62</v>
      </c>
      <c r="D352" s="971"/>
      <c r="E352" s="972"/>
      <c r="F352" s="972"/>
      <c r="G352" s="972"/>
      <c r="H352" s="972"/>
      <c r="I352" s="976" t="s">
        <v>1765</v>
      </c>
      <c r="J352" s="977"/>
      <c r="K352" s="986"/>
      <c r="L352" s="986" t="s">
        <v>2919</v>
      </c>
      <c r="M352" s="970" t="s">
        <v>1009</v>
      </c>
      <c r="N352" s="970" t="s">
        <v>1009</v>
      </c>
      <c r="O352" s="978" t="s">
        <v>1009</v>
      </c>
      <c r="P352" s="986"/>
      <c r="Q352" s="1574"/>
      <c r="R352" s="1034"/>
    </row>
    <row r="353" spans="1:18" ht="30" customHeight="1">
      <c r="A353" s="969"/>
      <c r="B353" s="972"/>
      <c r="C353" s="972"/>
      <c r="D353" s="971"/>
      <c r="E353" s="972"/>
      <c r="F353" s="972"/>
      <c r="G353" s="972"/>
      <c r="H353" s="972"/>
      <c r="I353" s="976"/>
      <c r="J353" s="977">
        <v>419.81299999999999</v>
      </c>
      <c r="K353" s="986"/>
      <c r="L353" s="986"/>
      <c r="M353" s="986"/>
      <c r="N353" s="986"/>
      <c r="O353" s="986"/>
      <c r="P353" s="986"/>
      <c r="Q353" s="1574"/>
      <c r="R353" s="965"/>
    </row>
    <row r="354" spans="1:18" ht="30" customHeight="1">
      <c r="A354" s="969">
        <f>A352+1</f>
        <v>174</v>
      </c>
      <c r="B354" s="972" t="s">
        <v>2520</v>
      </c>
      <c r="C354" s="972" t="s">
        <v>62</v>
      </c>
      <c r="D354" s="971"/>
      <c r="E354" s="972"/>
      <c r="F354" s="972"/>
      <c r="G354" s="972"/>
      <c r="H354" s="972"/>
      <c r="I354" s="976" t="s">
        <v>1765</v>
      </c>
      <c r="J354" s="977"/>
      <c r="K354" s="986"/>
      <c r="L354" s="986" t="s">
        <v>2919</v>
      </c>
      <c r="M354" s="970" t="s">
        <v>1009</v>
      </c>
      <c r="N354" s="970" t="s">
        <v>1009</v>
      </c>
      <c r="O354" s="978" t="s">
        <v>1009</v>
      </c>
      <c r="P354" s="986"/>
      <c r="Q354" s="1574"/>
      <c r="R354" s="965"/>
    </row>
    <row r="355" spans="1:18" ht="30" customHeight="1">
      <c r="A355" s="969"/>
      <c r="B355" s="972"/>
      <c r="C355" s="972"/>
      <c r="D355" s="971"/>
      <c r="E355" s="972"/>
      <c r="F355" s="972"/>
      <c r="G355" s="972"/>
      <c r="H355" s="972"/>
      <c r="I355" s="976"/>
      <c r="J355" s="977">
        <v>410.04899999999998</v>
      </c>
      <c r="K355" s="986"/>
      <c r="L355" s="986"/>
      <c r="M355" s="986"/>
      <c r="N355" s="986"/>
      <c r="O355" s="986"/>
      <c r="P355" s="986"/>
      <c r="Q355" s="1574"/>
      <c r="R355" s="965"/>
    </row>
    <row r="356" spans="1:18" ht="30" customHeight="1">
      <c r="A356" s="969">
        <f>A354+1</f>
        <v>175</v>
      </c>
      <c r="B356" s="972" t="s">
        <v>2521</v>
      </c>
      <c r="C356" s="972" t="s">
        <v>76</v>
      </c>
      <c r="D356" s="971"/>
      <c r="E356" s="972"/>
      <c r="F356" s="972"/>
      <c r="G356" s="972"/>
      <c r="H356" s="972"/>
      <c r="I356" s="976" t="s">
        <v>1765</v>
      </c>
      <c r="J356" s="977"/>
      <c r="K356" s="986"/>
      <c r="L356" s="986" t="s">
        <v>2919</v>
      </c>
      <c r="M356" s="970" t="s">
        <v>1009</v>
      </c>
      <c r="N356" s="970" t="s">
        <v>1009</v>
      </c>
      <c r="O356" s="978" t="s">
        <v>1009</v>
      </c>
      <c r="P356" s="986"/>
      <c r="Q356" s="1574"/>
      <c r="R356" s="965"/>
    </row>
    <row r="357" spans="1:18" ht="30" customHeight="1">
      <c r="A357" s="969"/>
      <c r="B357" s="972"/>
      <c r="C357" s="972"/>
      <c r="D357" s="971"/>
      <c r="E357" s="972"/>
      <c r="F357" s="972"/>
      <c r="G357" s="972"/>
      <c r="H357" s="972"/>
      <c r="I357" s="976"/>
      <c r="J357" s="977">
        <v>415.17099999999999</v>
      </c>
      <c r="K357" s="986"/>
      <c r="L357" s="986"/>
      <c r="M357" s="986"/>
      <c r="N357" s="986"/>
      <c r="O357" s="986"/>
      <c r="P357" s="986"/>
      <c r="Q357" s="1574"/>
      <c r="R357" s="965"/>
    </row>
    <row r="358" spans="1:18" ht="30" customHeight="1">
      <c r="A358" s="969">
        <f>A356+1</f>
        <v>176</v>
      </c>
      <c r="B358" s="972" t="s">
        <v>2522</v>
      </c>
      <c r="C358" s="972" t="s">
        <v>62</v>
      </c>
      <c r="D358" s="971"/>
      <c r="E358" s="972"/>
      <c r="F358" s="972"/>
      <c r="G358" s="972"/>
      <c r="H358" s="972"/>
      <c r="I358" s="976" t="s">
        <v>1765</v>
      </c>
      <c r="J358" s="977"/>
      <c r="K358" s="986"/>
      <c r="L358" s="986" t="s">
        <v>2919</v>
      </c>
      <c r="M358" s="970" t="s">
        <v>1009</v>
      </c>
      <c r="N358" s="970" t="s">
        <v>1009</v>
      </c>
      <c r="O358" s="970" t="s">
        <v>1009</v>
      </c>
      <c r="P358" s="986"/>
      <c r="Q358" s="1574"/>
      <c r="R358" s="965"/>
    </row>
    <row r="359" spans="1:18" ht="30" customHeight="1">
      <c r="A359" s="969"/>
      <c r="B359" s="972"/>
      <c r="C359" s="972"/>
      <c r="D359" s="971"/>
      <c r="E359" s="972"/>
      <c r="F359" s="972"/>
      <c r="G359" s="972"/>
      <c r="H359" s="972"/>
      <c r="I359" s="976"/>
      <c r="J359" s="977">
        <v>381.971</v>
      </c>
      <c r="K359" s="986"/>
      <c r="L359" s="986"/>
      <c r="M359" s="986"/>
      <c r="N359" s="986"/>
      <c r="O359" s="986"/>
      <c r="P359" s="986"/>
      <c r="Q359" s="1575"/>
      <c r="R359" s="965"/>
    </row>
    <row r="360" spans="1:18" ht="30" customHeight="1">
      <c r="A360" s="969">
        <f>A358+1</f>
        <v>177</v>
      </c>
      <c r="B360" s="972" t="s">
        <v>3010</v>
      </c>
      <c r="C360" s="972" t="s">
        <v>1361</v>
      </c>
      <c r="D360" s="971" t="s">
        <v>2549</v>
      </c>
      <c r="E360" s="972"/>
      <c r="F360" s="972"/>
      <c r="G360" s="972"/>
      <c r="H360" s="972"/>
      <c r="I360" s="976" t="s">
        <v>1765</v>
      </c>
      <c r="J360" s="977"/>
      <c r="K360" s="986"/>
      <c r="L360" s="986" t="s">
        <v>2919</v>
      </c>
      <c r="M360" s="970" t="s">
        <v>1009</v>
      </c>
      <c r="N360" s="970" t="s">
        <v>1009</v>
      </c>
      <c r="O360" s="986" t="s">
        <v>1009</v>
      </c>
      <c r="P360" s="986"/>
      <c r="Q360" s="973"/>
      <c r="R360" s="965"/>
    </row>
    <row r="361" spans="1:18" ht="30" customHeight="1">
      <c r="A361" s="969"/>
      <c r="B361" s="972"/>
      <c r="C361" s="972"/>
      <c r="D361" s="971"/>
      <c r="E361" s="972"/>
      <c r="F361" s="972"/>
      <c r="G361" s="972"/>
      <c r="H361" s="972"/>
      <c r="I361" s="976"/>
      <c r="J361" s="977">
        <v>377.62299999999999</v>
      </c>
      <c r="K361" s="986"/>
      <c r="L361" s="986"/>
      <c r="M361" s="986"/>
      <c r="N361" s="986"/>
      <c r="O361" s="986"/>
      <c r="P361" s="986"/>
      <c r="Q361" s="1573"/>
      <c r="R361" s="965"/>
    </row>
    <row r="362" spans="1:18" ht="30" customHeight="1">
      <c r="A362" s="969">
        <f>A360+1</f>
        <v>178</v>
      </c>
      <c r="B362" s="972" t="s">
        <v>2525</v>
      </c>
      <c r="C362" s="972" t="s">
        <v>76</v>
      </c>
      <c r="D362" s="971"/>
      <c r="E362" s="972"/>
      <c r="F362" s="972"/>
      <c r="G362" s="972"/>
      <c r="H362" s="972"/>
      <c r="I362" s="976" t="s">
        <v>1765</v>
      </c>
      <c r="J362" s="977"/>
      <c r="K362" s="986"/>
      <c r="L362" s="986" t="s">
        <v>2919</v>
      </c>
      <c r="M362" s="970" t="s">
        <v>1009</v>
      </c>
      <c r="N362" s="970" t="s">
        <v>1009</v>
      </c>
      <c r="O362" s="978" t="s">
        <v>1009</v>
      </c>
      <c r="P362" s="986"/>
      <c r="Q362" s="1574"/>
      <c r="R362" s="965"/>
    </row>
    <row r="363" spans="1:18" ht="30" customHeight="1">
      <c r="A363" s="969"/>
      <c r="B363" s="972"/>
      <c r="C363" s="972"/>
      <c r="D363" s="971"/>
      <c r="E363" s="972"/>
      <c r="F363" s="972"/>
      <c r="G363" s="972"/>
      <c r="H363" s="972"/>
      <c r="I363" s="976"/>
      <c r="J363" s="977">
        <v>354.13799999999998</v>
      </c>
      <c r="K363" s="986"/>
      <c r="L363" s="986"/>
      <c r="M363" s="986"/>
      <c r="N363" s="986"/>
      <c r="O363" s="986"/>
      <c r="P363" s="986"/>
      <c r="Q363" s="1574"/>
      <c r="R363" s="965"/>
    </row>
    <row r="364" spans="1:18" ht="30" customHeight="1">
      <c r="A364" s="969">
        <f>A362+1</f>
        <v>179</v>
      </c>
      <c r="B364" s="972" t="s">
        <v>2526</v>
      </c>
      <c r="C364" s="972" t="s">
        <v>76</v>
      </c>
      <c r="D364" s="971"/>
      <c r="E364" s="972"/>
      <c r="F364" s="972"/>
      <c r="G364" s="972"/>
      <c r="H364" s="972"/>
      <c r="I364" s="976" t="s">
        <v>1765</v>
      </c>
      <c r="J364" s="977"/>
      <c r="K364" s="986"/>
      <c r="L364" s="986" t="s">
        <v>2919</v>
      </c>
      <c r="M364" s="970" t="s">
        <v>1009</v>
      </c>
      <c r="N364" s="970" t="s">
        <v>1009</v>
      </c>
      <c r="O364" s="986"/>
      <c r="P364" s="986"/>
      <c r="Q364" s="1574"/>
      <c r="R364" s="965"/>
    </row>
    <row r="365" spans="1:18" ht="30" customHeight="1">
      <c r="A365" s="969"/>
      <c r="B365" s="972"/>
      <c r="C365" s="972"/>
      <c r="D365" s="971"/>
      <c r="E365" s="972"/>
      <c r="F365" s="972"/>
      <c r="G365" s="972"/>
      <c r="H365" s="972"/>
      <c r="I365" s="976"/>
      <c r="J365" s="977">
        <v>305.82600000000002</v>
      </c>
      <c r="K365" s="986"/>
      <c r="L365" s="986"/>
      <c r="M365" s="986"/>
      <c r="N365" s="986"/>
      <c r="O365" s="986"/>
      <c r="P365" s="986"/>
      <c r="Q365" s="1575"/>
      <c r="R365" s="965"/>
    </row>
    <row r="366" spans="1:18" ht="30" customHeight="1">
      <c r="A366" s="969">
        <f>A364+1</f>
        <v>180</v>
      </c>
      <c r="B366" s="972" t="s">
        <v>3011</v>
      </c>
      <c r="C366" s="972" t="s">
        <v>1319</v>
      </c>
      <c r="D366" s="971" t="s">
        <v>2536</v>
      </c>
      <c r="E366" s="972"/>
      <c r="F366" s="972"/>
      <c r="G366" s="972"/>
      <c r="H366" s="972"/>
      <c r="I366" s="976" t="s">
        <v>1765</v>
      </c>
      <c r="J366" s="977"/>
      <c r="K366" s="986"/>
      <c r="L366" s="986" t="s">
        <v>2919</v>
      </c>
      <c r="M366" s="970" t="s">
        <v>1009</v>
      </c>
      <c r="N366" s="970" t="s">
        <v>1009</v>
      </c>
      <c r="O366" s="986"/>
      <c r="P366" s="986"/>
      <c r="Q366" s="973"/>
      <c r="R366" s="965"/>
    </row>
    <row r="367" spans="1:18" ht="30" customHeight="1">
      <c r="A367" s="969"/>
      <c r="B367" s="972"/>
      <c r="C367" s="972"/>
      <c r="D367" s="971"/>
      <c r="E367" s="972"/>
      <c r="F367" s="972"/>
      <c r="G367" s="972"/>
      <c r="H367" s="972"/>
      <c r="I367" s="976"/>
      <c r="J367" s="977">
        <v>320.98700000000002</v>
      </c>
      <c r="K367" s="986"/>
      <c r="L367" s="986"/>
      <c r="M367" s="986"/>
      <c r="N367" s="986"/>
      <c r="O367" s="986"/>
      <c r="P367" s="986"/>
      <c r="Q367" s="1573"/>
      <c r="R367" s="965"/>
    </row>
    <row r="368" spans="1:18" ht="30" customHeight="1">
      <c r="A368" s="969">
        <f>A366+1</f>
        <v>181</v>
      </c>
      <c r="B368" s="972" t="s">
        <v>2531</v>
      </c>
      <c r="C368" s="972" t="s">
        <v>76</v>
      </c>
      <c r="D368" s="971"/>
      <c r="E368" s="972"/>
      <c r="F368" s="972"/>
      <c r="G368" s="972"/>
      <c r="H368" s="972"/>
      <c r="I368" s="976" t="s">
        <v>1765</v>
      </c>
      <c r="J368" s="977"/>
      <c r="K368" s="986"/>
      <c r="L368" s="986" t="s">
        <v>2919</v>
      </c>
      <c r="M368" s="970" t="s">
        <v>1009</v>
      </c>
      <c r="N368" s="970" t="s">
        <v>1009</v>
      </c>
      <c r="O368" s="986"/>
      <c r="P368" s="986"/>
      <c r="Q368" s="1574"/>
      <c r="R368" s="965"/>
    </row>
    <row r="369" spans="1:18" ht="30" customHeight="1">
      <c r="A369" s="969"/>
      <c r="B369" s="972"/>
      <c r="C369" s="972"/>
      <c r="D369" s="971"/>
      <c r="E369" s="972"/>
      <c r="F369" s="972"/>
      <c r="G369" s="972"/>
      <c r="H369" s="972"/>
      <c r="I369" s="976"/>
      <c r="J369" s="977">
        <v>329.94600000000003</v>
      </c>
      <c r="K369" s="986"/>
      <c r="L369" s="986"/>
      <c r="M369" s="986"/>
      <c r="N369" s="986"/>
      <c r="O369" s="986"/>
      <c r="P369" s="986"/>
      <c r="Q369" s="1574"/>
      <c r="R369" s="987"/>
    </row>
    <row r="370" spans="1:18" ht="30" customHeight="1">
      <c r="A370" s="969">
        <f>A368+1</f>
        <v>182</v>
      </c>
      <c r="B370" s="972" t="s">
        <v>2532</v>
      </c>
      <c r="C370" s="972" t="s">
        <v>76</v>
      </c>
      <c r="D370" s="971"/>
      <c r="E370" s="972"/>
      <c r="F370" s="972"/>
      <c r="G370" s="972"/>
      <c r="H370" s="972"/>
      <c r="I370" s="976" t="s">
        <v>1765</v>
      </c>
      <c r="J370" s="977"/>
      <c r="K370" s="986"/>
      <c r="L370" s="986" t="s">
        <v>2919</v>
      </c>
      <c r="M370" s="970" t="s">
        <v>1009</v>
      </c>
      <c r="N370" s="970" t="s">
        <v>1009</v>
      </c>
      <c r="O370" s="986"/>
      <c r="P370" s="986"/>
      <c r="Q370" s="1574"/>
      <c r="R370" s="987"/>
    </row>
    <row r="371" spans="1:18" ht="30" customHeight="1">
      <c r="A371" s="969"/>
      <c r="B371" s="972"/>
      <c r="C371" s="972"/>
      <c r="D371" s="971"/>
      <c r="E371" s="972"/>
      <c r="F371" s="972"/>
      <c r="G371" s="972"/>
      <c r="H371" s="972"/>
      <c r="I371" s="976"/>
      <c r="J371" s="977">
        <v>294.041</v>
      </c>
      <c r="K371" s="986"/>
      <c r="L371" s="986"/>
      <c r="M371" s="986"/>
      <c r="N371" s="986"/>
      <c r="O371" s="986"/>
      <c r="P371" s="986"/>
      <c r="Q371" s="1575"/>
      <c r="R371" s="987"/>
    </row>
    <row r="372" spans="1:18" ht="30" customHeight="1">
      <c r="A372" s="969">
        <f>A370+1</f>
        <v>183</v>
      </c>
      <c r="B372" s="972" t="s">
        <v>3012</v>
      </c>
      <c r="C372" s="972" t="s">
        <v>1269</v>
      </c>
      <c r="D372" s="971" t="s">
        <v>2553</v>
      </c>
      <c r="E372" s="972"/>
      <c r="F372" s="972"/>
      <c r="G372" s="972"/>
      <c r="H372" s="972"/>
      <c r="I372" s="976" t="s">
        <v>1765</v>
      </c>
      <c r="J372" s="977"/>
      <c r="K372" s="986"/>
      <c r="L372" s="986" t="s">
        <v>2919</v>
      </c>
      <c r="M372" s="970" t="s">
        <v>1009</v>
      </c>
      <c r="N372" s="986"/>
      <c r="O372" s="986"/>
      <c r="P372" s="986"/>
      <c r="Q372" s="973"/>
      <c r="R372" s="987"/>
    </row>
    <row r="373" spans="1:18" ht="30" customHeight="1">
      <c r="A373" s="969"/>
      <c r="B373" s="972"/>
      <c r="C373" s="972"/>
      <c r="D373" s="971"/>
      <c r="E373" s="972"/>
      <c r="F373" s="972"/>
      <c r="G373" s="972"/>
      <c r="H373" s="972"/>
      <c r="I373" s="976"/>
      <c r="J373" s="977">
        <v>381.66899999999998</v>
      </c>
      <c r="K373" s="986"/>
      <c r="L373" s="986"/>
      <c r="M373" s="986"/>
      <c r="N373" s="986"/>
      <c r="O373" s="986"/>
      <c r="P373" s="986"/>
      <c r="Q373" s="1573"/>
      <c r="R373" s="987"/>
    </row>
    <row r="374" spans="1:18" ht="30" customHeight="1">
      <c r="A374" s="969">
        <f>A372+1</f>
        <v>184</v>
      </c>
      <c r="B374" s="972" t="s">
        <v>2534</v>
      </c>
      <c r="C374" s="972" t="s">
        <v>62</v>
      </c>
      <c r="D374" s="971"/>
      <c r="E374" s="972"/>
      <c r="F374" s="972"/>
      <c r="G374" s="972"/>
      <c r="H374" s="972"/>
      <c r="I374" s="976" t="s">
        <v>1765</v>
      </c>
      <c r="J374" s="977"/>
      <c r="K374" s="986"/>
      <c r="L374" s="986" t="s">
        <v>2919</v>
      </c>
      <c r="M374" s="970" t="s">
        <v>1009</v>
      </c>
      <c r="N374" s="970" t="s">
        <v>1009</v>
      </c>
      <c r="O374" s="986"/>
      <c r="P374" s="986"/>
      <c r="Q374" s="1574"/>
      <c r="R374" s="987"/>
    </row>
    <row r="375" spans="1:18" ht="30" customHeight="1">
      <c r="A375" s="969"/>
      <c r="B375" s="972"/>
      <c r="C375" s="972"/>
      <c r="D375" s="971"/>
      <c r="E375" s="972"/>
      <c r="F375" s="972"/>
      <c r="G375" s="972"/>
      <c r="H375" s="972"/>
      <c r="I375" s="976"/>
      <c r="J375" s="977">
        <v>427.45299999999997</v>
      </c>
      <c r="K375" s="986"/>
      <c r="L375" s="986"/>
      <c r="M375" s="986"/>
      <c r="N375" s="986"/>
      <c r="O375" s="986"/>
      <c r="P375" s="986"/>
      <c r="Q375" s="1575"/>
      <c r="R375" s="987"/>
    </row>
    <row r="376" spans="1:18" ht="30" customHeight="1">
      <c r="A376" s="969">
        <f>A374+1</f>
        <v>185</v>
      </c>
      <c r="B376" s="972" t="s">
        <v>3013</v>
      </c>
      <c r="C376" s="972" t="s">
        <v>2023</v>
      </c>
      <c r="D376" s="971" t="s">
        <v>2538</v>
      </c>
      <c r="E376" s="972"/>
      <c r="F376" s="972"/>
      <c r="G376" s="972"/>
      <c r="H376" s="972"/>
      <c r="I376" s="976" t="s">
        <v>897</v>
      </c>
      <c r="J376" s="978"/>
      <c r="K376" s="986"/>
      <c r="L376" s="986" t="s">
        <v>2919</v>
      </c>
      <c r="M376" s="986" t="s">
        <v>22</v>
      </c>
      <c r="N376" s="986"/>
      <c r="O376" s="986"/>
      <c r="P376" s="986"/>
      <c r="Q376" s="973"/>
      <c r="R376" s="987"/>
    </row>
    <row r="377" spans="1:18" ht="30" customHeight="1">
      <c r="A377" s="1021"/>
      <c r="B377" s="1022"/>
      <c r="C377" s="1022"/>
      <c r="D377" s="1023"/>
      <c r="E377" s="1022"/>
      <c r="F377" s="1022"/>
      <c r="G377" s="1022"/>
      <c r="H377" s="1022"/>
      <c r="I377" s="1024"/>
      <c r="J377" s="1025"/>
      <c r="K377" s="1026"/>
      <c r="L377" s="1026"/>
      <c r="M377" s="1026"/>
      <c r="N377" s="1026"/>
      <c r="O377" s="1026"/>
      <c r="P377" s="1026"/>
      <c r="Q377" s="1027"/>
      <c r="R377" s="989" t="s">
        <v>3198</v>
      </c>
    </row>
    <row r="378" spans="1:18" ht="30" customHeight="1">
      <c r="A378" s="969">
        <f>A376+1</f>
        <v>186</v>
      </c>
      <c r="B378" s="985" t="s">
        <v>3180</v>
      </c>
      <c r="C378" s="985" t="s">
        <v>1319</v>
      </c>
      <c r="D378" s="1170" t="s">
        <v>3162</v>
      </c>
      <c r="E378" s="985">
        <v>1</v>
      </c>
      <c r="F378" s="985">
        <v>1</v>
      </c>
      <c r="G378" s="985">
        <v>1</v>
      </c>
      <c r="H378" s="985">
        <v>1</v>
      </c>
      <c r="I378" s="1190" t="s">
        <v>3287</v>
      </c>
      <c r="K378" s="986"/>
      <c r="L378" s="986" t="s">
        <v>2919</v>
      </c>
      <c r="M378" s="970" t="s">
        <v>1009</v>
      </c>
      <c r="N378" s="970" t="s">
        <v>1009</v>
      </c>
      <c r="O378" s="986" t="s">
        <v>1009</v>
      </c>
      <c r="P378" s="986"/>
      <c r="Q378" s="973"/>
      <c r="R378" s="987"/>
    </row>
    <row r="379" spans="1:18" ht="30" customHeight="1">
      <c r="A379" s="969"/>
      <c r="B379" s="972"/>
      <c r="C379" s="972"/>
      <c r="D379" s="971"/>
      <c r="E379" s="972"/>
      <c r="F379" s="972"/>
      <c r="G379" s="972"/>
      <c r="H379" s="972"/>
      <c r="I379" s="976"/>
      <c r="J379" s="977">
        <v>392.505</v>
      </c>
      <c r="K379" s="986"/>
      <c r="L379" s="986"/>
      <c r="M379" s="986"/>
      <c r="N379" s="986"/>
      <c r="O379" s="986"/>
      <c r="P379" s="986"/>
      <c r="Q379" s="1573"/>
      <c r="R379" s="987"/>
    </row>
    <row r="380" spans="1:18" ht="30" customHeight="1">
      <c r="A380" s="969">
        <f>A378+1</f>
        <v>187</v>
      </c>
      <c r="B380" s="972" t="s">
        <v>3143</v>
      </c>
      <c r="C380" s="972" t="s">
        <v>76</v>
      </c>
      <c r="D380" s="971"/>
      <c r="E380" s="985">
        <v>1</v>
      </c>
      <c r="F380" s="985">
        <v>1</v>
      </c>
      <c r="G380" s="985">
        <v>1</v>
      </c>
      <c r="H380" s="985">
        <v>1</v>
      </c>
      <c r="I380" s="976" t="s">
        <v>3287</v>
      </c>
      <c r="J380" s="977"/>
      <c r="K380" s="986"/>
      <c r="L380" s="986" t="s">
        <v>2919</v>
      </c>
      <c r="M380" s="970" t="s">
        <v>1009</v>
      </c>
      <c r="N380" s="970" t="s">
        <v>1009</v>
      </c>
      <c r="O380" s="986" t="s">
        <v>1009</v>
      </c>
      <c r="P380" s="986"/>
      <c r="Q380" s="1574"/>
      <c r="R380" s="987"/>
    </row>
    <row r="381" spans="1:18" ht="30" customHeight="1">
      <c r="A381" s="969"/>
      <c r="B381" s="972"/>
      <c r="C381" s="972"/>
      <c r="D381" s="971"/>
      <c r="E381" s="972"/>
      <c r="F381" s="972"/>
      <c r="G381" s="972"/>
      <c r="H381" s="972"/>
      <c r="I381" s="976"/>
      <c r="J381" s="977">
        <v>392.67</v>
      </c>
      <c r="K381" s="986"/>
      <c r="L381" s="986"/>
      <c r="M381" s="986"/>
      <c r="N381" s="986"/>
      <c r="O381" s="986"/>
      <c r="P381" s="986"/>
      <c r="Q381" s="1574"/>
      <c r="R381" s="987"/>
    </row>
    <row r="382" spans="1:18" ht="30" customHeight="1">
      <c r="A382" s="969">
        <f>A380+1</f>
        <v>188</v>
      </c>
      <c r="B382" s="972" t="s">
        <v>3181</v>
      </c>
      <c r="C382" s="972" t="s">
        <v>1269</v>
      </c>
      <c r="D382" s="971" t="s">
        <v>3163</v>
      </c>
      <c r="E382" s="985">
        <v>1</v>
      </c>
      <c r="F382" s="985">
        <v>1</v>
      </c>
      <c r="G382" s="985">
        <v>1</v>
      </c>
      <c r="H382" s="985">
        <v>1</v>
      </c>
      <c r="I382" s="976" t="s">
        <v>3287</v>
      </c>
      <c r="J382" s="977"/>
      <c r="K382" s="986"/>
      <c r="L382" s="970" t="s">
        <v>2919</v>
      </c>
      <c r="M382" s="970" t="s">
        <v>1009</v>
      </c>
      <c r="N382" s="970" t="s">
        <v>1009</v>
      </c>
      <c r="O382" s="986" t="s">
        <v>1009</v>
      </c>
      <c r="P382" s="986"/>
      <c r="Q382" s="1574"/>
      <c r="R382" s="987"/>
    </row>
    <row r="383" spans="1:18" ht="30" customHeight="1">
      <c r="A383" s="969"/>
      <c r="B383" s="972"/>
      <c r="C383" s="972"/>
      <c r="D383" s="971"/>
      <c r="E383" s="972"/>
      <c r="F383" s="972"/>
      <c r="G383" s="972"/>
      <c r="H383" s="972"/>
      <c r="I383" s="976"/>
      <c r="J383" s="977">
        <v>292.26400000000001</v>
      </c>
      <c r="K383" s="986"/>
      <c r="L383" s="986"/>
      <c r="M383" s="986"/>
      <c r="N383" s="986"/>
      <c r="O383" s="986"/>
      <c r="P383" s="986"/>
      <c r="Q383" s="1575"/>
      <c r="R383" s="987"/>
    </row>
    <row r="384" spans="1:18" ht="30" customHeight="1">
      <c r="A384" s="969">
        <f>A382+1</f>
        <v>189</v>
      </c>
      <c r="B384" s="972" t="s">
        <v>3144</v>
      </c>
      <c r="C384" s="972" t="s">
        <v>76</v>
      </c>
      <c r="D384" s="971"/>
      <c r="E384" s="972">
        <v>1.5</v>
      </c>
      <c r="F384" s="972">
        <v>1.5</v>
      </c>
      <c r="G384" s="972">
        <v>1.5</v>
      </c>
      <c r="H384" s="972">
        <v>1.5</v>
      </c>
      <c r="I384" s="976"/>
      <c r="J384" s="977"/>
      <c r="K384" s="986"/>
      <c r="L384" s="970" t="s">
        <v>2919</v>
      </c>
      <c r="M384" s="970" t="s">
        <v>1009</v>
      </c>
      <c r="N384" s="970" t="s">
        <v>1009</v>
      </c>
      <c r="O384" s="986"/>
      <c r="P384" s="986"/>
      <c r="Q384" s="973"/>
      <c r="R384" s="987"/>
    </row>
    <row r="385" spans="1:18" ht="30" customHeight="1">
      <c r="A385" s="969"/>
      <c r="B385" s="972"/>
      <c r="C385" s="972"/>
      <c r="D385" s="971"/>
      <c r="E385" s="972"/>
      <c r="F385" s="972"/>
      <c r="G385" s="972"/>
      <c r="H385" s="972"/>
      <c r="I385" s="976"/>
      <c r="J385" s="977">
        <v>321.58699999999999</v>
      </c>
      <c r="K385" s="986"/>
      <c r="L385" s="986"/>
      <c r="M385" s="986"/>
      <c r="N385" s="986"/>
      <c r="O385" s="986"/>
      <c r="P385" s="986"/>
      <c r="Q385" s="973"/>
      <c r="R385" s="965"/>
    </row>
    <row r="386" spans="1:18" ht="30" customHeight="1">
      <c r="A386" s="969">
        <f>A384+1</f>
        <v>190</v>
      </c>
      <c r="B386" s="972" t="s">
        <v>3145</v>
      </c>
      <c r="C386" s="972" t="s">
        <v>76</v>
      </c>
      <c r="D386" s="971"/>
      <c r="E386" s="985">
        <v>1</v>
      </c>
      <c r="F386" s="985">
        <v>1</v>
      </c>
      <c r="G386" s="985">
        <v>1</v>
      </c>
      <c r="H386" s="985">
        <v>1</v>
      </c>
      <c r="I386" s="976" t="s">
        <v>3287</v>
      </c>
      <c r="J386" s="977"/>
      <c r="K386" s="986"/>
      <c r="L386" s="986" t="s">
        <v>2919</v>
      </c>
      <c r="M386" s="986" t="s">
        <v>1009</v>
      </c>
      <c r="N386" s="986"/>
      <c r="O386" s="986"/>
      <c r="P386" s="986"/>
      <c r="Q386" s="973"/>
      <c r="R386" s="965"/>
    </row>
    <row r="387" spans="1:18" ht="30" customHeight="1">
      <c r="A387" s="969"/>
      <c r="B387" s="972"/>
      <c r="C387" s="972"/>
      <c r="D387" s="971"/>
      <c r="E387" s="972"/>
      <c r="F387" s="972"/>
      <c r="G387" s="972"/>
      <c r="H387" s="972"/>
      <c r="I387" s="976"/>
      <c r="J387" s="977">
        <v>363.88200000000001</v>
      </c>
      <c r="K387" s="986"/>
      <c r="L387" s="986"/>
      <c r="M387" s="986"/>
      <c r="N387" s="986"/>
      <c r="O387" s="986"/>
      <c r="P387" s="986"/>
      <c r="Q387" s="973"/>
      <c r="R387" s="965"/>
    </row>
    <row r="388" spans="1:18" ht="30" customHeight="1">
      <c r="A388" s="969">
        <f>A386+1</f>
        <v>191</v>
      </c>
      <c r="B388" s="972" t="s">
        <v>3182</v>
      </c>
      <c r="C388" s="972" t="s">
        <v>3146</v>
      </c>
      <c r="D388" s="971" t="s">
        <v>3164</v>
      </c>
      <c r="E388" s="972"/>
      <c r="F388" s="972"/>
      <c r="G388" s="972"/>
      <c r="H388" s="972"/>
      <c r="I388" s="976" t="s">
        <v>3287</v>
      </c>
      <c r="J388" s="977"/>
      <c r="K388" s="986"/>
      <c r="L388" s="986" t="s">
        <v>2919</v>
      </c>
      <c r="M388" s="970" t="s">
        <v>1009</v>
      </c>
      <c r="N388" s="970" t="s">
        <v>1009</v>
      </c>
      <c r="O388" s="986"/>
      <c r="P388" s="986"/>
      <c r="Q388" s="973"/>
      <c r="R388" s="965"/>
    </row>
    <row r="389" spans="1:18" ht="30" customHeight="1">
      <c r="A389" s="969"/>
      <c r="B389" s="972"/>
      <c r="C389" s="972"/>
      <c r="D389" s="971"/>
      <c r="E389" s="972"/>
      <c r="F389" s="972"/>
      <c r="G389" s="972"/>
      <c r="H389" s="972"/>
      <c r="I389" s="976"/>
      <c r="J389" s="977">
        <v>369.226</v>
      </c>
      <c r="K389" s="986"/>
      <c r="L389" s="986"/>
      <c r="M389" s="986"/>
      <c r="N389" s="986"/>
      <c r="O389" s="986"/>
      <c r="P389" s="986"/>
      <c r="Q389" s="973"/>
      <c r="R389" s="965"/>
    </row>
    <row r="390" spans="1:18" ht="30" customHeight="1">
      <c r="A390" s="969">
        <f>A388+1</f>
        <v>192</v>
      </c>
      <c r="B390" s="972" t="s">
        <v>3147</v>
      </c>
      <c r="C390" s="972" t="s">
        <v>62</v>
      </c>
      <c r="D390" s="971"/>
      <c r="E390" s="972"/>
      <c r="F390" s="972"/>
      <c r="G390" s="972"/>
      <c r="H390" s="972"/>
      <c r="I390" s="976" t="s">
        <v>3287</v>
      </c>
      <c r="J390" s="977"/>
      <c r="K390" s="986"/>
      <c r="L390" s="986" t="s">
        <v>2919</v>
      </c>
      <c r="M390" s="986" t="s">
        <v>1009</v>
      </c>
      <c r="N390" s="986"/>
      <c r="O390" s="986"/>
      <c r="P390" s="986"/>
      <c r="Q390" s="973"/>
      <c r="R390" s="965"/>
    </row>
    <row r="391" spans="1:18" ht="30" customHeight="1">
      <c r="A391" s="969"/>
      <c r="B391" s="972"/>
      <c r="C391" s="972"/>
      <c r="D391" s="971"/>
      <c r="E391" s="972"/>
      <c r="F391" s="972"/>
      <c r="G391" s="972"/>
      <c r="H391" s="972"/>
      <c r="I391" s="976"/>
      <c r="J391" s="977">
        <v>380.673</v>
      </c>
      <c r="K391" s="986"/>
      <c r="L391" s="986"/>
      <c r="M391" s="986"/>
      <c r="N391" s="986"/>
      <c r="O391" s="986"/>
      <c r="P391" s="986"/>
      <c r="Q391" s="973"/>
      <c r="R391" s="965"/>
    </row>
    <row r="392" spans="1:18" ht="30" customHeight="1">
      <c r="A392" s="969">
        <f>A390+1</f>
        <v>193</v>
      </c>
      <c r="B392" s="972" t="s">
        <v>3148</v>
      </c>
      <c r="C392" s="972" t="s">
        <v>76</v>
      </c>
      <c r="D392" s="971"/>
      <c r="E392" s="972"/>
      <c r="F392" s="972"/>
      <c r="G392" s="972"/>
      <c r="H392" s="972"/>
      <c r="I392" s="976" t="s">
        <v>3287</v>
      </c>
      <c r="J392" s="977"/>
      <c r="K392" s="986"/>
      <c r="L392" s="986" t="s">
        <v>2919</v>
      </c>
      <c r="M392" s="986" t="s">
        <v>1009</v>
      </c>
      <c r="N392" s="986"/>
      <c r="O392" s="986" t="s">
        <v>22</v>
      </c>
      <c r="P392" s="986"/>
      <c r="Q392" s="973"/>
      <c r="R392" s="965"/>
    </row>
    <row r="393" spans="1:18" ht="30" customHeight="1">
      <c r="A393" s="969"/>
      <c r="B393" s="972"/>
      <c r="C393" s="972"/>
      <c r="D393" s="971"/>
      <c r="E393" s="972"/>
      <c r="F393" s="972"/>
      <c r="G393" s="972"/>
      <c r="H393" s="972"/>
      <c r="I393" s="976"/>
      <c r="J393" s="977">
        <v>385.66699999999997</v>
      </c>
      <c r="K393" s="986"/>
      <c r="L393" s="986"/>
      <c r="M393" s="986"/>
      <c r="N393" s="986"/>
      <c r="O393" s="986"/>
      <c r="P393" s="986"/>
      <c r="Q393" s="1573"/>
      <c r="R393" s="965"/>
    </row>
    <row r="394" spans="1:18" ht="30" customHeight="1">
      <c r="A394" s="969">
        <f>A392+1</f>
        <v>194</v>
      </c>
      <c r="B394" s="972" t="s">
        <v>3149</v>
      </c>
      <c r="C394" s="972" t="s">
        <v>53</v>
      </c>
      <c r="D394" s="971"/>
      <c r="E394" s="972"/>
      <c r="F394" s="972"/>
      <c r="G394" s="972"/>
      <c r="H394" s="972"/>
      <c r="I394" s="976" t="s">
        <v>3287</v>
      </c>
      <c r="J394" s="977"/>
      <c r="K394" s="986"/>
      <c r="L394" s="986" t="s">
        <v>2919</v>
      </c>
      <c r="M394" s="970" t="s">
        <v>1009</v>
      </c>
      <c r="N394" s="970" t="s">
        <v>1009</v>
      </c>
      <c r="O394" s="986" t="s">
        <v>1009</v>
      </c>
      <c r="P394" s="986"/>
      <c r="Q394" s="1574"/>
      <c r="R394" s="965"/>
    </row>
    <row r="395" spans="1:18" ht="30" customHeight="1">
      <c r="A395" s="969"/>
      <c r="B395" s="972"/>
      <c r="C395" s="972"/>
      <c r="D395" s="971"/>
      <c r="E395" s="972"/>
      <c r="F395" s="972"/>
      <c r="G395" s="972"/>
      <c r="H395" s="972"/>
      <c r="I395" s="976"/>
      <c r="J395" s="977">
        <v>380.89600000000002</v>
      </c>
      <c r="K395" s="986"/>
      <c r="L395" s="986"/>
      <c r="M395" s="986"/>
      <c r="N395" s="986"/>
      <c r="O395" s="986"/>
      <c r="P395" s="986"/>
      <c r="Q395" s="1574"/>
      <c r="R395" s="965"/>
    </row>
    <row r="396" spans="1:18" ht="30" customHeight="1">
      <c r="A396" s="969">
        <f>A394+1</f>
        <v>195</v>
      </c>
      <c r="B396" s="972" t="s">
        <v>3150</v>
      </c>
      <c r="C396" s="972" t="s">
        <v>76</v>
      </c>
      <c r="D396" s="971"/>
      <c r="E396" s="972"/>
      <c r="F396" s="972"/>
      <c r="G396" s="972"/>
      <c r="H396" s="972"/>
      <c r="I396" s="976" t="s">
        <v>3287</v>
      </c>
      <c r="J396" s="977"/>
      <c r="K396" s="986"/>
      <c r="L396" s="986" t="s">
        <v>2919</v>
      </c>
      <c r="M396" s="970" t="s">
        <v>1009</v>
      </c>
      <c r="N396" s="970" t="s">
        <v>1009</v>
      </c>
      <c r="O396" s="978" t="s">
        <v>1009</v>
      </c>
      <c r="P396" s="986"/>
      <c r="Q396" s="1574"/>
      <c r="R396" s="965"/>
    </row>
    <row r="397" spans="1:18" ht="30" customHeight="1">
      <c r="A397" s="969"/>
      <c r="B397" s="972"/>
      <c r="C397" s="972"/>
      <c r="D397" s="971"/>
      <c r="E397" s="972"/>
      <c r="F397" s="972"/>
      <c r="G397" s="972"/>
      <c r="H397" s="972"/>
      <c r="I397" s="976"/>
      <c r="J397" s="977">
        <v>391.34899999999999</v>
      </c>
      <c r="K397" s="986"/>
      <c r="L397" s="986"/>
      <c r="M397" s="986"/>
      <c r="N397" s="986"/>
      <c r="O397" s="986"/>
      <c r="P397" s="986"/>
      <c r="Q397" s="1575"/>
      <c r="R397" s="965"/>
    </row>
    <row r="398" spans="1:18" ht="30" customHeight="1">
      <c r="A398" s="969">
        <f>A396+1</f>
        <v>196</v>
      </c>
      <c r="B398" s="972" t="s">
        <v>3014</v>
      </c>
      <c r="C398" s="972" t="s">
        <v>1269</v>
      </c>
      <c r="D398" s="971" t="s">
        <v>3165</v>
      </c>
      <c r="E398" s="972"/>
      <c r="F398" s="972"/>
      <c r="G398" s="972"/>
      <c r="H398" s="972"/>
      <c r="I398" s="976" t="s">
        <v>3287</v>
      </c>
      <c r="J398" s="977"/>
      <c r="K398" s="986"/>
      <c r="L398" s="986" t="s">
        <v>2919</v>
      </c>
      <c r="M398" s="970" t="s">
        <v>1009</v>
      </c>
      <c r="N398" s="970" t="s">
        <v>1009</v>
      </c>
      <c r="O398" s="978" t="s">
        <v>1009</v>
      </c>
      <c r="P398" s="986"/>
      <c r="Q398" s="973"/>
      <c r="R398" s="965"/>
    </row>
    <row r="399" spans="1:18" ht="30" customHeight="1">
      <c r="A399" s="969"/>
      <c r="B399" s="972"/>
      <c r="C399" s="972"/>
      <c r="D399" s="971"/>
      <c r="E399" s="972"/>
      <c r="F399" s="972"/>
      <c r="G399" s="972"/>
      <c r="H399" s="972"/>
      <c r="I399" s="976"/>
      <c r="J399" s="977">
        <v>330.49299999999999</v>
      </c>
      <c r="K399" s="986"/>
      <c r="L399" s="986"/>
      <c r="M399" s="986"/>
      <c r="N399" s="986"/>
      <c r="O399" s="986"/>
      <c r="P399" s="986"/>
      <c r="Q399" s="1573"/>
      <c r="R399" s="965"/>
    </row>
    <row r="400" spans="1:18" ht="30" customHeight="1">
      <c r="A400" s="969">
        <f>A398+1</f>
        <v>197</v>
      </c>
      <c r="B400" s="972" t="s">
        <v>2558</v>
      </c>
      <c r="C400" s="972" t="s">
        <v>76</v>
      </c>
      <c r="D400" s="971"/>
      <c r="E400" s="972"/>
      <c r="F400" s="972"/>
      <c r="G400" s="972"/>
      <c r="H400" s="972"/>
      <c r="I400" s="976" t="s">
        <v>3287</v>
      </c>
      <c r="J400" s="977"/>
      <c r="K400" s="986"/>
      <c r="L400" s="986" t="s">
        <v>2919</v>
      </c>
      <c r="M400" s="970" t="s">
        <v>1009</v>
      </c>
      <c r="N400" s="970" t="s">
        <v>1009</v>
      </c>
      <c r="O400" s="978" t="s">
        <v>1009</v>
      </c>
      <c r="P400" s="986"/>
      <c r="Q400" s="1574"/>
      <c r="R400" s="965"/>
    </row>
    <row r="401" spans="1:18" ht="30" customHeight="1">
      <c r="A401" s="969"/>
      <c r="B401" s="972"/>
      <c r="C401" s="972"/>
      <c r="D401" s="971"/>
      <c r="E401" s="972"/>
      <c r="F401" s="972"/>
      <c r="G401" s="972"/>
      <c r="H401" s="972"/>
      <c r="I401" s="976"/>
      <c r="J401" s="977">
        <v>342.10599999999999</v>
      </c>
      <c r="K401" s="986"/>
      <c r="L401" s="986"/>
      <c r="M401" s="986"/>
      <c r="N401" s="986"/>
      <c r="O401" s="986"/>
      <c r="P401" s="986"/>
      <c r="Q401" s="1574"/>
      <c r="R401" s="987"/>
    </row>
    <row r="402" spans="1:18" ht="30" customHeight="1">
      <c r="A402" s="969">
        <f>A400+1</f>
        <v>198</v>
      </c>
      <c r="B402" s="972" t="s">
        <v>2559</v>
      </c>
      <c r="C402" s="972" t="s">
        <v>62</v>
      </c>
      <c r="D402" s="971"/>
      <c r="E402" s="972"/>
      <c r="F402" s="972"/>
      <c r="G402" s="972"/>
      <c r="H402" s="972"/>
      <c r="I402" s="976" t="s">
        <v>2736</v>
      </c>
      <c r="J402" s="977"/>
      <c r="K402" s="986"/>
      <c r="L402" s="986" t="s">
        <v>2919</v>
      </c>
      <c r="M402" s="970" t="s">
        <v>1009</v>
      </c>
      <c r="N402" s="970" t="s">
        <v>1009</v>
      </c>
      <c r="O402" s="978" t="s">
        <v>1009</v>
      </c>
      <c r="P402" s="986"/>
      <c r="Q402" s="1574"/>
      <c r="R402" s="987"/>
    </row>
    <row r="403" spans="1:18" ht="30" customHeight="1">
      <c r="A403" s="969"/>
      <c r="B403" s="972"/>
      <c r="C403" s="972"/>
      <c r="D403" s="971"/>
      <c r="E403" s="972"/>
      <c r="F403" s="972"/>
      <c r="G403" s="972"/>
      <c r="H403" s="972"/>
      <c r="I403" s="976"/>
      <c r="J403" s="977">
        <v>394.28399999999999</v>
      </c>
      <c r="K403" s="986"/>
      <c r="L403" s="986"/>
      <c r="M403" s="986"/>
      <c r="N403" s="986"/>
      <c r="O403" s="986"/>
      <c r="P403" s="986"/>
      <c r="Q403" s="1575"/>
      <c r="R403" s="987"/>
    </row>
    <row r="404" spans="1:18" ht="30" customHeight="1">
      <c r="A404" s="969">
        <f>A402+1</f>
        <v>199</v>
      </c>
      <c r="B404" s="972" t="s">
        <v>3015</v>
      </c>
      <c r="C404" s="972" t="s">
        <v>1277</v>
      </c>
      <c r="D404" s="971" t="s">
        <v>2561</v>
      </c>
      <c r="E404" s="972"/>
      <c r="F404" s="972"/>
      <c r="G404" s="972"/>
      <c r="H404" s="972"/>
      <c r="I404" s="976" t="s">
        <v>1765</v>
      </c>
      <c r="J404" s="977"/>
      <c r="K404" s="986"/>
      <c r="L404" s="986" t="s">
        <v>2919</v>
      </c>
      <c r="M404" s="970" t="s">
        <v>1009</v>
      </c>
      <c r="N404" s="970" t="s">
        <v>1009</v>
      </c>
      <c r="O404" s="978" t="s">
        <v>1009</v>
      </c>
      <c r="P404" s="986"/>
      <c r="Q404" s="973"/>
      <c r="R404" s="987"/>
    </row>
    <row r="405" spans="1:18" ht="30" customHeight="1">
      <c r="A405" s="969"/>
      <c r="B405" s="972"/>
      <c r="C405" s="972"/>
      <c r="D405" s="971"/>
      <c r="E405" s="972"/>
      <c r="F405" s="972"/>
      <c r="G405" s="972"/>
      <c r="H405" s="972"/>
      <c r="I405" s="976"/>
      <c r="J405" s="977">
        <v>245.679</v>
      </c>
      <c r="K405" s="986"/>
      <c r="L405" s="986"/>
      <c r="M405" s="986"/>
      <c r="N405" s="986"/>
      <c r="O405" s="986"/>
      <c r="P405" s="986"/>
      <c r="Q405" s="1573"/>
      <c r="R405" s="987"/>
    </row>
    <row r="406" spans="1:18" ht="30" customHeight="1">
      <c r="A406" s="969">
        <f>A404+1</f>
        <v>200</v>
      </c>
      <c r="B406" s="972" t="s">
        <v>3016</v>
      </c>
      <c r="C406" s="972" t="s">
        <v>1269</v>
      </c>
      <c r="D406" s="971"/>
      <c r="E406" s="972"/>
      <c r="F406" s="972"/>
      <c r="G406" s="972"/>
      <c r="H406" s="972"/>
      <c r="I406" s="976" t="s">
        <v>1765</v>
      </c>
      <c r="J406" s="977"/>
      <c r="K406" s="986"/>
      <c r="L406" s="986" t="s">
        <v>2919</v>
      </c>
      <c r="M406" s="970" t="s">
        <v>1009</v>
      </c>
      <c r="N406" s="970" t="s">
        <v>1009</v>
      </c>
      <c r="O406" s="978" t="s">
        <v>1009</v>
      </c>
      <c r="P406" s="986"/>
      <c r="Q406" s="1574"/>
      <c r="R406" s="987"/>
    </row>
    <row r="407" spans="1:18" ht="30" customHeight="1">
      <c r="A407" s="969"/>
      <c r="B407" s="972"/>
      <c r="C407" s="972"/>
      <c r="D407" s="971"/>
      <c r="E407" s="972"/>
      <c r="F407" s="972"/>
      <c r="G407" s="972"/>
      <c r="H407" s="972"/>
      <c r="I407" s="976"/>
      <c r="J407" s="977">
        <v>352.93</v>
      </c>
      <c r="K407" s="986"/>
      <c r="L407" s="986"/>
      <c r="M407" s="986"/>
      <c r="N407" s="986"/>
      <c r="O407" s="986"/>
      <c r="P407" s="986"/>
      <c r="Q407" s="1574"/>
      <c r="R407" s="987"/>
    </row>
    <row r="408" spans="1:18" ht="30" customHeight="1">
      <c r="A408" s="969">
        <f>A406+1</f>
        <v>201</v>
      </c>
      <c r="B408" s="972" t="s">
        <v>3017</v>
      </c>
      <c r="C408" s="972" t="s">
        <v>1988</v>
      </c>
      <c r="D408" s="971" t="s">
        <v>2564</v>
      </c>
      <c r="E408" s="972">
        <v>2</v>
      </c>
      <c r="F408" s="972">
        <v>2</v>
      </c>
      <c r="G408" s="972">
        <v>2</v>
      </c>
      <c r="H408" s="972">
        <v>2</v>
      </c>
      <c r="I408" s="976" t="s">
        <v>2736</v>
      </c>
      <c r="J408" s="977"/>
      <c r="K408" s="986"/>
      <c r="L408" s="986" t="s">
        <v>2919</v>
      </c>
      <c r="M408" s="970" t="s">
        <v>1009</v>
      </c>
      <c r="N408" s="970" t="s">
        <v>1009</v>
      </c>
      <c r="O408" s="986"/>
      <c r="P408" s="986"/>
      <c r="Q408" s="1574"/>
      <c r="R408" s="987"/>
    </row>
    <row r="409" spans="1:18" ht="30" customHeight="1">
      <c r="A409" s="969"/>
      <c r="B409" s="972"/>
      <c r="C409" s="972"/>
      <c r="D409" s="971"/>
      <c r="E409" s="972"/>
      <c r="F409" s="972"/>
      <c r="G409" s="972"/>
      <c r="H409" s="972"/>
      <c r="I409" s="976"/>
      <c r="J409" s="977">
        <v>232.30099999999999</v>
      </c>
      <c r="K409" s="986"/>
      <c r="L409" s="986"/>
      <c r="M409" s="986"/>
      <c r="N409" s="986"/>
      <c r="O409" s="986"/>
      <c r="P409" s="986"/>
      <c r="Q409" s="1574"/>
      <c r="R409" s="988" t="s">
        <v>3221</v>
      </c>
    </row>
    <row r="410" spans="1:18" ht="30" customHeight="1">
      <c r="A410" s="969">
        <f>A408+1</f>
        <v>202</v>
      </c>
      <c r="B410" s="972" t="s">
        <v>3018</v>
      </c>
      <c r="C410" s="972" t="s">
        <v>1988</v>
      </c>
      <c r="D410" s="971" t="s">
        <v>2566</v>
      </c>
      <c r="E410" s="972"/>
      <c r="F410" s="972"/>
      <c r="G410" s="972"/>
      <c r="H410" s="972"/>
      <c r="I410" s="976" t="s">
        <v>2736</v>
      </c>
      <c r="J410" s="977"/>
      <c r="K410" s="986"/>
      <c r="L410" s="986" t="s">
        <v>2919</v>
      </c>
      <c r="M410" s="970" t="s">
        <v>1009</v>
      </c>
      <c r="N410" s="970" t="s">
        <v>1009</v>
      </c>
      <c r="O410" s="986"/>
      <c r="P410" s="986"/>
      <c r="Q410" s="1574"/>
      <c r="R410" s="987"/>
    </row>
    <row r="411" spans="1:18" ht="30" customHeight="1">
      <c r="A411" s="969"/>
      <c r="B411" s="972"/>
      <c r="C411" s="972"/>
      <c r="D411" s="971"/>
      <c r="E411" s="972"/>
      <c r="F411" s="972"/>
      <c r="G411" s="972"/>
      <c r="H411" s="972"/>
      <c r="I411" s="976"/>
      <c r="J411" s="977">
        <v>474.983</v>
      </c>
      <c r="K411" s="986"/>
      <c r="L411" s="986"/>
      <c r="M411" s="986"/>
      <c r="N411" s="986"/>
      <c r="O411" s="986"/>
      <c r="P411" s="986"/>
      <c r="Q411" s="1574"/>
      <c r="R411" s="987"/>
    </row>
    <row r="412" spans="1:18" ht="30" customHeight="1">
      <c r="A412" s="969">
        <f>A410+1</f>
        <v>203</v>
      </c>
      <c r="B412" s="972" t="s">
        <v>3019</v>
      </c>
      <c r="C412" s="972" t="s">
        <v>1277</v>
      </c>
      <c r="D412" s="971" t="s">
        <v>2568</v>
      </c>
      <c r="E412" s="972"/>
      <c r="F412" s="972"/>
      <c r="G412" s="972"/>
      <c r="H412" s="972"/>
      <c r="I412" s="976" t="s">
        <v>1765</v>
      </c>
      <c r="J412" s="977"/>
      <c r="K412" s="986"/>
      <c r="L412" s="986" t="s">
        <v>2919</v>
      </c>
      <c r="M412" s="970" t="s">
        <v>1009</v>
      </c>
      <c r="N412" s="970" t="s">
        <v>1009</v>
      </c>
      <c r="O412" s="986"/>
      <c r="P412" s="986"/>
      <c r="Q412" s="1574"/>
      <c r="R412" s="987"/>
    </row>
    <row r="413" spans="1:18" ht="30" customHeight="1">
      <c r="A413" s="969"/>
      <c r="B413" s="972"/>
      <c r="C413" s="972"/>
      <c r="D413" s="971"/>
      <c r="E413" s="972"/>
      <c r="F413" s="972"/>
      <c r="G413" s="972"/>
      <c r="H413" s="972"/>
      <c r="I413" s="976"/>
      <c r="J413" s="977">
        <v>322.58800000000002</v>
      </c>
      <c r="K413" s="986"/>
      <c r="L413" s="986"/>
      <c r="M413" s="986"/>
      <c r="N413" s="986"/>
      <c r="O413" s="986"/>
      <c r="P413" s="986"/>
      <c r="Q413" s="1575"/>
      <c r="R413" s="987"/>
    </row>
    <row r="414" spans="1:18" ht="30" customHeight="1">
      <c r="A414" s="969">
        <f>A412+1</f>
        <v>204</v>
      </c>
      <c r="B414" s="972" t="s">
        <v>2569</v>
      </c>
      <c r="C414" s="972" t="s">
        <v>76</v>
      </c>
      <c r="D414" s="971"/>
      <c r="E414" s="972"/>
      <c r="F414" s="972"/>
      <c r="G414" s="972"/>
      <c r="H414" s="972"/>
      <c r="I414" s="976" t="s">
        <v>1765</v>
      </c>
      <c r="J414" s="976"/>
      <c r="K414" s="985"/>
      <c r="L414" s="972" t="s">
        <v>2919</v>
      </c>
      <c r="M414" s="970" t="s">
        <v>1009</v>
      </c>
      <c r="N414" s="970" t="s">
        <v>1009</v>
      </c>
      <c r="O414" s="978" t="s">
        <v>1009</v>
      </c>
      <c r="P414" s="986"/>
      <c r="Q414" s="973"/>
      <c r="R414" s="987"/>
    </row>
    <row r="415" spans="1:18" ht="30" customHeight="1">
      <c r="A415" s="969"/>
      <c r="B415" s="972"/>
      <c r="C415" s="972"/>
      <c r="D415" s="971"/>
      <c r="E415" s="972"/>
      <c r="F415" s="972"/>
      <c r="G415" s="972"/>
      <c r="H415" s="972"/>
      <c r="I415" s="976"/>
      <c r="J415" s="977">
        <v>317.88400000000001</v>
      </c>
      <c r="K415" s="986"/>
      <c r="L415" s="986"/>
      <c r="M415" s="986"/>
      <c r="N415" s="986"/>
      <c r="O415" s="986"/>
      <c r="P415" s="986"/>
      <c r="Q415" s="973"/>
      <c r="R415" s="987"/>
    </row>
    <row r="416" spans="1:18" ht="30" customHeight="1">
      <c r="A416" s="969">
        <f>A414+1</f>
        <v>205</v>
      </c>
      <c r="B416" s="972" t="s">
        <v>2570</v>
      </c>
      <c r="C416" s="972" t="s">
        <v>76</v>
      </c>
      <c r="D416" s="971"/>
      <c r="E416" s="972"/>
      <c r="F416" s="972"/>
      <c r="G416" s="972"/>
      <c r="H416" s="972"/>
      <c r="I416" s="976" t="s">
        <v>1765</v>
      </c>
      <c r="J416" s="977"/>
      <c r="K416" s="986"/>
      <c r="L416" s="986" t="s">
        <v>2919</v>
      </c>
      <c r="M416" s="970" t="s">
        <v>1009</v>
      </c>
      <c r="N416" s="970" t="s">
        <v>1009</v>
      </c>
      <c r="O416" s="978" t="s">
        <v>1009</v>
      </c>
      <c r="P416" s="986"/>
      <c r="Q416" s="973"/>
      <c r="R416" s="987"/>
    </row>
    <row r="417" spans="1:18" ht="30" customHeight="1">
      <c r="A417" s="969"/>
      <c r="B417" s="972"/>
      <c r="C417" s="972"/>
      <c r="D417" s="971"/>
      <c r="E417" s="972"/>
      <c r="F417" s="972"/>
      <c r="G417" s="972"/>
      <c r="H417" s="972"/>
      <c r="I417" s="976"/>
      <c r="J417" s="977">
        <v>297.73500000000001</v>
      </c>
      <c r="K417" s="986"/>
      <c r="L417" s="986"/>
      <c r="M417" s="965"/>
      <c r="N417" s="978"/>
      <c r="O417" s="965"/>
      <c r="P417" s="965"/>
      <c r="Q417" s="965"/>
      <c r="R417" s="965"/>
    </row>
    <row r="418" spans="1:18" ht="30" customHeight="1">
      <c r="A418" s="969">
        <f>A416+1</f>
        <v>206</v>
      </c>
      <c r="B418" s="972" t="s">
        <v>3020</v>
      </c>
      <c r="C418" s="972" t="s">
        <v>1277</v>
      </c>
      <c r="D418" s="971" t="s">
        <v>2572</v>
      </c>
      <c r="E418" s="972"/>
      <c r="F418" s="972"/>
      <c r="G418" s="972"/>
      <c r="H418" s="972"/>
      <c r="I418" s="976" t="s">
        <v>1765</v>
      </c>
      <c r="J418" s="977"/>
      <c r="K418" s="986"/>
      <c r="L418" s="986" t="s">
        <v>2919</v>
      </c>
      <c r="M418" s="978" t="s">
        <v>22</v>
      </c>
      <c r="N418" s="978"/>
      <c r="O418" s="965"/>
      <c r="P418" s="965"/>
      <c r="Q418" s="965"/>
      <c r="R418" s="965"/>
    </row>
    <row r="419" spans="1:18" ht="30" customHeight="1">
      <c r="A419" s="969"/>
      <c r="B419" s="972"/>
      <c r="C419" s="972"/>
      <c r="D419" s="971"/>
      <c r="E419" s="972"/>
      <c r="F419" s="972"/>
      <c r="G419" s="972"/>
      <c r="H419" s="972"/>
      <c r="I419" s="976"/>
      <c r="J419" s="977">
        <v>357.24900000000002</v>
      </c>
      <c r="K419" s="986"/>
      <c r="L419" s="986"/>
      <c r="M419" s="965"/>
      <c r="N419" s="978"/>
      <c r="O419" s="965"/>
      <c r="P419" s="965"/>
      <c r="Q419" s="965"/>
      <c r="R419" s="965"/>
    </row>
    <row r="420" spans="1:18" ht="30" customHeight="1">
      <c r="A420" s="969">
        <f>A418+1</f>
        <v>207</v>
      </c>
      <c r="B420" s="972" t="s">
        <v>2573</v>
      </c>
      <c r="C420" s="972" t="s">
        <v>76</v>
      </c>
      <c r="D420" s="971"/>
      <c r="E420" s="972"/>
      <c r="F420" s="972"/>
      <c r="G420" s="972"/>
      <c r="H420" s="972"/>
      <c r="I420" s="976" t="s">
        <v>1765</v>
      </c>
      <c r="J420" s="977"/>
      <c r="K420" s="986"/>
      <c r="L420" s="986" t="s">
        <v>2919</v>
      </c>
      <c r="M420" s="970" t="s">
        <v>1009</v>
      </c>
      <c r="N420" s="970" t="s">
        <v>1009</v>
      </c>
      <c r="O420" s="978" t="s">
        <v>1009</v>
      </c>
      <c r="P420" s="965"/>
      <c r="Q420" s="965"/>
      <c r="R420" s="965"/>
    </row>
    <row r="421" spans="1:18" ht="30" customHeight="1">
      <c r="A421" s="969"/>
      <c r="B421" s="972"/>
      <c r="C421" s="972"/>
      <c r="D421" s="971"/>
      <c r="E421" s="972"/>
      <c r="F421" s="972"/>
      <c r="G421" s="972"/>
      <c r="H421" s="972"/>
      <c r="I421" s="976"/>
      <c r="J421" s="977">
        <v>353.03300000000002</v>
      </c>
      <c r="K421" s="986"/>
      <c r="L421" s="986"/>
      <c r="M421" s="965"/>
      <c r="N421" s="978"/>
      <c r="O421" s="965"/>
      <c r="P421" s="965"/>
      <c r="Q421" s="965"/>
      <c r="R421" s="965"/>
    </row>
    <row r="422" spans="1:18" ht="30" customHeight="1">
      <c r="A422" s="969">
        <f>A420+1</f>
        <v>208</v>
      </c>
      <c r="B422" s="972" t="s">
        <v>2574</v>
      </c>
      <c r="C422" s="972" t="s">
        <v>62</v>
      </c>
      <c r="D422" s="971"/>
      <c r="E422" s="972"/>
      <c r="F422" s="972"/>
      <c r="G422" s="972"/>
      <c r="H422" s="972"/>
      <c r="I422" s="976" t="s">
        <v>1765</v>
      </c>
      <c r="J422" s="977"/>
      <c r="K422" s="986"/>
      <c r="L422" s="986" t="s">
        <v>2919</v>
      </c>
      <c r="M422" s="970" t="s">
        <v>1009</v>
      </c>
      <c r="N422" s="970" t="s">
        <v>1009</v>
      </c>
      <c r="O422" s="978" t="s">
        <v>1009</v>
      </c>
      <c r="P422" s="965"/>
      <c r="Q422" s="965"/>
      <c r="R422" s="965"/>
    </row>
    <row r="423" spans="1:18" ht="30" customHeight="1">
      <c r="A423" s="969"/>
      <c r="B423" s="972"/>
      <c r="C423" s="972"/>
      <c r="D423" s="971"/>
      <c r="E423" s="972"/>
      <c r="F423" s="972"/>
      <c r="G423" s="972"/>
      <c r="H423" s="972"/>
      <c r="I423" s="976"/>
      <c r="J423" s="977">
        <v>406.76600000000002</v>
      </c>
      <c r="K423" s="986"/>
      <c r="L423" s="986"/>
      <c r="M423" s="965"/>
      <c r="N423" s="978"/>
      <c r="O423" s="965"/>
      <c r="P423" s="965"/>
      <c r="Q423" s="965"/>
      <c r="R423" s="965"/>
    </row>
    <row r="424" spans="1:18" ht="30" customHeight="1">
      <c r="A424" s="969">
        <f>A422+1</f>
        <v>209</v>
      </c>
      <c r="B424" s="972" t="s">
        <v>3021</v>
      </c>
      <c r="C424" s="972" t="s">
        <v>1319</v>
      </c>
      <c r="D424" s="971" t="s">
        <v>2592</v>
      </c>
      <c r="E424" s="972"/>
      <c r="F424" s="972"/>
      <c r="G424" s="972"/>
      <c r="H424" s="972"/>
      <c r="I424" s="976" t="s">
        <v>1765</v>
      </c>
      <c r="J424" s="977"/>
      <c r="K424" s="986"/>
      <c r="L424" s="986" t="s">
        <v>2919</v>
      </c>
      <c r="M424" s="970" t="s">
        <v>1009</v>
      </c>
      <c r="N424" s="970" t="s">
        <v>1009</v>
      </c>
      <c r="O424" s="965"/>
      <c r="P424" s="965"/>
      <c r="Q424" s="965"/>
      <c r="R424" s="965"/>
    </row>
    <row r="425" spans="1:18" ht="30" customHeight="1">
      <c r="A425" s="969"/>
      <c r="B425" s="972"/>
      <c r="C425" s="972"/>
      <c r="D425" s="971"/>
      <c r="E425" s="972"/>
      <c r="F425" s="972"/>
      <c r="G425" s="972"/>
      <c r="H425" s="972"/>
      <c r="I425" s="976"/>
      <c r="J425" s="977">
        <v>392.39499999999998</v>
      </c>
      <c r="K425" s="986"/>
      <c r="L425" s="986"/>
      <c r="M425" s="965"/>
      <c r="N425" s="978"/>
      <c r="O425" s="965"/>
      <c r="P425" s="965"/>
      <c r="Q425" s="965"/>
      <c r="R425" s="965"/>
    </row>
    <row r="426" spans="1:18" ht="30" customHeight="1">
      <c r="A426" s="969">
        <f>A424+1</f>
        <v>210</v>
      </c>
      <c r="B426" s="972" t="s">
        <v>2577</v>
      </c>
      <c r="C426" s="972" t="s">
        <v>62</v>
      </c>
      <c r="D426" s="971"/>
      <c r="E426" s="972"/>
      <c r="F426" s="972"/>
      <c r="G426" s="972"/>
      <c r="H426" s="972"/>
      <c r="I426" s="976" t="s">
        <v>1765</v>
      </c>
      <c r="J426" s="977"/>
      <c r="K426" s="986"/>
      <c r="L426" s="986" t="s">
        <v>2919</v>
      </c>
      <c r="M426" s="970" t="s">
        <v>1009</v>
      </c>
      <c r="N426" s="970" t="s">
        <v>1009</v>
      </c>
      <c r="O426" s="978" t="s">
        <v>1009</v>
      </c>
      <c r="P426" s="965"/>
      <c r="Q426" s="965"/>
      <c r="R426" s="965"/>
    </row>
    <row r="427" spans="1:18" ht="30" customHeight="1">
      <c r="A427" s="969"/>
      <c r="B427" s="972"/>
      <c r="C427" s="972"/>
      <c r="D427" s="971"/>
      <c r="E427" s="972"/>
      <c r="F427" s="972"/>
      <c r="G427" s="972"/>
      <c r="H427" s="972"/>
      <c r="I427" s="976"/>
      <c r="J427" s="977">
        <v>408.83499999999998</v>
      </c>
      <c r="K427" s="986"/>
      <c r="L427" s="986"/>
      <c r="M427" s="965"/>
      <c r="N427" s="978"/>
      <c r="O427" s="965"/>
      <c r="P427" s="965"/>
      <c r="Q427" s="965"/>
      <c r="R427" s="965"/>
    </row>
    <row r="428" spans="1:18" ht="30" customHeight="1">
      <c r="A428" s="969">
        <f>A426+1</f>
        <v>211</v>
      </c>
      <c r="B428" s="972" t="s">
        <v>2578</v>
      </c>
      <c r="C428" s="972" t="s">
        <v>76</v>
      </c>
      <c r="D428" s="971"/>
      <c r="E428" s="972"/>
      <c r="F428" s="972"/>
      <c r="G428" s="972"/>
      <c r="H428" s="972"/>
      <c r="I428" s="976" t="s">
        <v>1765</v>
      </c>
      <c r="J428" s="977"/>
      <c r="K428" s="986"/>
      <c r="L428" s="986" t="s">
        <v>2919</v>
      </c>
      <c r="M428" s="970" t="s">
        <v>1009</v>
      </c>
      <c r="N428" s="970" t="s">
        <v>1009</v>
      </c>
      <c r="O428" s="978"/>
      <c r="P428" s="965"/>
      <c r="Q428" s="965"/>
      <c r="R428" s="965"/>
    </row>
    <row r="429" spans="1:18" ht="30" customHeight="1">
      <c r="A429" s="969"/>
      <c r="B429" s="972"/>
      <c r="C429" s="972"/>
      <c r="D429" s="971"/>
      <c r="E429" s="972"/>
      <c r="F429" s="972"/>
      <c r="G429" s="972"/>
      <c r="H429" s="972"/>
      <c r="I429" s="976"/>
      <c r="J429" s="977">
        <v>333.09</v>
      </c>
      <c r="K429" s="986"/>
      <c r="L429" s="986"/>
      <c r="M429" s="965"/>
      <c r="N429" s="978"/>
      <c r="O429" s="965"/>
      <c r="P429" s="965"/>
      <c r="Q429" s="965"/>
      <c r="R429" s="965"/>
    </row>
    <row r="430" spans="1:18" ht="30" customHeight="1">
      <c r="A430" s="969">
        <f>A428+1</f>
        <v>212</v>
      </c>
      <c r="B430" s="972" t="s">
        <v>2579</v>
      </c>
      <c r="C430" s="972" t="s">
        <v>76</v>
      </c>
      <c r="D430" s="971"/>
      <c r="E430" s="972">
        <v>1</v>
      </c>
      <c r="F430" s="972">
        <v>1</v>
      </c>
      <c r="G430" s="972">
        <v>1</v>
      </c>
      <c r="H430" s="972">
        <v>1</v>
      </c>
      <c r="I430" s="976" t="s">
        <v>2736</v>
      </c>
      <c r="J430" s="977"/>
      <c r="K430" s="986"/>
      <c r="L430" s="986" t="s">
        <v>2919</v>
      </c>
      <c r="M430" s="970" t="s">
        <v>1009</v>
      </c>
      <c r="N430" s="970" t="s">
        <v>1009</v>
      </c>
      <c r="O430" s="978" t="s">
        <v>1009</v>
      </c>
      <c r="P430" s="965"/>
      <c r="Q430" s="965"/>
      <c r="R430" s="965"/>
    </row>
    <row r="431" spans="1:18" ht="30" customHeight="1">
      <c r="A431" s="969"/>
      <c r="B431" s="972"/>
      <c r="C431" s="972"/>
      <c r="D431" s="971"/>
      <c r="E431" s="972"/>
      <c r="F431" s="972"/>
      <c r="G431" s="972"/>
      <c r="H431" s="972"/>
      <c r="I431" s="976"/>
      <c r="J431" s="977">
        <v>343.68299999999999</v>
      </c>
      <c r="K431" s="986"/>
      <c r="L431" s="986"/>
      <c r="M431" s="965"/>
      <c r="N431" s="978"/>
      <c r="O431" s="965"/>
      <c r="P431" s="965"/>
      <c r="Q431" s="965"/>
      <c r="R431" s="965"/>
    </row>
    <row r="432" spans="1:18" ht="30" customHeight="1">
      <c r="A432" s="969">
        <f>A430+1</f>
        <v>213</v>
      </c>
      <c r="B432" s="972" t="s">
        <v>2580</v>
      </c>
      <c r="C432" s="972" t="s">
        <v>76</v>
      </c>
      <c r="D432" s="971"/>
      <c r="E432" s="972"/>
      <c r="F432" s="972"/>
      <c r="G432" s="972"/>
      <c r="H432" s="972"/>
      <c r="I432" s="976" t="s">
        <v>1765</v>
      </c>
      <c r="J432" s="977"/>
      <c r="K432" s="986"/>
      <c r="L432" s="986" t="s">
        <v>2919</v>
      </c>
      <c r="M432" s="970" t="s">
        <v>1009</v>
      </c>
      <c r="N432" s="970" t="s">
        <v>1009</v>
      </c>
      <c r="O432" s="978" t="s">
        <v>1009</v>
      </c>
      <c r="P432" s="965"/>
      <c r="Q432" s="965"/>
      <c r="R432" s="965"/>
    </row>
    <row r="433" spans="1:18" ht="30" customHeight="1">
      <c r="A433" s="969"/>
      <c r="B433" s="972"/>
      <c r="C433" s="972"/>
      <c r="D433" s="971"/>
      <c r="E433" s="972"/>
      <c r="F433" s="972"/>
      <c r="G433" s="972"/>
      <c r="H433" s="972"/>
      <c r="I433" s="976"/>
      <c r="J433" s="977">
        <v>383.59899999999999</v>
      </c>
      <c r="K433" s="986"/>
      <c r="L433" s="986"/>
      <c r="M433" s="986"/>
      <c r="N433" s="978"/>
      <c r="O433" s="965"/>
      <c r="P433" s="965"/>
      <c r="Q433" s="965"/>
      <c r="R433" s="965"/>
    </row>
    <row r="434" spans="1:18" ht="30" customHeight="1">
      <c r="A434" s="969">
        <f>A432+1</f>
        <v>214</v>
      </c>
      <c r="B434" s="972" t="s">
        <v>3022</v>
      </c>
      <c r="C434" s="972" t="s">
        <v>1277</v>
      </c>
      <c r="D434" s="971" t="s">
        <v>2582</v>
      </c>
      <c r="E434" s="972"/>
      <c r="F434" s="972"/>
      <c r="G434" s="972"/>
      <c r="H434" s="972"/>
      <c r="I434" s="976" t="s">
        <v>1765</v>
      </c>
      <c r="J434" s="977"/>
      <c r="K434" s="986"/>
      <c r="L434" s="986" t="s">
        <v>2919</v>
      </c>
      <c r="M434" s="970" t="s">
        <v>1009</v>
      </c>
      <c r="N434" s="970" t="s">
        <v>1009</v>
      </c>
      <c r="O434" s="978" t="s">
        <v>1009</v>
      </c>
      <c r="P434" s="965"/>
      <c r="Q434" s="965"/>
      <c r="R434" s="965"/>
    </row>
    <row r="435" spans="1:18" ht="30" customHeight="1">
      <c r="A435" s="969"/>
      <c r="B435" s="972"/>
      <c r="C435" s="972"/>
      <c r="D435" s="971"/>
      <c r="E435" s="972"/>
      <c r="F435" s="972"/>
      <c r="G435" s="972"/>
      <c r="H435" s="972"/>
      <c r="I435" s="976"/>
      <c r="J435" s="977">
        <v>282.75900000000001</v>
      </c>
      <c r="K435" s="986"/>
      <c r="L435" s="986"/>
      <c r="M435" s="986"/>
      <c r="N435" s="978"/>
      <c r="O435" s="965"/>
      <c r="P435" s="965"/>
      <c r="Q435" s="965"/>
      <c r="R435" s="965"/>
    </row>
    <row r="436" spans="1:18" ht="30" customHeight="1">
      <c r="A436" s="969">
        <f>A434+1</f>
        <v>215</v>
      </c>
      <c r="B436" s="972" t="s">
        <v>3152</v>
      </c>
      <c r="C436" s="972" t="s">
        <v>76</v>
      </c>
      <c r="D436" s="971"/>
      <c r="E436" s="972"/>
      <c r="F436" s="972"/>
      <c r="G436" s="972"/>
      <c r="H436" s="972"/>
      <c r="I436" s="976" t="s">
        <v>1765</v>
      </c>
      <c r="J436" s="977"/>
      <c r="K436" s="986"/>
      <c r="L436" s="986" t="s">
        <v>2919</v>
      </c>
      <c r="M436" s="970" t="s">
        <v>1009</v>
      </c>
      <c r="N436" s="970" t="s">
        <v>1009</v>
      </c>
      <c r="O436" s="978" t="s">
        <v>1009</v>
      </c>
      <c r="P436" s="965"/>
      <c r="Q436" s="965"/>
      <c r="R436" s="965"/>
    </row>
    <row r="437" spans="1:18" ht="30" customHeight="1">
      <c r="A437" s="969"/>
      <c r="B437" s="972"/>
      <c r="C437" s="972"/>
      <c r="D437" s="971"/>
      <c r="E437" s="972"/>
      <c r="F437" s="972"/>
      <c r="G437" s="972"/>
      <c r="H437" s="972"/>
      <c r="I437" s="976"/>
      <c r="J437" s="977">
        <v>385.27100000000002</v>
      </c>
      <c r="K437" s="986"/>
      <c r="L437" s="986"/>
      <c r="M437" s="986"/>
      <c r="N437" s="978"/>
      <c r="O437" s="965"/>
      <c r="P437" s="965"/>
      <c r="Q437" s="965"/>
      <c r="R437" s="965"/>
    </row>
    <row r="438" spans="1:18" ht="30" customHeight="1">
      <c r="A438" s="969">
        <f>A436+1</f>
        <v>216</v>
      </c>
      <c r="B438" s="972" t="s">
        <v>3153</v>
      </c>
      <c r="C438" s="972" t="s">
        <v>62</v>
      </c>
      <c r="D438" s="971"/>
      <c r="E438" s="972"/>
      <c r="F438" s="972"/>
      <c r="G438" s="972"/>
      <c r="H438" s="972"/>
      <c r="I438" s="976" t="s">
        <v>1765</v>
      </c>
      <c r="J438" s="977"/>
      <c r="K438" s="986"/>
      <c r="L438" s="986" t="s">
        <v>2919</v>
      </c>
      <c r="M438" s="970" t="s">
        <v>1009</v>
      </c>
      <c r="N438" s="970" t="s">
        <v>1009</v>
      </c>
      <c r="O438" s="978" t="s">
        <v>1009</v>
      </c>
      <c r="P438" s="965"/>
      <c r="Q438" s="965"/>
      <c r="R438" s="965"/>
    </row>
    <row r="439" spans="1:18" ht="30" customHeight="1">
      <c r="A439" s="969"/>
      <c r="B439" s="972"/>
      <c r="C439" s="972"/>
      <c r="D439" s="971"/>
      <c r="E439" s="972"/>
      <c r="F439" s="972"/>
      <c r="G439" s="972"/>
      <c r="H439" s="972"/>
      <c r="I439" s="976"/>
      <c r="J439" s="977">
        <v>361.36099999999999</v>
      </c>
      <c r="K439" s="986"/>
      <c r="L439" s="986"/>
      <c r="M439" s="986"/>
      <c r="N439" s="978"/>
      <c r="O439" s="965"/>
      <c r="P439" s="965"/>
      <c r="Q439" s="965"/>
      <c r="R439" s="965"/>
    </row>
    <row r="440" spans="1:18" ht="30" customHeight="1">
      <c r="A440" s="969">
        <f>A438+1</f>
        <v>217</v>
      </c>
      <c r="B440" s="972" t="s">
        <v>3183</v>
      </c>
      <c r="C440" s="972" t="s">
        <v>1277</v>
      </c>
      <c r="D440" s="971" t="s">
        <v>3166</v>
      </c>
      <c r="E440" s="972"/>
      <c r="F440" s="972"/>
      <c r="G440" s="972"/>
      <c r="H440" s="972"/>
      <c r="I440" s="976" t="s">
        <v>1765</v>
      </c>
      <c r="J440" s="977"/>
      <c r="K440" s="986"/>
      <c r="L440" s="986" t="s">
        <v>2919</v>
      </c>
      <c r="M440" s="970" t="s">
        <v>1009</v>
      </c>
      <c r="N440" s="970" t="s">
        <v>1009</v>
      </c>
      <c r="O440" s="978" t="s">
        <v>1009</v>
      </c>
      <c r="P440" s="965"/>
      <c r="Q440" s="965"/>
      <c r="R440" s="965"/>
    </row>
    <row r="441" spans="1:18" ht="30" customHeight="1">
      <c r="A441" s="969"/>
      <c r="B441" s="972"/>
      <c r="C441" s="972"/>
      <c r="D441" s="971"/>
      <c r="E441" s="972"/>
      <c r="F441" s="972"/>
      <c r="G441" s="972"/>
      <c r="H441" s="972"/>
      <c r="I441" s="976"/>
      <c r="J441" s="977">
        <v>235.09</v>
      </c>
      <c r="K441" s="986"/>
      <c r="L441" s="986"/>
      <c r="M441" s="986"/>
      <c r="N441" s="978"/>
      <c r="O441" s="965"/>
      <c r="P441" s="965"/>
      <c r="Q441" s="965"/>
      <c r="R441" s="965"/>
    </row>
    <row r="442" spans="1:18" ht="30" customHeight="1">
      <c r="A442" s="969">
        <f>A440+1</f>
        <v>218</v>
      </c>
      <c r="B442" s="972" t="s">
        <v>3184</v>
      </c>
      <c r="C442" s="972" t="s">
        <v>1319</v>
      </c>
      <c r="D442" s="971" t="s">
        <v>3167</v>
      </c>
      <c r="E442" s="972"/>
      <c r="F442" s="972"/>
      <c r="G442" s="972"/>
      <c r="H442" s="972"/>
      <c r="I442" s="976" t="s">
        <v>1765</v>
      </c>
      <c r="J442" s="977"/>
      <c r="K442" s="986"/>
      <c r="L442" s="986" t="s">
        <v>2919</v>
      </c>
      <c r="M442" s="970" t="s">
        <v>1009</v>
      </c>
      <c r="N442" s="970" t="s">
        <v>1009</v>
      </c>
      <c r="O442" s="978" t="s">
        <v>1009</v>
      </c>
      <c r="P442" s="965"/>
      <c r="Q442" s="965"/>
      <c r="R442" s="965"/>
    </row>
    <row r="443" spans="1:18" ht="30" customHeight="1">
      <c r="A443" s="969"/>
      <c r="B443" s="972"/>
      <c r="C443" s="972"/>
      <c r="D443" s="971"/>
      <c r="E443" s="972"/>
      <c r="F443" s="972"/>
      <c r="G443" s="972"/>
      <c r="H443" s="972"/>
      <c r="I443" s="976"/>
      <c r="J443" s="977">
        <v>351.74299999999999</v>
      </c>
      <c r="K443" s="986"/>
      <c r="L443" s="986"/>
      <c r="M443" s="986"/>
      <c r="N443" s="978"/>
      <c r="O443" s="965"/>
      <c r="P443" s="965"/>
      <c r="Q443" s="965"/>
      <c r="R443" s="965"/>
    </row>
    <row r="444" spans="1:18" ht="30" customHeight="1">
      <c r="A444" s="969">
        <f>A442+1</f>
        <v>219</v>
      </c>
      <c r="B444" s="972" t="s">
        <v>3154</v>
      </c>
      <c r="C444" s="972" t="s">
        <v>76</v>
      </c>
      <c r="D444" s="971"/>
      <c r="E444" s="972"/>
      <c r="F444" s="972"/>
      <c r="G444" s="972"/>
      <c r="H444" s="972"/>
      <c r="I444" s="976" t="s">
        <v>1765</v>
      </c>
      <c r="J444" s="977"/>
      <c r="K444" s="986"/>
      <c r="L444" s="986" t="s">
        <v>2919</v>
      </c>
      <c r="M444" s="970" t="s">
        <v>1009</v>
      </c>
      <c r="N444" s="970" t="s">
        <v>1009</v>
      </c>
      <c r="O444" s="978" t="s">
        <v>1009</v>
      </c>
      <c r="P444" s="965"/>
      <c r="Q444" s="965"/>
      <c r="R444" s="965"/>
    </row>
    <row r="445" spans="1:18" ht="30" customHeight="1">
      <c r="A445" s="969"/>
      <c r="B445" s="972"/>
      <c r="C445" s="972"/>
      <c r="D445" s="971"/>
      <c r="E445" s="972"/>
      <c r="F445" s="972"/>
      <c r="G445" s="972"/>
      <c r="H445" s="972"/>
      <c r="I445" s="976"/>
      <c r="J445" s="977">
        <v>386.03800000000001</v>
      </c>
      <c r="K445" s="986"/>
      <c r="L445" s="986"/>
      <c r="M445" s="986"/>
      <c r="N445" s="978"/>
      <c r="O445" s="965"/>
      <c r="P445" s="965"/>
      <c r="Q445" s="965"/>
      <c r="R445" s="965"/>
    </row>
    <row r="446" spans="1:18" ht="30" customHeight="1">
      <c r="A446" s="969">
        <f>A444+1</f>
        <v>220</v>
      </c>
      <c r="B446" s="972" t="s">
        <v>3155</v>
      </c>
      <c r="C446" s="972" t="s">
        <v>76</v>
      </c>
      <c r="D446" s="971"/>
      <c r="E446" s="972"/>
      <c r="F446" s="972"/>
      <c r="G446" s="972"/>
      <c r="H446" s="972"/>
      <c r="I446" s="976" t="s">
        <v>1765</v>
      </c>
      <c r="J446" s="977"/>
      <c r="K446" s="986"/>
      <c r="L446" s="986" t="s">
        <v>2919</v>
      </c>
      <c r="M446" s="970" t="s">
        <v>1009</v>
      </c>
      <c r="N446" s="970" t="s">
        <v>1009</v>
      </c>
      <c r="O446" s="978" t="s">
        <v>1009</v>
      </c>
      <c r="P446" s="965"/>
      <c r="Q446" s="965"/>
      <c r="R446" s="965"/>
    </row>
    <row r="447" spans="1:18" ht="30" customHeight="1">
      <c r="A447" s="969"/>
      <c r="B447" s="972"/>
      <c r="C447" s="972"/>
      <c r="D447" s="971"/>
      <c r="E447" s="972"/>
      <c r="F447" s="972"/>
      <c r="G447" s="972"/>
      <c r="H447" s="972"/>
      <c r="I447" s="976"/>
      <c r="J447" s="977">
        <v>387.69499999999999</v>
      </c>
      <c r="K447" s="986"/>
      <c r="L447" s="986"/>
      <c r="M447" s="986"/>
      <c r="N447" s="978"/>
      <c r="O447" s="965"/>
      <c r="P447" s="965"/>
      <c r="Q447" s="965"/>
      <c r="R447" s="965"/>
    </row>
    <row r="448" spans="1:18" ht="30" customHeight="1">
      <c r="A448" s="969">
        <f>A446+1</f>
        <v>221</v>
      </c>
      <c r="B448" s="972" t="s">
        <v>3156</v>
      </c>
      <c r="C448" s="972" t="s">
        <v>76</v>
      </c>
      <c r="D448" s="971"/>
      <c r="E448" s="972"/>
      <c r="F448" s="972"/>
      <c r="G448" s="972"/>
      <c r="H448" s="972"/>
      <c r="I448" s="976" t="s">
        <v>1765</v>
      </c>
      <c r="J448" s="977"/>
      <c r="K448" s="986"/>
      <c r="L448" s="986" t="s">
        <v>2919</v>
      </c>
      <c r="M448" s="970" t="s">
        <v>1009</v>
      </c>
      <c r="N448" s="970" t="s">
        <v>1009</v>
      </c>
      <c r="O448" s="978" t="s">
        <v>1009</v>
      </c>
      <c r="P448" s="965"/>
      <c r="Q448" s="965"/>
      <c r="R448" s="965"/>
    </row>
    <row r="449" spans="1:18" ht="30" customHeight="1">
      <c r="A449" s="969"/>
      <c r="B449" s="972"/>
      <c r="C449" s="972"/>
      <c r="D449" s="971"/>
      <c r="E449" s="972"/>
      <c r="F449" s="972"/>
      <c r="G449" s="972"/>
      <c r="H449" s="972"/>
      <c r="I449" s="976"/>
      <c r="J449" s="977">
        <v>389.56799999999998</v>
      </c>
      <c r="K449" s="986"/>
      <c r="L449" s="986"/>
      <c r="M449" s="986"/>
      <c r="N449" s="986"/>
      <c r="O449" s="965"/>
      <c r="P449" s="965"/>
      <c r="Q449" s="965"/>
      <c r="R449" s="965"/>
    </row>
    <row r="450" spans="1:18" ht="30" customHeight="1">
      <c r="A450" s="969">
        <f>A448+1</f>
        <v>222</v>
      </c>
      <c r="B450" s="972" t="s">
        <v>3185</v>
      </c>
      <c r="C450" s="972" t="s">
        <v>1277</v>
      </c>
      <c r="D450" s="971" t="s">
        <v>3168</v>
      </c>
      <c r="E450" s="972"/>
      <c r="F450" s="972"/>
      <c r="G450" s="972"/>
      <c r="H450" s="972"/>
      <c r="I450" s="976" t="s">
        <v>1765</v>
      </c>
      <c r="J450" s="977"/>
      <c r="K450" s="986"/>
      <c r="L450" s="986" t="s">
        <v>2919</v>
      </c>
      <c r="M450" s="970" t="s">
        <v>1009</v>
      </c>
      <c r="N450" s="970" t="s">
        <v>1009</v>
      </c>
      <c r="O450" s="978" t="s">
        <v>1009</v>
      </c>
      <c r="P450" s="965"/>
      <c r="Q450" s="965"/>
      <c r="R450" s="965"/>
    </row>
    <row r="451" spans="1:18" ht="30" customHeight="1">
      <c r="A451" s="969"/>
      <c r="B451" s="972"/>
      <c r="C451" s="972"/>
      <c r="D451" s="971"/>
      <c r="E451" s="972"/>
      <c r="F451" s="972"/>
      <c r="G451" s="972"/>
      <c r="H451" s="972"/>
      <c r="I451" s="976"/>
      <c r="J451" s="977">
        <v>376.14400000000001</v>
      </c>
      <c r="K451" s="986"/>
      <c r="L451" s="986"/>
      <c r="M451" s="986"/>
      <c r="N451" s="986"/>
      <c r="O451" s="965"/>
      <c r="P451" s="965"/>
      <c r="Q451" s="965"/>
      <c r="R451" s="965"/>
    </row>
    <row r="452" spans="1:18" ht="30" customHeight="1">
      <c r="A452" s="969">
        <f>A450+1</f>
        <v>223</v>
      </c>
      <c r="B452" s="972" t="s">
        <v>3157</v>
      </c>
      <c r="C452" s="972" t="s">
        <v>53</v>
      </c>
      <c r="D452" s="971"/>
      <c r="E452" s="972"/>
      <c r="F452" s="972"/>
      <c r="G452" s="972"/>
      <c r="H452" s="972"/>
      <c r="I452" s="976" t="s">
        <v>1765</v>
      </c>
      <c r="J452" s="977"/>
      <c r="K452" s="986"/>
      <c r="L452" s="986" t="s">
        <v>2919</v>
      </c>
      <c r="M452" s="970" t="s">
        <v>1009</v>
      </c>
      <c r="N452" s="970" t="s">
        <v>1009</v>
      </c>
      <c r="O452" s="978" t="s">
        <v>1009</v>
      </c>
      <c r="P452" s="965"/>
      <c r="Q452" s="965"/>
      <c r="R452" s="965"/>
    </row>
    <row r="453" spans="1:18" ht="30" customHeight="1">
      <c r="A453" s="969"/>
      <c r="B453" s="972"/>
      <c r="C453" s="972"/>
      <c r="D453" s="971"/>
      <c r="E453" s="972"/>
      <c r="F453" s="972"/>
      <c r="G453" s="972"/>
      <c r="H453" s="972"/>
      <c r="I453" s="976"/>
      <c r="J453" s="977">
        <v>408</v>
      </c>
      <c r="K453" s="986"/>
      <c r="L453" s="986"/>
      <c r="M453" s="986"/>
      <c r="N453" s="986"/>
      <c r="O453" s="965"/>
      <c r="P453" s="965"/>
      <c r="Q453" s="965"/>
      <c r="R453" s="965"/>
    </row>
    <row r="454" spans="1:18" ht="30" customHeight="1">
      <c r="A454" s="969">
        <f>A452+1</f>
        <v>224</v>
      </c>
      <c r="B454" s="972" t="s">
        <v>3158</v>
      </c>
      <c r="C454" s="972" t="s">
        <v>76</v>
      </c>
      <c r="D454" s="971"/>
      <c r="E454" s="972"/>
      <c r="F454" s="972"/>
      <c r="G454" s="972"/>
      <c r="H454" s="972"/>
      <c r="I454" s="976" t="s">
        <v>1765</v>
      </c>
      <c r="J454" s="977"/>
      <c r="K454" s="986"/>
      <c r="L454" s="986" t="s">
        <v>2919</v>
      </c>
      <c r="M454" s="970" t="s">
        <v>1009</v>
      </c>
      <c r="N454" s="970" t="s">
        <v>1009</v>
      </c>
      <c r="O454" s="978" t="s">
        <v>1009</v>
      </c>
      <c r="P454" s="965"/>
      <c r="Q454" s="965"/>
      <c r="R454" s="965"/>
    </row>
    <row r="455" spans="1:18" ht="30" customHeight="1">
      <c r="A455" s="969"/>
      <c r="B455" s="972"/>
      <c r="C455" s="972"/>
      <c r="D455" s="971"/>
      <c r="E455" s="972"/>
      <c r="F455" s="972"/>
      <c r="G455" s="972"/>
      <c r="H455" s="972"/>
      <c r="I455" s="976"/>
      <c r="J455" s="977">
        <v>365.41300000000001</v>
      </c>
      <c r="K455" s="986"/>
      <c r="L455" s="986"/>
      <c r="M455" s="986"/>
      <c r="N455" s="986"/>
      <c r="O455" s="965"/>
      <c r="P455" s="965"/>
      <c r="Q455" s="965"/>
      <c r="R455" s="965"/>
    </row>
    <row r="456" spans="1:18" ht="30" customHeight="1">
      <c r="A456" s="969">
        <f>A454+1</f>
        <v>225</v>
      </c>
      <c r="B456" s="972" t="s">
        <v>3159</v>
      </c>
      <c r="C456" s="972" t="s">
        <v>76</v>
      </c>
      <c r="D456" s="971"/>
      <c r="E456" s="972"/>
      <c r="F456" s="972"/>
      <c r="G456" s="972"/>
      <c r="H456" s="972"/>
      <c r="I456" s="976" t="s">
        <v>1765</v>
      </c>
      <c r="J456" s="977"/>
      <c r="K456" s="986"/>
      <c r="L456" s="986" t="s">
        <v>2919</v>
      </c>
      <c r="M456" s="970" t="s">
        <v>1009</v>
      </c>
      <c r="N456" s="970" t="s">
        <v>1009</v>
      </c>
      <c r="O456" s="978" t="s">
        <v>1009</v>
      </c>
      <c r="P456" s="965"/>
      <c r="Q456" s="965"/>
      <c r="R456" s="965"/>
    </row>
    <row r="457" spans="1:18" ht="30" customHeight="1">
      <c r="A457" s="969"/>
      <c r="B457" s="972"/>
      <c r="C457" s="972"/>
      <c r="D457" s="971"/>
      <c r="E457" s="972"/>
      <c r="F457" s="972"/>
      <c r="G457" s="972"/>
      <c r="H457" s="972"/>
      <c r="I457" s="976"/>
      <c r="J457" s="977">
        <v>280.471</v>
      </c>
      <c r="K457" s="986"/>
      <c r="L457" s="986"/>
      <c r="M457" s="986"/>
      <c r="N457" s="986"/>
      <c r="O457" s="965"/>
      <c r="P457" s="965"/>
      <c r="Q457" s="965"/>
      <c r="R457" s="965"/>
    </row>
    <row r="458" spans="1:18" ht="30" customHeight="1">
      <c r="A458" s="969">
        <f>A456+1</f>
        <v>226</v>
      </c>
      <c r="B458" s="972" t="s">
        <v>3160</v>
      </c>
      <c r="C458" s="972" t="s">
        <v>76</v>
      </c>
      <c r="D458" s="971"/>
      <c r="E458" s="972"/>
      <c r="F458" s="972"/>
      <c r="G458" s="972"/>
      <c r="H458" s="972"/>
      <c r="I458" s="976" t="s">
        <v>1765</v>
      </c>
      <c r="J458" s="977"/>
      <c r="K458" s="986"/>
      <c r="L458" s="986" t="s">
        <v>2919</v>
      </c>
      <c r="M458" s="970" t="s">
        <v>1009</v>
      </c>
      <c r="N458" s="970" t="s">
        <v>1009</v>
      </c>
      <c r="O458" s="978" t="s">
        <v>1009</v>
      </c>
      <c r="P458" s="965"/>
      <c r="Q458" s="965"/>
      <c r="R458" s="965"/>
    </row>
    <row r="459" spans="1:18" ht="30" customHeight="1">
      <c r="A459" s="969"/>
      <c r="B459" s="972"/>
      <c r="C459" s="972"/>
      <c r="D459" s="971"/>
      <c r="E459" s="972"/>
      <c r="F459" s="972"/>
      <c r="G459" s="972"/>
      <c r="H459" s="972"/>
      <c r="I459" s="976"/>
      <c r="J459" s="977">
        <v>305.68900000000002</v>
      </c>
      <c r="K459" s="986"/>
      <c r="L459" s="986"/>
      <c r="M459" s="986"/>
      <c r="N459" s="986"/>
      <c r="O459" s="965"/>
      <c r="P459" s="965"/>
      <c r="Q459" s="965"/>
      <c r="R459" s="965"/>
    </row>
    <row r="460" spans="1:18" ht="30" customHeight="1">
      <c r="A460" s="969">
        <f>A458+1</f>
        <v>227</v>
      </c>
      <c r="B460" s="972" t="s">
        <v>3186</v>
      </c>
      <c r="C460" s="972" t="s">
        <v>1269</v>
      </c>
      <c r="D460" s="971" t="s">
        <v>3169</v>
      </c>
      <c r="E460" s="972"/>
      <c r="F460" s="972"/>
      <c r="G460" s="972"/>
      <c r="H460" s="972"/>
      <c r="I460" s="976" t="s">
        <v>1765</v>
      </c>
      <c r="J460" s="977"/>
      <c r="K460" s="986"/>
      <c r="L460" s="986" t="s">
        <v>2919</v>
      </c>
      <c r="M460" s="970" t="s">
        <v>1009</v>
      </c>
      <c r="N460" s="970" t="s">
        <v>1009</v>
      </c>
      <c r="O460" s="978" t="s">
        <v>1009</v>
      </c>
      <c r="P460" s="965"/>
      <c r="Q460" s="965"/>
      <c r="R460" s="965"/>
    </row>
    <row r="461" spans="1:18" ht="30" customHeight="1">
      <c r="A461" s="969"/>
      <c r="B461" s="972"/>
      <c r="C461" s="972"/>
      <c r="D461" s="971"/>
      <c r="E461" s="972"/>
      <c r="F461" s="972"/>
      <c r="G461" s="972"/>
      <c r="H461" s="972"/>
      <c r="I461" s="976"/>
      <c r="J461" s="977">
        <v>363.35899999999998</v>
      </c>
      <c r="K461" s="986"/>
      <c r="L461" s="986"/>
      <c r="M461" s="986"/>
      <c r="N461" s="986"/>
      <c r="O461" s="965"/>
      <c r="P461" s="965"/>
      <c r="Q461" s="965"/>
      <c r="R461" s="965"/>
    </row>
    <row r="462" spans="1:18" ht="30" customHeight="1">
      <c r="A462" s="969">
        <f>A460+1</f>
        <v>228</v>
      </c>
      <c r="B462" s="972" t="s">
        <v>3161</v>
      </c>
      <c r="C462" s="972" t="s">
        <v>76</v>
      </c>
      <c r="D462" s="971"/>
      <c r="E462" s="972"/>
      <c r="F462" s="972"/>
      <c r="G462" s="972"/>
      <c r="H462" s="972"/>
      <c r="I462" s="976" t="s">
        <v>1765</v>
      </c>
      <c r="J462" s="977"/>
      <c r="K462" s="986"/>
      <c r="L462" s="986" t="s">
        <v>2919</v>
      </c>
      <c r="M462" s="970" t="s">
        <v>1009</v>
      </c>
      <c r="N462" s="970" t="s">
        <v>1009</v>
      </c>
      <c r="O462" s="978" t="s">
        <v>1009</v>
      </c>
      <c r="P462" s="965"/>
      <c r="Q462" s="965"/>
      <c r="R462" s="965"/>
    </row>
    <row r="463" spans="1:18" ht="30" customHeight="1">
      <c r="A463" s="969"/>
      <c r="B463" s="972"/>
      <c r="C463" s="972"/>
      <c r="D463" s="971"/>
      <c r="E463" s="972"/>
      <c r="F463" s="972"/>
      <c r="G463" s="972"/>
      <c r="H463" s="972"/>
      <c r="I463" s="976"/>
      <c r="J463" s="977">
        <v>428.54300000000001</v>
      </c>
      <c r="K463" s="986"/>
      <c r="L463" s="986"/>
      <c r="M463" s="986"/>
      <c r="N463" s="986"/>
      <c r="O463" s="965"/>
      <c r="P463" s="965"/>
      <c r="Q463" s="965"/>
      <c r="R463" s="965"/>
    </row>
    <row r="464" spans="1:18" ht="30" customHeight="1">
      <c r="A464" s="969">
        <f>A462+1</f>
        <v>229</v>
      </c>
      <c r="B464" s="972" t="s">
        <v>3187</v>
      </c>
      <c r="C464" s="972" t="s">
        <v>2212</v>
      </c>
      <c r="D464" s="971" t="s">
        <v>3170</v>
      </c>
      <c r="E464" s="972"/>
      <c r="F464" s="972"/>
      <c r="G464" s="972"/>
      <c r="H464" s="972"/>
      <c r="I464" s="976" t="s">
        <v>2736</v>
      </c>
      <c r="J464" s="977"/>
      <c r="K464" s="986"/>
      <c r="L464" s="970" t="s">
        <v>2919</v>
      </c>
      <c r="M464" s="970" t="s">
        <v>1009</v>
      </c>
      <c r="N464" s="970" t="s">
        <v>1009</v>
      </c>
      <c r="O464" s="965"/>
      <c r="P464" s="965"/>
      <c r="Q464" s="965"/>
      <c r="R464" s="965"/>
    </row>
    <row r="465" spans="1:18" ht="30" customHeight="1">
      <c r="A465" s="969"/>
      <c r="B465" s="972"/>
      <c r="C465" s="972"/>
      <c r="D465" s="971"/>
      <c r="E465" s="972"/>
      <c r="F465" s="972"/>
      <c r="G465" s="972"/>
      <c r="H465" s="972"/>
      <c r="I465" s="976"/>
      <c r="J465" s="977">
        <v>223.00200000000001</v>
      </c>
      <c r="K465" s="986"/>
      <c r="L465" s="986"/>
      <c r="M465" s="986"/>
      <c r="N465" s="986"/>
      <c r="O465" s="986"/>
      <c r="P465" s="986"/>
      <c r="Q465" s="973"/>
      <c r="R465" s="988" t="s">
        <v>3220</v>
      </c>
    </row>
    <row r="466" spans="1:18" ht="30" customHeight="1">
      <c r="A466" s="969">
        <f>A464+1</f>
        <v>230</v>
      </c>
      <c r="B466" s="972" t="s">
        <v>3188</v>
      </c>
      <c r="C466" s="972" t="s">
        <v>2197</v>
      </c>
      <c r="D466" s="971" t="s">
        <v>3171</v>
      </c>
      <c r="E466" s="972"/>
      <c r="F466" s="972"/>
      <c r="G466" s="972"/>
      <c r="H466" s="972"/>
      <c r="I466" s="976" t="s">
        <v>2736</v>
      </c>
      <c r="J466" s="977"/>
      <c r="K466" s="986"/>
      <c r="L466" s="986" t="s">
        <v>2919</v>
      </c>
      <c r="M466" s="970" t="s">
        <v>1009</v>
      </c>
      <c r="N466" s="970" t="s">
        <v>1009</v>
      </c>
      <c r="O466" s="986"/>
      <c r="P466" s="986"/>
      <c r="Q466" s="973"/>
      <c r="R466" s="987"/>
    </row>
    <row r="467" spans="1:18" ht="30" customHeight="1">
      <c r="A467" s="969"/>
      <c r="B467" s="972"/>
      <c r="C467" s="972"/>
      <c r="D467" s="971"/>
      <c r="E467" s="972"/>
      <c r="F467" s="972"/>
      <c r="G467" s="972"/>
      <c r="H467" s="972"/>
      <c r="I467" s="976"/>
      <c r="J467" s="977">
        <v>433.78399999999999</v>
      </c>
      <c r="K467" s="986"/>
      <c r="L467" s="986"/>
      <c r="M467" s="986"/>
      <c r="N467" s="986"/>
      <c r="O467" s="986"/>
      <c r="P467" s="986"/>
      <c r="Q467" s="973"/>
      <c r="R467" s="987"/>
    </row>
    <row r="468" spans="1:18" ht="30" customHeight="1">
      <c r="A468" s="969">
        <f>A466+1</f>
        <v>231</v>
      </c>
      <c r="B468" s="972" t="s">
        <v>3261</v>
      </c>
      <c r="C468" s="972" t="s">
        <v>76</v>
      </c>
      <c r="D468" s="971"/>
      <c r="E468" s="972"/>
      <c r="F468" s="972"/>
      <c r="G468" s="972"/>
      <c r="H468" s="972"/>
      <c r="I468" s="976" t="s">
        <v>1765</v>
      </c>
      <c r="J468" s="977"/>
      <c r="K468" s="986"/>
      <c r="L468" s="986" t="s">
        <v>2919</v>
      </c>
      <c r="M468" s="986" t="s">
        <v>1009</v>
      </c>
      <c r="N468" s="986"/>
      <c r="O468" s="986"/>
      <c r="P468" s="986"/>
      <c r="Q468" s="973"/>
      <c r="R468" s="987"/>
    </row>
    <row r="469" spans="1:18" ht="30" customHeight="1">
      <c r="A469" s="969"/>
      <c r="B469" s="972"/>
      <c r="C469" s="972"/>
      <c r="D469" s="971"/>
      <c r="E469" s="972"/>
      <c r="F469" s="972"/>
      <c r="G469" s="972"/>
      <c r="H469" s="972"/>
      <c r="I469" s="976"/>
      <c r="J469" s="977">
        <v>377.77699999999999</v>
      </c>
      <c r="K469" s="986"/>
      <c r="L469" s="986"/>
      <c r="M469" s="986"/>
      <c r="N469" s="986"/>
      <c r="O469" s="986"/>
      <c r="P469" s="986"/>
      <c r="Q469" s="973"/>
      <c r="R469" s="987"/>
    </row>
    <row r="470" spans="1:18" ht="30" customHeight="1">
      <c r="A470" s="969">
        <f>A468+1</f>
        <v>232</v>
      </c>
      <c r="B470" s="972" t="s">
        <v>3262</v>
      </c>
      <c r="C470" s="972" t="s">
        <v>76</v>
      </c>
      <c r="D470" s="971"/>
      <c r="E470" s="972"/>
      <c r="F470" s="972"/>
      <c r="G470" s="972"/>
      <c r="H470" s="972"/>
      <c r="I470" s="976" t="s">
        <v>1765</v>
      </c>
      <c r="J470" s="977"/>
      <c r="K470" s="986"/>
      <c r="L470" s="970" t="s">
        <v>2919</v>
      </c>
      <c r="M470" s="970" t="s">
        <v>1009</v>
      </c>
      <c r="N470" s="970" t="s">
        <v>1009</v>
      </c>
      <c r="O470" s="986"/>
      <c r="P470" s="986"/>
      <c r="Q470" s="973"/>
      <c r="R470" s="987"/>
    </row>
    <row r="471" spans="1:18" ht="30" customHeight="1">
      <c r="A471" s="969"/>
      <c r="B471" s="972"/>
      <c r="C471" s="972"/>
      <c r="D471" s="971"/>
      <c r="E471" s="972"/>
      <c r="F471" s="972"/>
      <c r="G471" s="972"/>
      <c r="H471" s="972"/>
      <c r="I471" s="976"/>
      <c r="J471" s="977">
        <v>375.892</v>
      </c>
      <c r="K471" s="986"/>
      <c r="L471" s="986"/>
      <c r="M471" s="986"/>
      <c r="N471" s="986"/>
      <c r="O471" s="986"/>
      <c r="P471" s="986"/>
      <c r="Q471" s="973"/>
      <c r="R471" s="987"/>
    </row>
    <row r="472" spans="1:18" ht="30" customHeight="1">
      <c r="A472" s="969">
        <f>A470+1</f>
        <v>233</v>
      </c>
      <c r="B472" s="972" t="s">
        <v>3263</v>
      </c>
      <c r="C472" s="972" t="s">
        <v>76</v>
      </c>
      <c r="D472" s="971"/>
      <c r="E472" s="972"/>
      <c r="F472" s="972"/>
      <c r="G472" s="972"/>
      <c r="H472" s="972"/>
      <c r="I472" s="976" t="s">
        <v>1765</v>
      </c>
      <c r="J472" s="977"/>
      <c r="K472" s="986"/>
      <c r="L472" s="986" t="s">
        <v>2919</v>
      </c>
      <c r="M472" s="970" t="s">
        <v>1009</v>
      </c>
      <c r="N472" s="970" t="s">
        <v>1009</v>
      </c>
      <c r="O472" s="986"/>
      <c r="P472" s="986"/>
      <c r="Q472" s="973"/>
      <c r="R472" s="987"/>
    </row>
    <row r="473" spans="1:18" ht="30" customHeight="1">
      <c r="A473" s="969"/>
      <c r="B473" s="972"/>
      <c r="C473" s="972"/>
      <c r="D473" s="971"/>
      <c r="E473" s="972"/>
      <c r="F473" s="972"/>
      <c r="G473" s="972"/>
      <c r="H473" s="972"/>
      <c r="I473" s="976"/>
      <c r="J473" s="977">
        <v>394.94400000000002</v>
      </c>
      <c r="K473" s="986"/>
      <c r="L473" s="986"/>
      <c r="M473" s="986"/>
      <c r="N473" s="986"/>
      <c r="O473" s="986"/>
      <c r="P473" s="986"/>
      <c r="Q473" s="973"/>
      <c r="R473" s="987"/>
    </row>
    <row r="474" spans="1:18" ht="30" customHeight="1">
      <c r="A474" s="969">
        <f>A472+1</f>
        <v>234</v>
      </c>
      <c r="B474" s="972" t="s">
        <v>3189</v>
      </c>
      <c r="C474" s="972" t="s">
        <v>2212</v>
      </c>
      <c r="D474" s="971" t="s">
        <v>3172</v>
      </c>
      <c r="E474" s="972"/>
      <c r="F474" s="972"/>
      <c r="G474" s="972"/>
      <c r="H474" s="972"/>
      <c r="I474" s="976" t="s">
        <v>1765</v>
      </c>
      <c r="J474" s="977"/>
      <c r="K474" s="986"/>
      <c r="L474" s="986" t="s">
        <v>2919</v>
      </c>
      <c r="M474" s="970" t="s">
        <v>1009</v>
      </c>
      <c r="N474" s="970" t="s">
        <v>1009</v>
      </c>
      <c r="O474" s="986"/>
      <c r="P474" s="986"/>
      <c r="Q474" s="973"/>
      <c r="R474" s="987"/>
    </row>
    <row r="475" spans="1:18" ht="30" customHeight="1">
      <c r="A475" s="969"/>
      <c r="B475" s="972"/>
      <c r="C475" s="972"/>
      <c r="D475" s="971"/>
      <c r="E475" s="972"/>
      <c r="F475" s="972"/>
      <c r="G475" s="972"/>
      <c r="H475" s="972"/>
      <c r="I475" s="976"/>
      <c r="J475" s="977">
        <v>237.64099999999999</v>
      </c>
      <c r="K475" s="986"/>
      <c r="L475" s="986"/>
      <c r="M475" s="986"/>
      <c r="N475" s="986"/>
      <c r="O475" s="986"/>
      <c r="P475" s="986"/>
      <c r="Q475" s="973"/>
      <c r="R475" s="988" t="s">
        <v>3219</v>
      </c>
    </row>
    <row r="476" spans="1:18" ht="30" customHeight="1">
      <c r="A476" s="969">
        <f>A474+1</f>
        <v>235</v>
      </c>
      <c r="B476" s="972" t="s">
        <v>3190</v>
      </c>
      <c r="C476" s="972" t="s">
        <v>2197</v>
      </c>
      <c r="D476" s="971" t="s">
        <v>3173</v>
      </c>
      <c r="E476" s="972"/>
      <c r="F476" s="972"/>
      <c r="G476" s="972"/>
      <c r="H476" s="972"/>
      <c r="I476" s="976" t="s">
        <v>2736</v>
      </c>
      <c r="J476" s="977"/>
      <c r="K476" s="986"/>
      <c r="L476" s="986" t="s">
        <v>2919</v>
      </c>
      <c r="M476" s="970" t="s">
        <v>1009</v>
      </c>
      <c r="N476" s="970" t="s">
        <v>1009</v>
      </c>
      <c r="O476" s="986"/>
      <c r="P476" s="986"/>
      <c r="Q476" s="973"/>
      <c r="R476" s="987"/>
    </row>
    <row r="477" spans="1:18" ht="30" customHeight="1">
      <c r="A477" s="969"/>
      <c r="B477" s="972"/>
      <c r="C477" s="972"/>
      <c r="D477" s="971"/>
      <c r="E477" s="972"/>
      <c r="F477" s="972"/>
      <c r="G477" s="972"/>
      <c r="H477" s="972"/>
      <c r="I477" s="976"/>
      <c r="J477" s="977">
        <v>222.608</v>
      </c>
      <c r="K477" s="986"/>
      <c r="L477" s="986"/>
      <c r="M477" s="986"/>
      <c r="N477" s="986"/>
      <c r="O477" s="986"/>
      <c r="P477" s="986"/>
      <c r="Q477" s="973"/>
      <c r="R477" s="987"/>
    </row>
    <row r="478" spans="1:18" ht="30" customHeight="1">
      <c r="A478" s="969">
        <f>A476+1</f>
        <v>236</v>
      </c>
      <c r="B478" s="972" t="s">
        <v>3191</v>
      </c>
      <c r="C478" s="972" t="s">
        <v>1934</v>
      </c>
      <c r="D478" s="971" t="s">
        <v>3174</v>
      </c>
      <c r="E478" s="972"/>
      <c r="F478" s="972"/>
      <c r="G478" s="972"/>
      <c r="H478" s="972"/>
      <c r="I478" s="976" t="s">
        <v>1765</v>
      </c>
      <c r="J478" s="977"/>
      <c r="K478" s="986"/>
      <c r="L478" s="986" t="s">
        <v>2919</v>
      </c>
      <c r="M478" s="970" t="s">
        <v>1009</v>
      </c>
      <c r="N478" s="986"/>
      <c r="O478" s="986"/>
      <c r="P478" s="986"/>
      <c r="Q478" s="973"/>
      <c r="R478" s="987"/>
    </row>
    <row r="479" spans="1:18" ht="30" customHeight="1">
      <c r="A479" s="969"/>
      <c r="B479" s="972"/>
      <c r="C479" s="972"/>
      <c r="D479" s="971"/>
      <c r="E479" s="972"/>
      <c r="F479" s="972"/>
      <c r="G479" s="972"/>
      <c r="H479" s="972"/>
      <c r="I479" s="976"/>
      <c r="J479" s="977">
        <v>201.44200000000001</v>
      </c>
      <c r="K479" s="986"/>
      <c r="L479" s="986"/>
      <c r="M479" s="986"/>
      <c r="N479" s="986"/>
      <c r="O479" s="986"/>
      <c r="P479" s="986"/>
      <c r="Q479" s="973"/>
      <c r="R479" s="988" t="s">
        <v>3218</v>
      </c>
    </row>
    <row r="480" spans="1:18" ht="30" customHeight="1">
      <c r="A480" s="969">
        <f>A478+1</f>
        <v>237</v>
      </c>
      <c r="B480" s="972" t="s">
        <v>3192</v>
      </c>
      <c r="C480" s="972" t="s">
        <v>1977</v>
      </c>
      <c r="D480" s="971" t="s">
        <v>3175</v>
      </c>
      <c r="E480" s="972"/>
      <c r="F480" s="972"/>
      <c r="G480" s="972"/>
      <c r="H480" s="972"/>
      <c r="I480" s="976"/>
      <c r="J480" s="977"/>
      <c r="K480" s="986"/>
      <c r="L480" s="986"/>
      <c r="M480" s="986"/>
      <c r="N480" s="986"/>
      <c r="O480" s="986"/>
      <c r="P480" s="986"/>
      <c r="Q480" s="973"/>
      <c r="R480" s="1020"/>
    </row>
    <row r="481" spans="1:18" ht="30" customHeight="1">
      <c r="A481" s="969"/>
      <c r="B481" s="972"/>
      <c r="C481" s="972"/>
      <c r="D481" s="971"/>
      <c r="E481" s="972"/>
      <c r="F481" s="972"/>
      <c r="G481" s="972"/>
      <c r="H481" s="972"/>
      <c r="I481" s="976"/>
      <c r="J481" s="977">
        <v>228.755</v>
      </c>
      <c r="K481" s="986"/>
      <c r="L481" s="986"/>
      <c r="M481" s="986"/>
      <c r="N481" s="986"/>
      <c r="O481" s="986"/>
      <c r="P481" s="986"/>
      <c r="Q481" s="973"/>
      <c r="R481" s="988" t="s">
        <v>3217</v>
      </c>
    </row>
    <row r="482" spans="1:18" ht="30" customHeight="1">
      <c r="A482" s="969">
        <f>A480+1</f>
        <v>238</v>
      </c>
      <c r="B482" s="972" t="s">
        <v>3193</v>
      </c>
      <c r="C482" s="972" t="s">
        <v>1934</v>
      </c>
      <c r="D482" s="971" t="s">
        <v>3176</v>
      </c>
      <c r="E482" s="972">
        <v>1</v>
      </c>
      <c r="F482" s="972">
        <v>1</v>
      </c>
      <c r="G482" s="972">
        <v>1</v>
      </c>
      <c r="H482" s="972">
        <v>1</v>
      </c>
      <c r="I482" s="976" t="s">
        <v>897</v>
      </c>
      <c r="J482" s="977"/>
      <c r="K482" s="986"/>
      <c r="L482" s="986" t="s">
        <v>2919</v>
      </c>
      <c r="M482" s="970" t="s">
        <v>1009</v>
      </c>
      <c r="N482" s="970" t="s">
        <v>1009</v>
      </c>
      <c r="O482" s="986"/>
      <c r="P482" s="986"/>
      <c r="Q482" s="973"/>
      <c r="R482" s="987"/>
    </row>
    <row r="483" spans="1:18" ht="30" customHeight="1">
      <c r="A483" s="969"/>
      <c r="B483" s="972"/>
      <c r="C483" s="972"/>
      <c r="D483" s="971"/>
      <c r="E483" s="972"/>
      <c r="F483" s="972"/>
      <c r="G483" s="972"/>
      <c r="H483" s="972"/>
      <c r="I483" s="976"/>
      <c r="J483" s="977">
        <v>241.17099999999999</v>
      </c>
      <c r="K483" s="986"/>
      <c r="L483" s="986"/>
      <c r="M483" s="986"/>
      <c r="N483" s="986"/>
      <c r="O483" s="986"/>
      <c r="P483" s="986"/>
      <c r="Q483" s="973"/>
      <c r="R483" s="988" t="s">
        <v>3216</v>
      </c>
    </row>
    <row r="484" spans="1:18" ht="30" customHeight="1">
      <c r="A484" s="969">
        <f>A482+1</f>
        <v>239</v>
      </c>
      <c r="B484" s="985" t="s">
        <v>3194</v>
      </c>
      <c r="C484" s="985" t="s">
        <v>1934</v>
      </c>
      <c r="D484" s="1170" t="s">
        <v>3177</v>
      </c>
      <c r="E484" s="985">
        <v>2</v>
      </c>
      <c r="F484" s="985">
        <v>2</v>
      </c>
      <c r="G484" s="985">
        <v>2</v>
      </c>
      <c r="H484" s="985">
        <v>2</v>
      </c>
      <c r="I484" s="976" t="s">
        <v>897</v>
      </c>
      <c r="J484" s="977"/>
      <c r="K484" s="986"/>
      <c r="L484" s="986" t="s">
        <v>2919</v>
      </c>
      <c r="M484" s="970" t="s">
        <v>1009</v>
      </c>
      <c r="N484" s="970" t="s">
        <v>1009</v>
      </c>
      <c r="O484" s="986"/>
      <c r="P484" s="986"/>
      <c r="Q484" s="973"/>
      <c r="R484" s="987"/>
    </row>
    <row r="485" spans="1:18" ht="30" customHeight="1">
      <c r="A485" s="969"/>
      <c r="B485" s="972"/>
      <c r="C485" s="972"/>
      <c r="D485" s="971"/>
      <c r="E485" s="972"/>
      <c r="F485" s="972"/>
      <c r="G485" s="972"/>
      <c r="H485" s="972"/>
      <c r="I485" s="976"/>
      <c r="J485" s="977">
        <v>265.92200000000003</v>
      </c>
      <c r="K485" s="986"/>
      <c r="L485" s="986"/>
      <c r="M485" s="986"/>
      <c r="N485" s="986"/>
      <c r="O485" s="986"/>
      <c r="P485" s="986"/>
      <c r="Q485" s="973"/>
      <c r="R485" s="987"/>
    </row>
    <row r="486" spans="1:18" ht="30" customHeight="1">
      <c r="A486" s="969">
        <f>A484+1</f>
        <v>240</v>
      </c>
      <c r="B486" s="972" t="s">
        <v>3195</v>
      </c>
      <c r="C486" s="972" t="s">
        <v>2212</v>
      </c>
      <c r="D486" s="971" t="s">
        <v>3178</v>
      </c>
      <c r="E486" s="972"/>
      <c r="F486" s="972"/>
      <c r="G486" s="972"/>
      <c r="H486" s="972"/>
      <c r="I486" s="976" t="s">
        <v>897</v>
      </c>
      <c r="J486" s="977"/>
      <c r="K486" s="986"/>
      <c r="L486" s="986" t="s">
        <v>2919</v>
      </c>
      <c r="M486" s="986" t="s">
        <v>1009</v>
      </c>
      <c r="N486" s="986"/>
      <c r="O486" s="986"/>
      <c r="P486" s="986"/>
      <c r="Q486" s="973"/>
      <c r="R486" s="987"/>
    </row>
    <row r="487" spans="1:18" ht="30" customHeight="1">
      <c r="A487" s="969"/>
      <c r="B487" s="972"/>
      <c r="C487" s="972"/>
      <c r="D487" s="971"/>
      <c r="E487" s="972"/>
      <c r="F487" s="972"/>
      <c r="G487" s="972"/>
      <c r="H487" s="972"/>
      <c r="I487" s="976"/>
      <c r="J487" s="977">
        <v>215.81700000000001</v>
      </c>
      <c r="K487" s="986"/>
      <c r="L487" s="986"/>
      <c r="M487" s="986"/>
      <c r="N487" s="986"/>
      <c r="O487" s="986"/>
      <c r="P487" s="986"/>
      <c r="Q487" s="973"/>
      <c r="R487" s="988" t="s">
        <v>3215</v>
      </c>
    </row>
    <row r="488" spans="1:18" ht="30" customHeight="1">
      <c r="A488" s="969">
        <f>A486+1</f>
        <v>241</v>
      </c>
      <c r="B488" s="972" t="s">
        <v>3196</v>
      </c>
      <c r="C488" s="972" t="s">
        <v>2212</v>
      </c>
      <c r="D488" s="971" t="s">
        <v>3179</v>
      </c>
      <c r="E488" s="972"/>
      <c r="F488" s="972"/>
      <c r="G488" s="972"/>
      <c r="H488" s="972"/>
      <c r="I488" s="976"/>
      <c r="J488" s="978"/>
      <c r="K488" s="986"/>
      <c r="L488" s="970" t="s">
        <v>2919</v>
      </c>
      <c r="M488" s="970" t="s">
        <v>1009</v>
      </c>
      <c r="N488" s="986"/>
      <c r="O488" s="986"/>
      <c r="P488" s="986"/>
      <c r="Q488" s="973"/>
      <c r="R488" s="987"/>
    </row>
    <row r="489" spans="1:18" ht="27.5" customHeight="1">
      <c r="J489" s="966">
        <f>SUM(J8:J488)/1000</f>
        <v>84.930134999999993</v>
      </c>
      <c r="O489" s="962"/>
    </row>
    <row r="569" spans="2:2">
      <c r="B569" s="1149"/>
    </row>
    <row r="573" spans="2:2">
      <c r="B573" s="1149"/>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391 A392:P488 A489:XFD1048576 R9:XFD488 K378:P391 J379:J391">
    <cfRule type="cellIs" dxfId="3585" priority="4" operator="equal">
      <formula>"WIP"</formula>
    </cfRule>
    <cfRule type="cellIs" dxfId="3584" priority="5" operator="equal">
      <formula>"C"</formula>
    </cfRule>
  </conditionalFormatting>
  <conditionalFormatting sqref="B1:B1048576">
    <cfRule type="duplicateValues" dxfId="3583" priority="1"/>
  </conditionalFormatting>
  <conditionalFormatting sqref="L1:L1048576">
    <cfRule type="cellIs" dxfId="3582" priority="3" operator="equal">
      <formula>"Clear"</formula>
    </cfRule>
  </conditionalFormatting>
  <conditionalFormatting sqref="L8:L488">
    <cfRule type="cellIs" dxfId="358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47"/>
  <sheetViews>
    <sheetView showZeros="0" workbookViewId="0">
      <pane xSplit="3" ySplit="1" topLeftCell="D33" activePane="bottomRight" state="frozen"/>
      <selection pane="topRight" activeCell="D1" sqref="D1"/>
      <selection pane="bottomLeft" activeCell="A3" sqref="A3"/>
      <selection pane="bottomRight" activeCell="O47" sqref="O47"/>
    </sheetView>
  </sheetViews>
  <sheetFormatPr defaultRowHeight="14.5"/>
  <cols>
    <col min="2" max="4" width="8.7265625" style="2"/>
    <col min="5" max="5" width="8.08984375" style="2" bestFit="1" customWidth="1"/>
    <col min="6" max="6" width="13.08984375" style="2" bestFit="1" customWidth="1"/>
    <col min="7" max="7" width="11.6328125" style="2" bestFit="1" customWidth="1"/>
    <col min="8" max="9" width="9" style="2" bestFit="1" customWidth="1"/>
    <col min="10" max="12" width="8.7265625" style="2"/>
  </cols>
  <sheetData>
    <row r="2" spans="4:16">
      <c r="D2" s="1155" t="s">
        <v>1782</v>
      </c>
      <c r="E2" s="1155" t="s">
        <v>3214</v>
      </c>
      <c r="F2" s="1155" t="s">
        <v>1405</v>
      </c>
      <c r="G2" s="1155" t="s">
        <v>45</v>
      </c>
      <c r="H2" s="1155" t="s">
        <v>1441</v>
      </c>
      <c r="I2" s="1155" t="s">
        <v>3333</v>
      </c>
      <c r="J2" s="1155" t="s">
        <v>1399</v>
      </c>
    </row>
    <row r="3" spans="4:16">
      <c r="D3" s="1163">
        <v>1</v>
      </c>
      <c r="E3" s="1163" t="s">
        <v>2581</v>
      </c>
      <c r="F3" s="1163" t="s">
        <v>1277</v>
      </c>
      <c r="G3" s="1163" t="s">
        <v>1765</v>
      </c>
      <c r="H3" s="928">
        <v>46039</v>
      </c>
      <c r="I3" s="928">
        <v>46058</v>
      </c>
      <c r="J3" s="1163">
        <v>105</v>
      </c>
      <c r="K3" s="1163" t="s">
        <v>3343</v>
      </c>
    </row>
    <row r="4" spans="4:16">
      <c r="D4" s="1163">
        <f t="shared" ref="D4:D34" si="0">D3+1</f>
        <v>2</v>
      </c>
      <c r="E4" s="1163" t="s">
        <v>3012</v>
      </c>
      <c r="F4" s="1163" t="s">
        <v>1269</v>
      </c>
      <c r="G4" s="1163" t="s">
        <v>1765</v>
      </c>
      <c r="H4" s="928">
        <v>46042</v>
      </c>
      <c r="I4" s="928">
        <v>46059</v>
      </c>
      <c r="J4" s="1163">
        <f>J3+1</f>
        <v>106</v>
      </c>
      <c r="K4" s="1163" t="s">
        <v>3343</v>
      </c>
    </row>
    <row r="5" spans="4:16">
      <c r="D5" s="1163">
        <f t="shared" si="0"/>
        <v>3</v>
      </c>
      <c r="E5" s="1163" t="s">
        <v>2574</v>
      </c>
      <c r="F5" s="1163" t="s">
        <v>62</v>
      </c>
      <c r="G5" s="1163" t="s">
        <v>1765</v>
      </c>
      <c r="H5" s="928">
        <v>46056</v>
      </c>
      <c r="I5" s="928">
        <v>46060</v>
      </c>
      <c r="J5" s="1163">
        <f t="shared" ref="J5:J32" si="1">J4+1</f>
        <v>107</v>
      </c>
      <c r="K5" s="1163" t="s">
        <v>3343</v>
      </c>
    </row>
    <row r="6" spans="4:16">
      <c r="D6" s="1163">
        <f t="shared" si="0"/>
        <v>4</v>
      </c>
      <c r="E6" s="1163" t="s">
        <v>2389</v>
      </c>
      <c r="F6" s="1163" t="s">
        <v>1995</v>
      </c>
      <c r="G6" s="1163" t="s">
        <v>1765</v>
      </c>
      <c r="H6" s="928">
        <v>46051</v>
      </c>
      <c r="I6" s="928">
        <v>46061</v>
      </c>
      <c r="J6" s="1163">
        <f t="shared" si="1"/>
        <v>108</v>
      </c>
      <c r="K6" s="1164" t="s">
        <v>3343</v>
      </c>
    </row>
    <row r="7" spans="4:16">
      <c r="D7" s="1163">
        <f t="shared" si="0"/>
        <v>5</v>
      </c>
      <c r="E7" s="1163" t="s">
        <v>3184</v>
      </c>
      <c r="F7" s="1163" t="s">
        <v>1319</v>
      </c>
      <c r="G7" s="1163" t="s">
        <v>1765</v>
      </c>
      <c r="H7" s="928">
        <v>46053</v>
      </c>
      <c r="I7" s="928">
        <v>46062</v>
      </c>
      <c r="J7" s="1163">
        <f t="shared" si="1"/>
        <v>109</v>
      </c>
      <c r="K7" s="1164" t="s">
        <v>3343</v>
      </c>
    </row>
    <row r="8" spans="4:16">
      <c r="D8" s="1163">
        <f t="shared" si="0"/>
        <v>6</v>
      </c>
      <c r="E8" s="1163" t="s">
        <v>2520</v>
      </c>
      <c r="F8" s="1163" t="s">
        <v>62</v>
      </c>
      <c r="G8" s="1163" t="s">
        <v>1765</v>
      </c>
      <c r="H8" s="928">
        <v>46044</v>
      </c>
      <c r="I8" s="928">
        <v>46064</v>
      </c>
      <c r="J8" s="1163">
        <f t="shared" si="1"/>
        <v>110</v>
      </c>
      <c r="K8" s="1164" t="s">
        <v>3343</v>
      </c>
    </row>
    <row r="9" spans="4:16">
      <c r="D9" s="1163">
        <f t="shared" si="0"/>
        <v>7</v>
      </c>
      <c r="E9" s="1163" t="s">
        <v>3125</v>
      </c>
      <c r="F9" s="1163" t="s">
        <v>2197</v>
      </c>
      <c r="G9" s="1163" t="s">
        <v>2736</v>
      </c>
      <c r="H9" s="928">
        <v>46040</v>
      </c>
      <c r="I9" s="928">
        <v>46065</v>
      </c>
      <c r="J9" s="1163">
        <f t="shared" si="1"/>
        <v>111</v>
      </c>
      <c r="K9" s="1164" t="s">
        <v>3343</v>
      </c>
    </row>
    <row r="10" spans="4:16">
      <c r="D10" s="1163">
        <f t="shared" si="0"/>
        <v>8</v>
      </c>
      <c r="E10" s="1163" t="s">
        <v>2580</v>
      </c>
      <c r="F10" s="1163" t="s">
        <v>76</v>
      </c>
      <c r="G10" s="1163" t="s">
        <v>1765</v>
      </c>
      <c r="H10" s="928">
        <v>46057</v>
      </c>
      <c r="I10" s="928">
        <v>46065</v>
      </c>
      <c r="J10" s="1163">
        <f t="shared" si="1"/>
        <v>112</v>
      </c>
      <c r="K10" s="1164" t="s">
        <v>3343</v>
      </c>
    </row>
    <row r="11" spans="4:16">
      <c r="D11" s="1163">
        <f t="shared" si="0"/>
        <v>9</v>
      </c>
      <c r="E11" s="1163" t="s">
        <v>2954</v>
      </c>
      <c r="F11" s="1163" t="s">
        <v>1988</v>
      </c>
      <c r="G11" s="1163" t="s">
        <v>2736</v>
      </c>
      <c r="H11" s="928">
        <v>46043</v>
      </c>
      <c r="I11" s="928">
        <v>46066</v>
      </c>
      <c r="J11" s="1163">
        <f t="shared" si="1"/>
        <v>113</v>
      </c>
      <c r="K11" s="1164" t="s">
        <v>3343</v>
      </c>
      <c r="P11">
        <f>8+30+40+26</f>
        <v>104</v>
      </c>
    </row>
    <row r="12" spans="4:16">
      <c r="D12" s="1163">
        <f t="shared" si="0"/>
        <v>10</v>
      </c>
      <c r="E12" s="1163" t="s">
        <v>3152</v>
      </c>
      <c r="F12" s="1163" t="s">
        <v>76</v>
      </c>
      <c r="G12" s="1163" t="s">
        <v>1765</v>
      </c>
      <c r="H12" s="928">
        <v>46059</v>
      </c>
      <c r="I12" s="928">
        <v>46066</v>
      </c>
      <c r="J12" s="1163">
        <f t="shared" si="1"/>
        <v>114</v>
      </c>
      <c r="K12" s="1164" t="s">
        <v>3343</v>
      </c>
    </row>
    <row r="13" spans="4:16">
      <c r="D13" s="1163">
        <f t="shared" si="0"/>
        <v>11</v>
      </c>
      <c r="E13" s="1163" t="s">
        <v>3185</v>
      </c>
      <c r="F13" s="1163" t="s">
        <v>1277</v>
      </c>
      <c r="G13" s="1163" t="s">
        <v>1765</v>
      </c>
      <c r="H13" s="928">
        <v>46058</v>
      </c>
      <c r="I13" s="928">
        <v>46067</v>
      </c>
      <c r="J13" s="1163">
        <f t="shared" si="1"/>
        <v>115</v>
      </c>
      <c r="K13" s="1164" t="s">
        <v>3343</v>
      </c>
    </row>
    <row r="14" spans="4:16">
      <c r="D14" s="1163">
        <f t="shared" si="0"/>
        <v>12</v>
      </c>
      <c r="E14" s="1163" t="s">
        <v>2521</v>
      </c>
      <c r="F14" s="1163" t="s">
        <v>76</v>
      </c>
      <c r="G14" s="1163" t="s">
        <v>1765</v>
      </c>
      <c r="H14" s="928">
        <v>46062</v>
      </c>
      <c r="I14" s="928">
        <v>46068</v>
      </c>
      <c r="J14" s="1163">
        <f t="shared" si="1"/>
        <v>116</v>
      </c>
      <c r="K14" s="1164" t="s">
        <v>3343</v>
      </c>
    </row>
    <row r="15" spans="4:16">
      <c r="D15" s="1163">
        <f t="shared" si="0"/>
        <v>13</v>
      </c>
      <c r="E15" s="1163" t="s">
        <v>3161</v>
      </c>
      <c r="F15" s="1163" t="s">
        <v>76</v>
      </c>
      <c r="G15" s="1163" t="s">
        <v>1765</v>
      </c>
      <c r="H15" s="928">
        <v>46062</v>
      </c>
      <c r="I15" s="928">
        <v>46068</v>
      </c>
      <c r="J15" s="1163">
        <f t="shared" si="1"/>
        <v>117</v>
      </c>
      <c r="K15" s="1164" t="s">
        <v>3343</v>
      </c>
    </row>
    <row r="16" spans="4:16">
      <c r="D16" s="1163">
        <f t="shared" si="0"/>
        <v>14</v>
      </c>
      <c r="E16" s="1163" t="s">
        <v>458</v>
      </c>
      <c r="F16" s="1163" t="s">
        <v>62</v>
      </c>
      <c r="G16" s="1163" t="s">
        <v>1765</v>
      </c>
      <c r="H16" s="928">
        <v>46067</v>
      </c>
      <c r="I16" s="928">
        <v>46070</v>
      </c>
      <c r="J16" s="1163">
        <f t="shared" si="1"/>
        <v>118</v>
      </c>
      <c r="K16" s="1164" t="s">
        <v>3343</v>
      </c>
    </row>
    <row r="17" spans="4:11">
      <c r="D17" s="1163">
        <f t="shared" si="0"/>
        <v>15</v>
      </c>
      <c r="E17" s="1163" t="s">
        <v>3019</v>
      </c>
      <c r="F17" s="1163" t="s">
        <v>1277</v>
      </c>
      <c r="G17" s="1163" t="s">
        <v>1765</v>
      </c>
      <c r="H17" s="928">
        <v>46062</v>
      </c>
      <c r="I17" s="928">
        <v>46071</v>
      </c>
      <c r="J17" s="1163">
        <f t="shared" si="1"/>
        <v>119</v>
      </c>
      <c r="K17" s="1164" t="s">
        <v>3343</v>
      </c>
    </row>
    <row r="18" spans="4:11">
      <c r="D18" s="1163">
        <f t="shared" si="0"/>
        <v>16</v>
      </c>
      <c r="E18" s="1163" t="s">
        <v>2915</v>
      </c>
      <c r="F18" s="1163" t="s">
        <v>1361</v>
      </c>
      <c r="G18" s="1163" t="s">
        <v>3287</v>
      </c>
      <c r="H18" s="928">
        <v>46063</v>
      </c>
      <c r="I18" s="928">
        <v>46071</v>
      </c>
      <c r="J18" s="1163">
        <f t="shared" si="1"/>
        <v>120</v>
      </c>
      <c r="K18" s="1164" t="s">
        <v>3343</v>
      </c>
    </row>
    <row r="19" spans="4:11">
      <c r="D19" s="1163">
        <f t="shared" si="0"/>
        <v>17</v>
      </c>
      <c r="E19" s="1163" t="s">
        <v>3153</v>
      </c>
      <c r="F19" s="1163" t="s">
        <v>62</v>
      </c>
      <c r="G19" s="1163" t="s">
        <v>1765</v>
      </c>
      <c r="H19" s="928">
        <v>46066</v>
      </c>
      <c r="I19" s="928">
        <v>46071</v>
      </c>
      <c r="J19" s="1163">
        <f t="shared" si="1"/>
        <v>121</v>
      </c>
      <c r="K19" s="1164" t="s">
        <v>3343</v>
      </c>
    </row>
    <row r="20" spans="4:11">
      <c r="D20" s="1163">
        <f t="shared" si="0"/>
        <v>18</v>
      </c>
      <c r="E20" s="1163" t="s">
        <v>2988</v>
      </c>
      <c r="F20" s="1163" t="s">
        <v>1277</v>
      </c>
      <c r="G20" s="1163" t="s">
        <v>1765</v>
      </c>
      <c r="H20" s="928">
        <v>46059</v>
      </c>
      <c r="I20" s="928">
        <v>46072</v>
      </c>
      <c r="J20" s="1163">
        <f t="shared" si="1"/>
        <v>122</v>
      </c>
      <c r="K20" s="1164" t="s">
        <v>3343</v>
      </c>
    </row>
    <row r="21" spans="4:11">
      <c r="D21" s="1163">
        <f t="shared" si="0"/>
        <v>19</v>
      </c>
      <c r="E21" s="1163" t="s">
        <v>2522</v>
      </c>
      <c r="F21" s="1163" t="s">
        <v>62</v>
      </c>
      <c r="G21" s="1163" t="s">
        <v>1765</v>
      </c>
      <c r="H21" s="928">
        <v>46065</v>
      </c>
      <c r="I21" s="928">
        <v>46073</v>
      </c>
      <c r="J21" s="1163">
        <f t="shared" si="1"/>
        <v>123</v>
      </c>
      <c r="K21" s="1164" t="s">
        <v>3343</v>
      </c>
    </row>
    <row r="22" spans="4:11">
      <c r="D22" s="1163">
        <f t="shared" si="0"/>
        <v>20</v>
      </c>
      <c r="E22" s="1163" t="s">
        <v>529</v>
      </c>
      <c r="F22" s="1163" t="s">
        <v>76</v>
      </c>
      <c r="G22" s="1163" t="s">
        <v>3287</v>
      </c>
      <c r="H22" s="928">
        <v>46058</v>
      </c>
      <c r="I22" s="928">
        <v>46074</v>
      </c>
      <c r="J22" s="1163">
        <f t="shared" si="1"/>
        <v>124</v>
      </c>
      <c r="K22" s="1164" t="s">
        <v>3343</v>
      </c>
    </row>
    <row r="23" spans="4:11">
      <c r="D23" s="1163">
        <f t="shared" si="0"/>
        <v>21</v>
      </c>
      <c r="E23" s="1163" t="s">
        <v>2910</v>
      </c>
      <c r="F23" s="1163" t="s">
        <v>1269</v>
      </c>
      <c r="G23" s="1163" t="s">
        <v>3287</v>
      </c>
      <c r="H23" s="928">
        <v>46063</v>
      </c>
      <c r="I23" s="928">
        <v>46074</v>
      </c>
      <c r="J23" s="1163">
        <f t="shared" si="1"/>
        <v>125</v>
      </c>
      <c r="K23" s="1164" t="s">
        <v>3343</v>
      </c>
    </row>
    <row r="24" spans="4:11">
      <c r="D24" s="1163">
        <f t="shared" si="0"/>
        <v>22</v>
      </c>
      <c r="E24" s="1163" t="s">
        <v>3005</v>
      </c>
      <c r="F24" s="1163" t="s">
        <v>3306</v>
      </c>
      <c r="G24" s="1163" t="s">
        <v>1765</v>
      </c>
      <c r="H24" s="928">
        <v>46068</v>
      </c>
      <c r="I24" s="928">
        <v>46077</v>
      </c>
      <c r="J24" s="1163">
        <f t="shared" si="1"/>
        <v>126</v>
      </c>
      <c r="K24" s="1164" t="s">
        <v>3343</v>
      </c>
    </row>
    <row r="25" spans="4:11">
      <c r="D25" s="1163">
        <f t="shared" si="0"/>
        <v>23</v>
      </c>
      <c r="E25" s="1163" t="s">
        <v>2930</v>
      </c>
      <c r="F25" s="1163" t="s">
        <v>2212</v>
      </c>
      <c r="G25" s="1163" t="s">
        <v>1765</v>
      </c>
      <c r="H25" s="928">
        <v>46068</v>
      </c>
      <c r="I25" s="928">
        <v>46078</v>
      </c>
      <c r="J25" s="1163">
        <f t="shared" si="1"/>
        <v>127</v>
      </c>
      <c r="K25" s="1164" t="s">
        <v>3343</v>
      </c>
    </row>
    <row r="26" spans="4:11">
      <c r="D26" s="1163">
        <f t="shared" si="0"/>
        <v>24</v>
      </c>
      <c r="E26" s="1163" t="s">
        <v>3309</v>
      </c>
      <c r="F26" s="1163" t="s">
        <v>76</v>
      </c>
      <c r="G26" s="1163" t="s">
        <v>3286</v>
      </c>
      <c r="H26" s="928">
        <v>46072</v>
      </c>
      <c r="I26" s="928">
        <v>46079</v>
      </c>
      <c r="J26" s="1163">
        <f t="shared" si="1"/>
        <v>128</v>
      </c>
      <c r="K26" s="1164" t="s">
        <v>3343</v>
      </c>
    </row>
    <row r="27" spans="4:11">
      <c r="D27" s="1163">
        <f t="shared" si="0"/>
        <v>25</v>
      </c>
      <c r="E27" s="1163" t="s">
        <v>538</v>
      </c>
      <c r="F27" s="1163" t="s">
        <v>249</v>
      </c>
      <c r="G27" s="1163" t="s">
        <v>3286</v>
      </c>
      <c r="H27" s="928">
        <v>46075</v>
      </c>
      <c r="I27" s="928">
        <v>46079</v>
      </c>
      <c r="J27" s="1163">
        <f t="shared" si="1"/>
        <v>129</v>
      </c>
      <c r="K27" s="1164" t="s">
        <v>3343</v>
      </c>
    </row>
    <row r="28" spans="4:11">
      <c r="D28" s="1163">
        <f t="shared" si="0"/>
        <v>26</v>
      </c>
      <c r="E28" s="1163" t="s">
        <v>2952</v>
      </c>
      <c r="F28" s="1163" t="s">
        <v>1988</v>
      </c>
      <c r="G28" s="1163" t="s">
        <v>1765</v>
      </c>
      <c r="H28" s="928">
        <v>46065</v>
      </c>
      <c r="I28" s="928">
        <v>46080</v>
      </c>
      <c r="J28" s="1163">
        <f t="shared" si="1"/>
        <v>130</v>
      </c>
      <c r="K28" s="1164" t="s">
        <v>3343</v>
      </c>
    </row>
    <row r="29" spans="4:11">
      <c r="D29" s="1163">
        <f t="shared" si="0"/>
        <v>27</v>
      </c>
      <c r="E29" s="1163" t="s">
        <v>3010</v>
      </c>
      <c r="F29" s="1163" t="s">
        <v>1361</v>
      </c>
      <c r="G29" s="1163" t="s">
        <v>1765</v>
      </c>
      <c r="H29" s="928">
        <v>46068</v>
      </c>
      <c r="I29" s="928">
        <v>46080</v>
      </c>
      <c r="J29" s="1163">
        <f t="shared" si="1"/>
        <v>131</v>
      </c>
      <c r="K29" s="1164" t="s">
        <v>3343</v>
      </c>
    </row>
    <row r="30" spans="4:11">
      <c r="D30" s="1163">
        <f t="shared" si="0"/>
        <v>28</v>
      </c>
      <c r="E30" s="1163" t="s">
        <v>3188</v>
      </c>
      <c r="F30" s="1163" t="s">
        <v>2197</v>
      </c>
      <c r="G30" s="1163" t="s">
        <v>2736</v>
      </c>
      <c r="H30" s="928">
        <v>46072</v>
      </c>
      <c r="I30" s="928">
        <v>46081</v>
      </c>
      <c r="J30" s="1163">
        <f t="shared" si="1"/>
        <v>132</v>
      </c>
      <c r="K30" s="1164" t="s">
        <v>3343</v>
      </c>
    </row>
    <row r="31" spans="4:11">
      <c r="D31" s="1163">
        <f t="shared" si="0"/>
        <v>29</v>
      </c>
      <c r="E31" s="1163" t="s">
        <v>2558</v>
      </c>
      <c r="F31" s="1163" t="s">
        <v>76</v>
      </c>
      <c r="G31" s="1163" t="s">
        <v>3286</v>
      </c>
      <c r="H31" s="928">
        <v>46074</v>
      </c>
      <c r="I31" s="928">
        <v>46081</v>
      </c>
      <c r="J31" s="1163">
        <f t="shared" si="1"/>
        <v>133</v>
      </c>
      <c r="K31" s="1163" t="s">
        <v>3343</v>
      </c>
    </row>
    <row r="32" spans="4:11">
      <c r="D32" s="1163">
        <f t="shared" si="0"/>
        <v>30</v>
      </c>
      <c r="E32" s="1163" t="s">
        <v>2994</v>
      </c>
      <c r="F32" s="1163" t="s">
        <v>1269</v>
      </c>
      <c r="G32" s="1163" t="s">
        <v>1765</v>
      </c>
      <c r="H32" s="928">
        <v>46074</v>
      </c>
      <c r="I32" s="928">
        <v>46081</v>
      </c>
      <c r="J32" s="1163">
        <f t="shared" si="1"/>
        <v>134</v>
      </c>
      <c r="K32" s="1164" t="s">
        <v>3343</v>
      </c>
    </row>
    <row r="33" spans="4:11">
      <c r="D33" s="1163">
        <f t="shared" si="0"/>
        <v>31</v>
      </c>
      <c r="E33" s="1164" t="s">
        <v>495</v>
      </c>
      <c r="F33" s="1164" t="s">
        <v>249</v>
      </c>
      <c r="G33" s="1164" t="s">
        <v>1765</v>
      </c>
      <c r="H33" s="1163"/>
      <c r="I33" s="1163"/>
      <c r="J33" s="1163">
        <v>135</v>
      </c>
      <c r="K33" s="1164" t="s">
        <v>3343</v>
      </c>
    </row>
    <row r="34" spans="4:11">
      <c r="D34" s="1163">
        <f t="shared" si="0"/>
        <v>32</v>
      </c>
      <c r="E34" s="1163" t="s">
        <v>421</v>
      </c>
      <c r="F34" s="1163"/>
      <c r="G34" s="1163"/>
      <c r="H34" s="1165">
        <v>46077</v>
      </c>
      <c r="I34" s="1165">
        <v>46082</v>
      </c>
      <c r="J34" s="1163">
        <v>136</v>
      </c>
      <c r="K34" s="1164" t="s">
        <v>3343</v>
      </c>
    </row>
    <row r="37" spans="4:11">
      <c r="D37" s="1155" t="s">
        <v>1782</v>
      </c>
      <c r="E37" s="1155" t="s">
        <v>3214</v>
      </c>
      <c r="F37" s="1155" t="s">
        <v>1405</v>
      </c>
      <c r="G37" s="1155" t="s">
        <v>45</v>
      </c>
      <c r="H37" s="1155" t="s">
        <v>1441</v>
      </c>
      <c r="I37" s="1155" t="s">
        <v>3333</v>
      </c>
      <c r="J37" s="1155" t="s">
        <v>1399</v>
      </c>
    </row>
    <row r="38" spans="4:11">
      <c r="D38" s="1163">
        <v>1</v>
      </c>
      <c r="E38" s="1163" t="s">
        <v>3017</v>
      </c>
      <c r="F38" s="1163" t="s">
        <v>3308</v>
      </c>
      <c r="G38" s="1163" t="s">
        <v>2736</v>
      </c>
      <c r="H38" s="928">
        <v>46072</v>
      </c>
      <c r="I38" s="928">
        <v>46097</v>
      </c>
      <c r="J38" s="1163">
        <v>140</v>
      </c>
      <c r="K38" s="1163"/>
    </row>
    <row r="39" spans="4:11">
      <c r="D39" s="1163">
        <f>D38+1</f>
        <v>2</v>
      </c>
      <c r="E39" s="1163" t="s">
        <v>3018</v>
      </c>
      <c r="F39" s="1163" t="s">
        <v>1988</v>
      </c>
      <c r="G39" s="1163" t="s">
        <v>2736</v>
      </c>
      <c r="H39" s="928">
        <v>46074</v>
      </c>
      <c r="I39" s="928">
        <v>46091</v>
      </c>
      <c r="J39" s="1163">
        <v>137</v>
      </c>
      <c r="K39" s="1163"/>
    </row>
    <row r="40" spans="4:11">
      <c r="D40" s="1163">
        <f t="shared" ref="D40:D47" si="2">D39+1</f>
        <v>3</v>
      </c>
      <c r="E40" s="1163" t="s">
        <v>188</v>
      </c>
      <c r="F40" s="1163" t="s">
        <v>76</v>
      </c>
      <c r="G40" s="1163" t="s">
        <v>3286</v>
      </c>
      <c r="H40" s="928">
        <v>46085</v>
      </c>
      <c r="I40" s="928">
        <v>46094</v>
      </c>
      <c r="J40" s="1163">
        <v>138</v>
      </c>
      <c r="K40" s="1163" t="s">
        <v>3343</v>
      </c>
    </row>
    <row r="41" spans="4:11">
      <c r="D41" s="1163">
        <f t="shared" si="2"/>
        <v>4</v>
      </c>
      <c r="E41" s="1163" t="s">
        <v>2918</v>
      </c>
      <c r="F41" s="1163" t="s">
        <v>1953</v>
      </c>
      <c r="G41" s="1163" t="s">
        <v>3286</v>
      </c>
      <c r="H41" s="928">
        <v>46084</v>
      </c>
      <c r="I41" s="928">
        <v>46104</v>
      </c>
      <c r="J41" s="1163">
        <v>143</v>
      </c>
      <c r="K41" s="1163" t="s">
        <v>3343</v>
      </c>
    </row>
    <row r="42" spans="4:11">
      <c r="D42" s="1163">
        <f t="shared" si="2"/>
        <v>5</v>
      </c>
      <c r="E42" s="1163" t="s">
        <v>3021</v>
      </c>
      <c r="F42" s="1163" t="s">
        <v>1319</v>
      </c>
      <c r="G42" s="1163" t="s">
        <v>1765</v>
      </c>
      <c r="H42" s="928">
        <v>46081</v>
      </c>
      <c r="I42" s="928">
        <v>46107</v>
      </c>
      <c r="J42" s="1163">
        <v>145</v>
      </c>
      <c r="K42" s="1163"/>
    </row>
    <row r="43" spans="4:11">
      <c r="D43" s="1163">
        <f t="shared" si="2"/>
        <v>6</v>
      </c>
      <c r="E43" s="1163" t="s">
        <v>3122</v>
      </c>
      <c r="F43" s="1163" t="s">
        <v>3313</v>
      </c>
      <c r="G43" s="1163" t="s">
        <v>2736</v>
      </c>
      <c r="H43" s="928">
        <v>46082</v>
      </c>
      <c r="I43" s="928">
        <v>46096</v>
      </c>
      <c r="J43" s="1163">
        <v>139</v>
      </c>
      <c r="K43" s="1163"/>
    </row>
    <row r="44" spans="4:11">
      <c r="D44" s="1163">
        <f t="shared" si="2"/>
        <v>7</v>
      </c>
      <c r="E44" s="1163" t="s">
        <v>3014</v>
      </c>
      <c r="F44" s="1163" t="s">
        <v>1269</v>
      </c>
      <c r="G44" s="1163" t="s">
        <v>3286</v>
      </c>
      <c r="H44" s="928">
        <v>46082</v>
      </c>
      <c r="I44" s="928">
        <v>46106</v>
      </c>
      <c r="J44" s="1163">
        <v>144</v>
      </c>
      <c r="K44" s="1163"/>
    </row>
    <row r="45" spans="4:11">
      <c r="D45" s="1163">
        <f t="shared" si="2"/>
        <v>8</v>
      </c>
      <c r="E45" s="1163" t="s">
        <v>3009</v>
      </c>
      <c r="F45" s="1163" t="s">
        <v>1361</v>
      </c>
      <c r="G45" s="1163" t="s">
        <v>1765</v>
      </c>
      <c r="H45" s="928">
        <v>46083</v>
      </c>
      <c r="I45" s="928">
        <v>46099</v>
      </c>
      <c r="J45" s="1163">
        <v>141</v>
      </c>
      <c r="K45" s="1163"/>
    </row>
    <row r="46" spans="4:11">
      <c r="D46" s="1163">
        <f t="shared" si="2"/>
        <v>9</v>
      </c>
      <c r="E46" s="1163" t="s">
        <v>200</v>
      </c>
      <c r="F46" s="1163" t="s">
        <v>76</v>
      </c>
      <c r="G46" s="1163" t="s">
        <v>3287</v>
      </c>
      <c r="H46" s="928">
        <v>46094</v>
      </c>
      <c r="I46" s="928">
        <v>46100</v>
      </c>
      <c r="J46" s="1163">
        <v>142</v>
      </c>
      <c r="K46" s="1163" t="s">
        <v>3343</v>
      </c>
    </row>
    <row r="47" spans="4:11">
      <c r="D47" s="1163">
        <f t="shared" si="2"/>
        <v>10</v>
      </c>
      <c r="E47" s="1163" t="s">
        <v>2981</v>
      </c>
      <c r="F47" s="1163" t="s">
        <v>1988</v>
      </c>
      <c r="G47" s="1163" t="s">
        <v>2736</v>
      </c>
      <c r="H47" s="1165">
        <v>46082</v>
      </c>
      <c r="I47" s="1165">
        <v>46109</v>
      </c>
      <c r="J47" s="1163">
        <v>146</v>
      </c>
      <c r="K47" s="1163" t="s">
        <v>3343</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70C0"/>
  </sheetPr>
  <dimension ref="B2:G38"/>
  <sheetViews>
    <sheetView workbookViewId="0">
      <selection activeCell="E5" sqref="E5"/>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1782</v>
      </c>
      <c r="C2" s="10" t="s">
        <v>2401</v>
      </c>
      <c r="D2" s="755" t="s">
        <v>2853</v>
      </c>
      <c r="E2" s="10" t="s">
        <v>631</v>
      </c>
      <c r="F2" s="10" t="s">
        <v>22</v>
      </c>
      <c r="G2" s="10" t="s">
        <v>593</v>
      </c>
    </row>
    <row r="3" spans="2:7">
      <c r="B3" s="33">
        <v>1</v>
      </c>
      <c r="C3" s="946" t="s">
        <v>2854</v>
      </c>
      <c r="D3" s="33">
        <v>95</v>
      </c>
      <c r="E3" s="33">
        <v>84</v>
      </c>
      <c r="F3" s="33">
        <v>7</v>
      </c>
      <c r="G3" s="33">
        <f>D3-E3-F3</f>
        <v>4</v>
      </c>
    </row>
    <row r="4" spans="2:7">
      <c r="B4" s="33">
        <f>B3+1</f>
        <v>2</v>
      </c>
      <c r="C4" s="946" t="s">
        <v>2855</v>
      </c>
      <c r="D4" s="33">
        <v>181</v>
      </c>
      <c r="E4" s="33">
        <v>158</v>
      </c>
      <c r="F4" s="33">
        <v>10</v>
      </c>
      <c r="G4" s="33">
        <f>D4-E4-F4</f>
        <v>13</v>
      </c>
    </row>
    <row r="5" spans="2:7">
      <c r="B5" s="33">
        <f>B4+1</f>
        <v>3</v>
      </c>
      <c r="C5" s="946" t="s">
        <v>2856</v>
      </c>
      <c r="D5" s="33">
        <v>56</v>
      </c>
      <c r="E5" s="33">
        <v>46</v>
      </c>
      <c r="F5" s="33">
        <v>7</v>
      </c>
      <c r="G5" s="33">
        <f>D5-E5-F5</f>
        <v>3</v>
      </c>
    </row>
    <row r="6" spans="2:7">
      <c r="B6" s="33">
        <f>B5+1</f>
        <v>4</v>
      </c>
      <c r="C6" s="946" t="s">
        <v>2701</v>
      </c>
      <c r="D6" s="33">
        <v>4</v>
      </c>
      <c r="E6" s="33"/>
      <c r="F6" s="33">
        <v>3</v>
      </c>
      <c r="G6" s="33">
        <f>D6-E6-F6</f>
        <v>1</v>
      </c>
    </row>
    <row r="7" spans="2:7">
      <c r="B7" s="1455" t="s">
        <v>994</v>
      </c>
      <c r="C7" s="1455"/>
      <c r="D7" s="1002">
        <f>SUM(D3:D6)</f>
        <v>336</v>
      </c>
      <c r="E7" s="1002">
        <f>SUM(E3:E6)</f>
        <v>288</v>
      </c>
      <c r="F7" s="1002">
        <f>SUM(F3:F6)</f>
        <v>27</v>
      </c>
      <c r="G7" s="1002">
        <f>SUM(G3:G6)</f>
        <v>21</v>
      </c>
    </row>
    <row r="38" spans="4:5">
      <c r="D38" s="1168">
        <v>46098</v>
      </c>
      <c r="E38">
        <v>3</v>
      </c>
    </row>
  </sheetData>
  <mergeCells count="1">
    <mergeCell ref="B7:C7"/>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70C0"/>
  </sheetPr>
  <dimension ref="A1:R244"/>
  <sheetViews>
    <sheetView zoomScaleNormal="100" workbookViewId="0">
      <pane ySplit="6" topLeftCell="A241" activePane="bottomLeft" state="frozen"/>
      <selection activeCell="H158" sqref="H158"/>
      <selection pane="bottomLeft" activeCell="B244" sqref="B244"/>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customWidth="1"/>
    <col min="8" max="8" width="11.08984375" style="648" customWidth="1"/>
    <col min="9" max="9" width="10.26953125" style="648" customWidth="1"/>
    <col min="10" max="10" width="12.6328125" style="648"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064" customWidth="1"/>
    <col min="19" max="16384" width="7.90625" style="1064"/>
  </cols>
  <sheetData>
    <row r="1" spans="1:17" ht="12.5">
      <c r="A1" s="1572" t="s">
        <v>3310</v>
      </c>
      <c r="B1" s="1572"/>
      <c r="C1" s="1572"/>
      <c r="D1" s="1572"/>
      <c r="E1" s="1572"/>
      <c r="F1" s="1572"/>
      <c r="G1" s="1572"/>
      <c r="H1" s="1572"/>
      <c r="I1" s="647"/>
      <c r="J1" s="647"/>
      <c r="K1" s="647"/>
      <c r="M1" s="647"/>
      <c r="N1" s="647"/>
      <c r="O1" s="698" t="s">
        <v>38</v>
      </c>
      <c r="P1" s="699">
        <f>'TB-605'!E1</f>
        <v>46219</v>
      </c>
    </row>
    <row r="2" spans="1:17" ht="12.5">
      <c r="A2" s="651" t="s">
        <v>2740</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065" customFormat="1" ht="17.5" customHeight="1">
      <c r="A5" s="1368" t="s">
        <v>1782</v>
      </c>
      <c r="B5" s="1368" t="s">
        <v>998</v>
      </c>
      <c r="C5" s="1368" t="s">
        <v>44</v>
      </c>
      <c r="D5" s="1368" t="s">
        <v>45</v>
      </c>
      <c r="E5" s="1368" t="s">
        <v>1761</v>
      </c>
      <c r="F5" s="1368" t="s">
        <v>1441</v>
      </c>
      <c r="G5" s="1370" t="s">
        <v>28</v>
      </c>
      <c r="H5" s="1371"/>
      <c r="I5" s="1371"/>
      <c r="J5" s="1371"/>
      <c r="K5" s="1372"/>
      <c r="L5" s="1562" t="s">
        <v>2396</v>
      </c>
      <c r="M5" s="1368" t="s">
        <v>3237</v>
      </c>
      <c r="N5" s="1368" t="s">
        <v>609</v>
      </c>
      <c r="O5" s="659" t="s">
        <v>1762</v>
      </c>
      <c r="P5" s="660" t="s">
        <v>1763</v>
      </c>
      <c r="Q5" s="660" t="s">
        <v>1764</v>
      </c>
    </row>
    <row r="6" spans="1:17" s="1065" customFormat="1" ht="17.5" customHeight="1">
      <c r="A6" s="1369"/>
      <c r="B6" s="1369"/>
      <c r="C6" s="1369"/>
      <c r="D6" s="1369"/>
      <c r="E6" s="1369"/>
      <c r="F6" s="1369"/>
      <c r="G6" s="659" t="s">
        <v>1416</v>
      </c>
      <c r="H6" s="659" t="s">
        <v>2394</v>
      </c>
      <c r="I6" s="659" t="s">
        <v>2368</v>
      </c>
      <c r="J6" s="659" t="s">
        <v>2395</v>
      </c>
      <c r="K6" s="659" t="s">
        <v>2386</v>
      </c>
      <c r="L6" s="1563"/>
      <c r="M6" s="1369"/>
      <c r="N6" s="1369"/>
      <c r="O6" s="659"/>
      <c r="P6" s="660"/>
      <c r="Q6" s="660"/>
    </row>
    <row r="7" spans="1:17" s="1039" customFormat="1" ht="56" customHeight="1">
      <c r="A7" s="750">
        <v>1</v>
      </c>
      <c r="B7" s="751" t="s">
        <v>2724</v>
      </c>
      <c r="C7" s="750" t="s">
        <v>62</v>
      </c>
      <c r="D7" s="750" t="s">
        <v>1765</v>
      </c>
      <c r="E7" s="782">
        <f>31.932+4.177</f>
        <v>36.108999999999995</v>
      </c>
      <c r="F7" s="752">
        <v>45925</v>
      </c>
      <c r="G7" s="752">
        <v>46033</v>
      </c>
      <c r="H7" s="752">
        <v>46033</v>
      </c>
      <c r="I7" s="752">
        <v>46033</v>
      </c>
      <c r="J7" s="752">
        <v>46033</v>
      </c>
      <c r="K7" s="752">
        <v>46033</v>
      </c>
      <c r="L7" s="752">
        <v>46033</v>
      </c>
      <c r="M7" s="941" t="s">
        <v>631</v>
      </c>
      <c r="N7" s="941"/>
      <c r="O7" s="750" t="s">
        <v>2725</v>
      </c>
      <c r="P7" s="750">
        <v>25</v>
      </c>
      <c r="Q7" s="858" t="s">
        <v>3250</v>
      </c>
    </row>
    <row r="8" spans="1:17" s="1039" customFormat="1" ht="37.5" customHeight="1">
      <c r="A8" s="750">
        <f>A7+1</f>
        <v>2</v>
      </c>
      <c r="B8" s="751" t="s">
        <v>2378</v>
      </c>
      <c r="C8" s="750" t="s">
        <v>76</v>
      </c>
      <c r="D8" s="750" t="s">
        <v>1765</v>
      </c>
      <c r="E8" s="782"/>
      <c r="F8" s="752">
        <v>45943</v>
      </c>
      <c r="G8" s="752">
        <v>45948</v>
      </c>
      <c r="H8" s="752">
        <v>45948</v>
      </c>
      <c r="I8" s="752">
        <v>45949</v>
      </c>
      <c r="J8" s="752">
        <v>45949</v>
      </c>
      <c r="K8" s="752">
        <v>45950</v>
      </c>
      <c r="L8" s="752">
        <v>45950</v>
      </c>
      <c r="M8" s="941" t="s">
        <v>631</v>
      </c>
      <c r="N8" s="941"/>
      <c r="O8" s="750" t="s">
        <v>2837</v>
      </c>
      <c r="P8" s="750">
        <v>10</v>
      </c>
      <c r="Q8" s="858"/>
    </row>
    <row r="9" spans="1:17" s="1039" customFormat="1" ht="45" customHeight="1">
      <c r="A9" s="750">
        <f>A8+1</f>
        <v>3</v>
      </c>
      <c r="B9" s="751" t="s">
        <v>2842</v>
      </c>
      <c r="C9" s="750" t="s">
        <v>76</v>
      </c>
      <c r="D9" s="750" t="s">
        <v>1765</v>
      </c>
      <c r="E9" s="782"/>
      <c r="F9" s="752">
        <v>45946</v>
      </c>
      <c r="G9" s="752">
        <v>45955</v>
      </c>
      <c r="H9" s="752">
        <v>45955</v>
      </c>
      <c r="I9" s="752">
        <v>45955</v>
      </c>
      <c r="J9" s="752">
        <v>45956</v>
      </c>
      <c r="K9" s="752">
        <v>45957</v>
      </c>
      <c r="L9" s="752">
        <v>45957</v>
      </c>
      <c r="M9" s="941" t="s">
        <v>631</v>
      </c>
      <c r="N9" s="941"/>
      <c r="O9" s="750" t="s">
        <v>2843</v>
      </c>
      <c r="P9" s="750">
        <v>9</v>
      </c>
      <c r="Q9" s="858"/>
    </row>
    <row r="10" spans="1:17" s="1039" customFormat="1" ht="45" customHeight="1">
      <c r="A10" s="750">
        <f t="shared" ref="A10:A25" si="0">A9+1</f>
        <v>4</v>
      </c>
      <c r="B10" s="751" t="s">
        <v>2847</v>
      </c>
      <c r="C10" s="750" t="s">
        <v>53</v>
      </c>
      <c r="D10" s="750" t="s">
        <v>1765</v>
      </c>
      <c r="E10" s="782"/>
      <c r="F10" s="752">
        <v>45949</v>
      </c>
      <c r="G10" s="752">
        <v>45955</v>
      </c>
      <c r="H10" s="752">
        <v>45957</v>
      </c>
      <c r="I10" s="752">
        <v>45957</v>
      </c>
      <c r="J10" s="752">
        <v>45958</v>
      </c>
      <c r="K10" s="752">
        <v>45958</v>
      </c>
      <c r="L10" s="752">
        <v>45958</v>
      </c>
      <c r="M10" s="941" t="s">
        <v>631</v>
      </c>
      <c r="N10" s="941"/>
      <c r="O10" s="750" t="s">
        <v>2843</v>
      </c>
      <c r="P10" s="750">
        <v>10</v>
      </c>
      <c r="Q10" s="858"/>
    </row>
    <row r="11" spans="1:17" s="1039" customFormat="1" ht="45" customHeight="1">
      <c r="A11" s="750">
        <f t="shared" si="0"/>
        <v>5</v>
      </c>
      <c r="B11" s="751" t="s">
        <v>490</v>
      </c>
      <c r="C11" s="750" t="s">
        <v>53</v>
      </c>
      <c r="D11" s="750" t="s">
        <v>1765</v>
      </c>
      <c r="E11" s="782"/>
      <c r="F11" s="752">
        <v>45947</v>
      </c>
      <c r="G11" s="752">
        <v>45949</v>
      </c>
      <c r="H11" s="752">
        <v>45950</v>
      </c>
      <c r="I11" s="752">
        <v>45950</v>
      </c>
      <c r="J11" s="752">
        <v>45951</v>
      </c>
      <c r="K11" s="752">
        <v>45953</v>
      </c>
      <c r="L11" s="752">
        <v>45953</v>
      </c>
      <c r="M11" s="941" t="s">
        <v>631</v>
      </c>
      <c r="N11" s="941"/>
      <c r="O11" s="750" t="s">
        <v>2830</v>
      </c>
      <c r="P11" s="750">
        <v>12</v>
      </c>
      <c r="Q11" s="858"/>
    </row>
    <row r="12" spans="1:17" s="1039" customFormat="1" ht="45" customHeight="1">
      <c r="A12" s="750">
        <f t="shared" si="0"/>
        <v>6</v>
      </c>
      <c r="B12" s="751" t="s">
        <v>402</v>
      </c>
      <c r="C12" s="750" t="s">
        <v>53</v>
      </c>
      <c r="D12" s="750" t="s">
        <v>1765</v>
      </c>
      <c r="E12" s="782"/>
      <c r="F12" s="752">
        <v>45953</v>
      </c>
      <c r="G12" s="752">
        <v>45954</v>
      </c>
      <c r="H12" s="752">
        <v>45955</v>
      </c>
      <c r="I12" s="752">
        <v>45955</v>
      </c>
      <c r="J12" s="752">
        <v>45956</v>
      </c>
      <c r="K12" s="752">
        <v>45958</v>
      </c>
      <c r="L12" s="752">
        <v>45958</v>
      </c>
      <c r="M12" s="941" t="s">
        <v>631</v>
      </c>
      <c r="N12" s="941"/>
      <c r="O12" s="750" t="s">
        <v>2830</v>
      </c>
      <c r="P12" s="750">
        <v>12</v>
      </c>
      <c r="Q12" s="858"/>
    </row>
    <row r="13" spans="1:17" s="1039" customFormat="1" ht="45" customHeight="1">
      <c r="A13" s="750">
        <f t="shared" si="0"/>
        <v>7</v>
      </c>
      <c r="B13" s="751" t="s">
        <v>2379</v>
      </c>
      <c r="C13" s="750" t="s">
        <v>76</v>
      </c>
      <c r="D13" s="750" t="s">
        <v>1765</v>
      </c>
      <c r="E13" s="782"/>
      <c r="F13" s="752">
        <v>45953</v>
      </c>
      <c r="G13" s="752">
        <v>45955</v>
      </c>
      <c r="H13" s="752">
        <v>45956</v>
      </c>
      <c r="I13" s="752">
        <v>45957</v>
      </c>
      <c r="J13" s="752">
        <v>45959</v>
      </c>
      <c r="K13" s="752">
        <v>45959</v>
      </c>
      <c r="L13" s="752">
        <v>45959</v>
      </c>
      <c r="M13" s="941" t="s">
        <v>631</v>
      </c>
      <c r="N13" s="1003">
        <v>45965</v>
      </c>
      <c r="O13" s="750" t="s">
        <v>2837</v>
      </c>
      <c r="P13" s="750">
        <v>10</v>
      </c>
      <c r="Q13" s="858"/>
    </row>
    <row r="14" spans="1:17" s="1039" customFormat="1" ht="45" customHeight="1">
      <c r="A14" s="750">
        <f t="shared" si="0"/>
        <v>8</v>
      </c>
      <c r="B14" s="751" t="s">
        <v>427</v>
      </c>
      <c r="C14" s="750" t="s">
        <v>1269</v>
      </c>
      <c r="D14" s="750" t="s">
        <v>1765</v>
      </c>
      <c r="E14" s="782"/>
      <c r="F14" s="752">
        <v>45955</v>
      </c>
      <c r="G14" s="752">
        <v>45957</v>
      </c>
      <c r="H14" s="752">
        <v>45961</v>
      </c>
      <c r="I14" s="752">
        <v>45961</v>
      </c>
      <c r="J14" s="752">
        <v>45962</v>
      </c>
      <c r="K14" s="752">
        <v>45967</v>
      </c>
      <c r="L14" s="752">
        <v>45967</v>
      </c>
      <c r="M14" s="941" t="s">
        <v>631</v>
      </c>
      <c r="N14" s="1003">
        <v>45973</v>
      </c>
      <c r="O14" s="1045" t="s">
        <v>2830</v>
      </c>
      <c r="P14" s="1366">
        <v>16</v>
      </c>
      <c r="Q14" s="858"/>
    </row>
    <row r="15" spans="1:17" s="1039" customFormat="1" ht="45" customHeight="1">
      <c r="A15" s="750">
        <f t="shared" si="0"/>
        <v>9</v>
      </c>
      <c r="B15" s="751" t="s">
        <v>473</v>
      </c>
      <c r="C15" s="750" t="s">
        <v>90</v>
      </c>
      <c r="D15" s="750" t="s">
        <v>1765</v>
      </c>
      <c r="E15" s="782"/>
      <c r="F15" s="752">
        <v>45962</v>
      </c>
      <c r="G15" s="752">
        <v>45963</v>
      </c>
      <c r="H15" s="752">
        <v>45964</v>
      </c>
      <c r="I15" s="752">
        <v>45965</v>
      </c>
      <c r="J15" s="752">
        <v>45966</v>
      </c>
      <c r="K15" s="752">
        <v>45970</v>
      </c>
      <c r="L15" s="752">
        <v>45970</v>
      </c>
      <c r="M15" s="941" t="s">
        <v>631</v>
      </c>
      <c r="N15" s="1003">
        <v>45973</v>
      </c>
      <c r="O15" s="1045" t="s">
        <v>2830</v>
      </c>
      <c r="P15" s="1367"/>
      <c r="Q15" s="858"/>
    </row>
    <row r="16" spans="1:17" s="1039" customFormat="1" ht="45" customHeight="1">
      <c r="A16" s="750">
        <f t="shared" si="0"/>
        <v>10</v>
      </c>
      <c r="B16" s="751" t="s">
        <v>2851</v>
      </c>
      <c r="C16" s="750" t="s">
        <v>62</v>
      </c>
      <c r="D16" s="750" t="s">
        <v>1765</v>
      </c>
      <c r="E16" s="782"/>
      <c r="F16" s="752">
        <v>45956</v>
      </c>
      <c r="G16" s="752">
        <v>45960</v>
      </c>
      <c r="H16" s="752">
        <v>45961</v>
      </c>
      <c r="I16" s="752">
        <v>45961</v>
      </c>
      <c r="J16" s="752">
        <v>45961</v>
      </c>
      <c r="K16" s="752">
        <v>45961</v>
      </c>
      <c r="L16" s="752">
        <v>45961</v>
      </c>
      <c r="M16" s="941" t="s">
        <v>631</v>
      </c>
      <c r="N16" s="1003">
        <v>45968</v>
      </c>
      <c r="O16" s="750" t="s">
        <v>2725</v>
      </c>
      <c r="P16" s="750">
        <f>8+15</f>
        <v>23</v>
      </c>
      <c r="Q16" s="858"/>
    </row>
    <row r="17" spans="1:17" s="1039" customFormat="1" ht="45" customHeight="1">
      <c r="A17" s="750">
        <f t="shared" si="0"/>
        <v>11</v>
      </c>
      <c r="B17" s="751" t="s">
        <v>2852</v>
      </c>
      <c r="C17" s="750" t="s">
        <v>76</v>
      </c>
      <c r="D17" s="750" t="s">
        <v>1765</v>
      </c>
      <c r="E17" s="782"/>
      <c r="F17" s="752">
        <v>45957</v>
      </c>
      <c r="G17" s="752">
        <v>45958</v>
      </c>
      <c r="H17" s="752">
        <v>45960</v>
      </c>
      <c r="I17" s="752">
        <v>45960</v>
      </c>
      <c r="J17" s="752">
        <v>45960</v>
      </c>
      <c r="K17" s="752">
        <v>45961</v>
      </c>
      <c r="L17" s="752">
        <v>45961</v>
      </c>
      <c r="M17" s="941" t="s">
        <v>631</v>
      </c>
      <c r="N17" s="1003">
        <v>45970</v>
      </c>
      <c r="O17" s="750" t="s">
        <v>2843</v>
      </c>
      <c r="P17" s="750">
        <v>19</v>
      </c>
      <c r="Q17" s="858"/>
    </row>
    <row r="18" spans="1:17" s="1039" customFormat="1" ht="45" customHeight="1">
      <c r="A18" s="750">
        <f t="shared" si="0"/>
        <v>12</v>
      </c>
      <c r="B18" s="751" t="s">
        <v>2453</v>
      </c>
      <c r="C18" s="750" t="s">
        <v>62</v>
      </c>
      <c r="D18" s="750" t="s">
        <v>1765</v>
      </c>
      <c r="E18" s="782"/>
      <c r="F18" s="752">
        <v>45956</v>
      </c>
      <c r="G18" s="752">
        <v>45958</v>
      </c>
      <c r="H18" s="752">
        <v>45962</v>
      </c>
      <c r="I18" s="752">
        <v>45962</v>
      </c>
      <c r="J18" s="752">
        <v>45963</v>
      </c>
      <c r="K18" s="752">
        <v>45965</v>
      </c>
      <c r="L18" s="752">
        <v>45965</v>
      </c>
      <c r="M18" s="941" t="s">
        <v>631</v>
      </c>
      <c r="N18" s="1003">
        <v>45967</v>
      </c>
      <c r="O18" s="1045" t="s">
        <v>2837</v>
      </c>
      <c r="P18" s="1366">
        <v>20</v>
      </c>
      <c r="Q18" s="858"/>
    </row>
    <row r="19" spans="1:17" s="1039" customFormat="1" ht="45" customHeight="1">
      <c r="A19" s="750">
        <f t="shared" si="0"/>
        <v>13</v>
      </c>
      <c r="B19" s="751" t="s">
        <v>2377</v>
      </c>
      <c r="C19" s="750" t="s">
        <v>76</v>
      </c>
      <c r="D19" s="750" t="s">
        <v>1765</v>
      </c>
      <c r="E19" s="782"/>
      <c r="F19" s="752">
        <v>45963</v>
      </c>
      <c r="G19" s="752">
        <v>45964</v>
      </c>
      <c r="H19" s="752">
        <v>45965</v>
      </c>
      <c r="I19" s="752">
        <v>45965</v>
      </c>
      <c r="J19" s="752">
        <v>45965</v>
      </c>
      <c r="K19" s="752">
        <v>45967</v>
      </c>
      <c r="L19" s="752">
        <v>45967</v>
      </c>
      <c r="M19" s="941" t="s">
        <v>631</v>
      </c>
      <c r="N19" s="1003">
        <v>45969</v>
      </c>
      <c r="O19" s="1045" t="s">
        <v>2837</v>
      </c>
      <c r="P19" s="1367"/>
      <c r="Q19" s="858"/>
    </row>
    <row r="20" spans="1:17" s="1039" customFormat="1" ht="45" customHeight="1">
      <c r="A20" s="750">
        <f t="shared" si="0"/>
        <v>14</v>
      </c>
      <c r="B20" s="751" t="s">
        <v>2858</v>
      </c>
      <c r="C20" s="750" t="s">
        <v>76</v>
      </c>
      <c r="D20" s="750" t="s">
        <v>1765</v>
      </c>
      <c r="E20" s="782"/>
      <c r="F20" s="752">
        <v>45959</v>
      </c>
      <c r="G20" s="752">
        <v>45965</v>
      </c>
      <c r="H20" s="752">
        <v>45966</v>
      </c>
      <c r="I20" s="752">
        <v>45967</v>
      </c>
      <c r="J20" s="752">
        <v>45967</v>
      </c>
      <c r="K20" s="752">
        <v>45969</v>
      </c>
      <c r="L20" s="752">
        <v>45969</v>
      </c>
      <c r="M20" s="941" t="s">
        <v>631</v>
      </c>
      <c r="N20" s="1003">
        <v>45970</v>
      </c>
      <c r="O20" s="1045" t="s">
        <v>2868</v>
      </c>
      <c r="P20" s="1366">
        <v>13</v>
      </c>
      <c r="Q20" s="858"/>
    </row>
    <row r="21" spans="1:17" s="1039" customFormat="1" ht="45" customHeight="1">
      <c r="A21" s="750">
        <f t="shared" si="0"/>
        <v>15</v>
      </c>
      <c r="B21" s="751" t="s">
        <v>2869</v>
      </c>
      <c r="C21" s="750" t="s">
        <v>76</v>
      </c>
      <c r="D21" s="750" t="s">
        <v>1765</v>
      </c>
      <c r="E21" s="782"/>
      <c r="F21" s="752">
        <v>45961</v>
      </c>
      <c r="G21" s="752">
        <v>45969</v>
      </c>
      <c r="H21" s="752">
        <v>45970</v>
      </c>
      <c r="I21" s="752">
        <v>45970</v>
      </c>
      <c r="J21" s="752">
        <v>45970</v>
      </c>
      <c r="K21" s="752">
        <v>45971</v>
      </c>
      <c r="L21" s="752">
        <v>45971</v>
      </c>
      <c r="M21" s="941" t="s">
        <v>631</v>
      </c>
      <c r="N21" s="1003">
        <v>45972</v>
      </c>
      <c r="O21" s="1045" t="s">
        <v>2868</v>
      </c>
      <c r="P21" s="1367"/>
      <c r="Q21" s="858"/>
    </row>
    <row r="22" spans="1:17" s="1039" customFormat="1" ht="45" customHeight="1">
      <c r="A22" s="750">
        <f t="shared" si="0"/>
        <v>16</v>
      </c>
      <c r="B22" s="751" t="s">
        <v>2859</v>
      </c>
      <c r="C22" s="750" t="s">
        <v>76</v>
      </c>
      <c r="D22" s="750" t="s">
        <v>1765</v>
      </c>
      <c r="E22" s="782"/>
      <c r="F22" s="752">
        <v>45959</v>
      </c>
      <c r="G22" s="752">
        <v>45960</v>
      </c>
      <c r="H22" s="752">
        <v>45963</v>
      </c>
      <c r="I22" s="752">
        <v>45963</v>
      </c>
      <c r="J22" s="752">
        <v>45963</v>
      </c>
      <c r="K22" s="752">
        <v>45965</v>
      </c>
      <c r="L22" s="752">
        <v>45965</v>
      </c>
      <c r="M22" s="941" t="s">
        <v>631</v>
      </c>
      <c r="N22" s="1003"/>
      <c r="O22" s="1045" t="s">
        <v>2843</v>
      </c>
      <c r="P22" s="1366">
        <v>19</v>
      </c>
      <c r="Q22" s="858"/>
    </row>
    <row r="23" spans="1:17" s="1039" customFormat="1" ht="45" customHeight="1">
      <c r="A23" s="750">
        <f t="shared" si="0"/>
        <v>17</v>
      </c>
      <c r="B23" s="751" t="s">
        <v>2871</v>
      </c>
      <c r="C23" s="750" t="s">
        <v>62</v>
      </c>
      <c r="D23" s="750" t="s">
        <v>1765</v>
      </c>
      <c r="E23" s="782"/>
      <c r="F23" s="752">
        <v>45964</v>
      </c>
      <c r="G23" s="752">
        <v>45968</v>
      </c>
      <c r="H23" s="752">
        <v>45970</v>
      </c>
      <c r="I23" s="752">
        <v>45970</v>
      </c>
      <c r="J23" s="752">
        <v>45971</v>
      </c>
      <c r="K23" s="752">
        <v>45971</v>
      </c>
      <c r="L23" s="752">
        <v>45971</v>
      </c>
      <c r="M23" s="941" t="s">
        <v>631</v>
      </c>
      <c r="N23" s="1003">
        <v>45975</v>
      </c>
      <c r="O23" s="1045" t="s">
        <v>2843</v>
      </c>
      <c r="P23" s="1367"/>
      <c r="Q23" s="858"/>
    </row>
    <row r="24" spans="1:17" s="1039" customFormat="1" ht="45" customHeight="1">
      <c r="A24" s="750">
        <f t="shared" si="0"/>
        <v>18</v>
      </c>
      <c r="B24" s="751" t="s">
        <v>2860</v>
      </c>
      <c r="C24" s="750" t="s">
        <v>76</v>
      </c>
      <c r="D24" s="750" t="s">
        <v>1765</v>
      </c>
      <c r="E24" s="782"/>
      <c r="F24" s="752">
        <v>45960</v>
      </c>
      <c r="G24" s="752">
        <v>45963</v>
      </c>
      <c r="H24" s="752">
        <v>45969</v>
      </c>
      <c r="I24" s="752">
        <v>45970</v>
      </c>
      <c r="J24" s="752">
        <v>45971</v>
      </c>
      <c r="K24" s="752">
        <v>45973</v>
      </c>
      <c r="L24" s="752">
        <v>45973</v>
      </c>
      <c r="M24" s="941" t="s">
        <v>631</v>
      </c>
      <c r="N24" s="1003">
        <v>45977</v>
      </c>
      <c r="O24" s="1045" t="s">
        <v>2861</v>
      </c>
      <c r="P24" s="1366">
        <v>25</v>
      </c>
      <c r="Q24" s="858"/>
    </row>
    <row r="25" spans="1:17" s="1039" customFormat="1" ht="45" customHeight="1">
      <c r="A25" s="750">
        <f t="shared" si="0"/>
        <v>19</v>
      </c>
      <c r="B25" s="751" t="s">
        <v>2870</v>
      </c>
      <c r="C25" s="750" t="s">
        <v>76</v>
      </c>
      <c r="D25" s="750" t="s">
        <v>1765</v>
      </c>
      <c r="E25" s="782"/>
      <c r="F25" s="752">
        <v>45963</v>
      </c>
      <c r="G25" s="752">
        <v>45967</v>
      </c>
      <c r="H25" s="752">
        <v>45971</v>
      </c>
      <c r="I25" s="752">
        <v>45972</v>
      </c>
      <c r="J25" s="752">
        <v>45972</v>
      </c>
      <c r="K25" s="752">
        <v>45974</v>
      </c>
      <c r="L25" s="752">
        <v>45974</v>
      </c>
      <c r="M25" s="941" t="s">
        <v>631</v>
      </c>
      <c r="N25" s="1003">
        <v>45977</v>
      </c>
      <c r="O25" s="1045" t="s">
        <v>2861</v>
      </c>
      <c r="P25" s="1367"/>
      <c r="Q25" s="858"/>
    </row>
    <row r="26" spans="1:17" s="1039" customFormat="1" ht="45" customHeight="1">
      <c r="A26" s="750">
        <f t="shared" ref="A26:A64" si="1">A25+1</f>
        <v>20</v>
      </c>
      <c r="B26" s="751" t="s">
        <v>2867</v>
      </c>
      <c r="C26" s="750" t="s">
        <v>1319</v>
      </c>
      <c r="D26" s="750" t="s">
        <v>1765</v>
      </c>
      <c r="E26" s="782"/>
      <c r="F26" s="752">
        <v>45962</v>
      </c>
      <c r="G26" s="752">
        <v>45978</v>
      </c>
      <c r="H26" s="752">
        <v>45979</v>
      </c>
      <c r="I26" s="752">
        <v>45979</v>
      </c>
      <c r="J26" s="752">
        <v>45981</v>
      </c>
      <c r="K26" s="752">
        <v>45983</v>
      </c>
      <c r="L26" s="752">
        <v>45983</v>
      </c>
      <c r="M26" s="941" t="s">
        <v>631</v>
      </c>
      <c r="N26" s="1003">
        <v>45980</v>
      </c>
      <c r="O26" s="750" t="s">
        <v>2725</v>
      </c>
      <c r="P26" s="750">
        <v>25</v>
      </c>
      <c r="Q26" s="858"/>
    </row>
    <row r="27" spans="1:17" s="1039" customFormat="1" ht="45" customHeight="1">
      <c r="A27" s="750">
        <f t="shared" si="1"/>
        <v>21</v>
      </c>
      <c r="B27" s="751" t="s">
        <v>2998</v>
      </c>
      <c r="C27" s="750" t="s">
        <v>1277</v>
      </c>
      <c r="D27" s="750" t="s">
        <v>1765</v>
      </c>
      <c r="E27" s="782"/>
      <c r="F27" s="752">
        <v>45968</v>
      </c>
      <c r="G27" s="752">
        <v>45973</v>
      </c>
      <c r="H27" s="752">
        <v>45974</v>
      </c>
      <c r="I27" s="752">
        <v>45974</v>
      </c>
      <c r="J27" s="752">
        <v>45974</v>
      </c>
      <c r="K27" s="752">
        <v>45977</v>
      </c>
      <c r="L27" s="752">
        <v>45977</v>
      </c>
      <c r="M27" s="941" t="s">
        <v>631</v>
      </c>
      <c r="N27" s="1003">
        <v>45980</v>
      </c>
      <c r="O27" s="750" t="s">
        <v>2837</v>
      </c>
      <c r="P27" s="750">
        <v>20</v>
      </c>
      <c r="Q27" s="858"/>
    </row>
    <row r="28" spans="1:17" s="1039" customFormat="1" ht="45" customHeight="1">
      <c r="A28" s="750">
        <f t="shared" si="1"/>
        <v>22</v>
      </c>
      <c r="B28" s="751" t="s">
        <v>2500</v>
      </c>
      <c r="C28" s="750" t="s">
        <v>62</v>
      </c>
      <c r="D28" s="750" t="s">
        <v>1765</v>
      </c>
      <c r="E28" s="782"/>
      <c r="F28" s="752">
        <v>45967</v>
      </c>
      <c r="G28" s="752">
        <v>46003</v>
      </c>
      <c r="H28" s="752">
        <v>46003</v>
      </c>
      <c r="I28" s="752">
        <v>45975</v>
      </c>
      <c r="J28" s="752">
        <v>45975</v>
      </c>
      <c r="K28" s="752">
        <v>45976</v>
      </c>
      <c r="L28" s="752">
        <v>45976</v>
      </c>
      <c r="M28" s="941" t="s">
        <v>631</v>
      </c>
      <c r="N28" s="1003">
        <v>45982</v>
      </c>
      <c r="O28" s="750" t="s">
        <v>3073</v>
      </c>
      <c r="P28" s="750">
        <v>16</v>
      </c>
      <c r="Q28" s="858"/>
    </row>
    <row r="29" spans="1:17" s="1039" customFormat="1" ht="45" customHeight="1">
      <c r="A29" s="750">
        <f t="shared" si="1"/>
        <v>23</v>
      </c>
      <c r="B29" s="751" t="s">
        <v>3091</v>
      </c>
      <c r="C29" s="750" t="s">
        <v>76</v>
      </c>
      <c r="D29" s="750" t="s">
        <v>1765</v>
      </c>
      <c r="E29" s="782"/>
      <c r="F29" s="752">
        <v>45970</v>
      </c>
      <c r="G29" s="752">
        <v>45974</v>
      </c>
      <c r="H29" s="752">
        <v>45975</v>
      </c>
      <c r="I29" s="752">
        <v>45975</v>
      </c>
      <c r="J29" s="752">
        <v>45975</v>
      </c>
      <c r="K29" s="752">
        <v>45976</v>
      </c>
      <c r="L29" s="752">
        <v>45976</v>
      </c>
      <c r="M29" s="941" t="s">
        <v>631</v>
      </c>
      <c r="N29" s="1003">
        <v>45977</v>
      </c>
      <c r="O29" s="750" t="s">
        <v>2868</v>
      </c>
      <c r="P29" s="750">
        <v>20</v>
      </c>
      <c r="Q29" s="858"/>
    </row>
    <row r="30" spans="1:17" s="1039" customFormat="1" ht="45" customHeight="1">
      <c r="A30" s="750">
        <f t="shared" si="1"/>
        <v>24</v>
      </c>
      <c r="B30" s="751" t="s">
        <v>2955</v>
      </c>
      <c r="C30" s="750" t="s">
        <v>1277</v>
      </c>
      <c r="D30" s="750" t="s">
        <v>1765</v>
      </c>
      <c r="E30" s="782"/>
      <c r="F30" s="752">
        <v>45971</v>
      </c>
      <c r="G30" s="752">
        <v>45978</v>
      </c>
      <c r="H30" s="752">
        <v>45979</v>
      </c>
      <c r="I30" s="752">
        <v>45979</v>
      </c>
      <c r="J30" s="752">
        <v>45979</v>
      </c>
      <c r="K30" s="752">
        <v>45980</v>
      </c>
      <c r="L30" s="752">
        <v>45980</v>
      </c>
      <c r="M30" s="941" t="s">
        <v>631</v>
      </c>
      <c r="N30" s="1003">
        <v>45992</v>
      </c>
      <c r="O30" s="750" t="s">
        <v>2843</v>
      </c>
      <c r="P30" s="750">
        <v>19</v>
      </c>
      <c r="Q30" s="858"/>
    </row>
    <row r="31" spans="1:17" s="1039" customFormat="1" ht="45" customHeight="1">
      <c r="A31" s="750">
        <f t="shared" si="1"/>
        <v>25</v>
      </c>
      <c r="B31" s="751" t="s">
        <v>2202</v>
      </c>
      <c r="C31" s="750" t="s">
        <v>62</v>
      </c>
      <c r="D31" s="750" t="s">
        <v>1765</v>
      </c>
      <c r="E31" s="782"/>
      <c r="F31" s="752">
        <v>45972</v>
      </c>
      <c r="G31" s="752">
        <v>45973</v>
      </c>
      <c r="H31" s="752">
        <v>45974</v>
      </c>
      <c r="I31" s="752">
        <v>45974</v>
      </c>
      <c r="J31" s="752">
        <v>45974</v>
      </c>
      <c r="K31" s="752">
        <v>45975</v>
      </c>
      <c r="L31" s="752">
        <v>45975</v>
      </c>
      <c r="M31" s="941" t="s">
        <v>631</v>
      </c>
      <c r="N31" s="1003">
        <v>45976</v>
      </c>
      <c r="O31" s="750" t="s">
        <v>2830</v>
      </c>
      <c r="P31" s="750">
        <v>16</v>
      </c>
      <c r="Q31" s="858"/>
    </row>
    <row r="32" spans="1:17" s="1039" customFormat="1" ht="45" customHeight="1">
      <c r="A32" s="750">
        <f t="shared" si="1"/>
        <v>26</v>
      </c>
      <c r="B32" s="751" t="s">
        <v>3093</v>
      </c>
      <c r="C32" s="750" t="s">
        <v>62</v>
      </c>
      <c r="D32" s="750" t="s">
        <v>1765</v>
      </c>
      <c r="E32" s="782"/>
      <c r="F32" s="752">
        <v>45972</v>
      </c>
      <c r="G32" s="752">
        <v>45973</v>
      </c>
      <c r="H32" s="752">
        <v>45976</v>
      </c>
      <c r="I32" s="752">
        <v>45979</v>
      </c>
      <c r="J32" s="752">
        <v>45979</v>
      </c>
      <c r="K32" s="752">
        <v>45981</v>
      </c>
      <c r="L32" s="752">
        <v>45981</v>
      </c>
      <c r="M32" s="941" t="s">
        <v>631</v>
      </c>
      <c r="N32" s="1003">
        <v>45982</v>
      </c>
      <c r="O32" s="1045" t="s">
        <v>2861</v>
      </c>
      <c r="P32" s="1366">
        <v>25</v>
      </c>
      <c r="Q32" s="858"/>
    </row>
    <row r="33" spans="1:17" s="1039" customFormat="1" ht="45" customHeight="1">
      <c r="A33" s="750">
        <f t="shared" si="1"/>
        <v>27</v>
      </c>
      <c r="B33" s="751" t="s">
        <v>2963</v>
      </c>
      <c r="C33" s="750" t="s">
        <v>90</v>
      </c>
      <c r="D33" s="750" t="s">
        <v>1765</v>
      </c>
      <c r="E33" s="782"/>
      <c r="F33" s="752">
        <v>45973</v>
      </c>
      <c r="G33" s="752">
        <v>45980</v>
      </c>
      <c r="H33" s="752">
        <v>45982</v>
      </c>
      <c r="I33" s="752">
        <v>45982</v>
      </c>
      <c r="J33" s="752">
        <v>45984</v>
      </c>
      <c r="K33" s="752">
        <v>45985</v>
      </c>
      <c r="L33" s="752">
        <v>45985</v>
      </c>
      <c r="M33" s="941" t="s">
        <v>631</v>
      </c>
      <c r="N33" s="1003">
        <v>45992</v>
      </c>
      <c r="O33" s="1045" t="s">
        <v>2861</v>
      </c>
      <c r="P33" s="1367"/>
      <c r="Q33" s="858"/>
    </row>
    <row r="34" spans="1:17" s="1039" customFormat="1" ht="45" customHeight="1">
      <c r="A34" s="750">
        <f t="shared" si="1"/>
        <v>28</v>
      </c>
      <c r="B34" s="751" t="s">
        <v>3094</v>
      </c>
      <c r="C34" s="750" t="s">
        <v>76</v>
      </c>
      <c r="D34" s="750" t="s">
        <v>1765</v>
      </c>
      <c r="E34" s="782"/>
      <c r="F34" s="752">
        <v>45974</v>
      </c>
      <c r="G34" s="752">
        <v>45979</v>
      </c>
      <c r="H34" s="752">
        <v>45980</v>
      </c>
      <c r="I34" s="752">
        <v>45980</v>
      </c>
      <c r="J34" s="752">
        <v>45981</v>
      </c>
      <c r="K34" s="752">
        <v>45981</v>
      </c>
      <c r="L34" s="752">
        <v>45981</v>
      </c>
      <c r="M34" s="941" t="s">
        <v>631</v>
      </c>
      <c r="N34" s="1003">
        <v>45982</v>
      </c>
      <c r="O34" s="750" t="s">
        <v>2875</v>
      </c>
      <c r="P34" s="750">
        <v>11</v>
      </c>
      <c r="Q34" s="858"/>
    </row>
    <row r="35" spans="1:17" s="1039" customFormat="1" ht="45" customHeight="1">
      <c r="A35" s="750">
        <f t="shared" si="1"/>
        <v>29</v>
      </c>
      <c r="B35" s="751" t="s">
        <v>2201</v>
      </c>
      <c r="C35" s="750" t="s">
        <v>76</v>
      </c>
      <c r="D35" s="750" t="s">
        <v>1765</v>
      </c>
      <c r="E35" s="782"/>
      <c r="F35" s="752">
        <v>45975</v>
      </c>
      <c r="G35" s="752">
        <v>45976</v>
      </c>
      <c r="H35" s="752">
        <v>45976</v>
      </c>
      <c r="I35" s="752">
        <v>45977</v>
      </c>
      <c r="J35" s="752">
        <v>45977</v>
      </c>
      <c r="K35" s="752">
        <v>45979</v>
      </c>
      <c r="L35" s="752">
        <v>45979</v>
      </c>
      <c r="M35" s="941" t="s">
        <v>631</v>
      </c>
      <c r="N35" s="1003">
        <v>45980</v>
      </c>
      <c r="O35" s="750" t="s">
        <v>2830</v>
      </c>
      <c r="P35" s="750">
        <v>16</v>
      </c>
      <c r="Q35" s="858"/>
    </row>
    <row r="36" spans="1:17" s="1039" customFormat="1" ht="45" customHeight="1">
      <c r="A36" s="750">
        <f t="shared" si="1"/>
        <v>30</v>
      </c>
      <c r="B36" s="751" t="s">
        <v>2502</v>
      </c>
      <c r="C36" s="750" t="s">
        <v>62</v>
      </c>
      <c r="D36" s="750" t="s">
        <v>1765</v>
      </c>
      <c r="E36" s="782"/>
      <c r="F36" s="752">
        <v>45976</v>
      </c>
      <c r="G36" s="752">
        <v>45977</v>
      </c>
      <c r="H36" s="752">
        <v>45979</v>
      </c>
      <c r="I36" s="752">
        <v>45979</v>
      </c>
      <c r="J36" s="752">
        <v>45980</v>
      </c>
      <c r="K36" s="752">
        <v>45980</v>
      </c>
      <c r="L36" s="752">
        <v>45980</v>
      </c>
      <c r="M36" s="941" t="s">
        <v>631</v>
      </c>
      <c r="N36" s="1003">
        <v>45982</v>
      </c>
      <c r="O36" s="750" t="s">
        <v>3073</v>
      </c>
      <c r="P36" s="750">
        <v>16</v>
      </c>
      <c r="Q36" s="858"/>
    </row>
    <row r="37" spans="1:17" s="1039" customFormat="1" ht="45" customHeight="1">
      <c r="A37" s="750">
        <f t="shared" si="1"/>
        <v>31</v>
      </c>
      <c r="B37" s="751" t="s">
        <v>2996</v>
      </c>
      <c r="C37" s="1030" t="s">
        <v>915</v>
      </c>
      <c r="D37" s="750" t="s">
        <v>897</v>
      </c>
      <c r="E37" s="782"/>
      <c r="F37" s="752">
        <v>45977</v>
      </c>
      <c r="G37" s="752">
        <v>45988</v>
      </c>
      <c r="H37" s="752">
        <v>45989</v>
      </c>
      <c r="I37" s="752">
        <v>45989</v>
      </c>
      <c r="J37" s="752">
        <v>45989</v>
      </c>
      <c r="K37" s="752">
        <v>45991</v>
      </c>
      <c r="L37" s="752">
        <v>45991</v>
      </c>
      <c r="M37" s="941" t="s">
        <v>631</v>
      </c>
      <c r="N37" s="1003">
        <v>45992</v>
      </c>
      <c r="O37" s="750" t="s">
        <v>2837</v>
      </c>
      <c r="P37" s="750">
        <v>20</v>
      </c>
      <c r="Q37" s="858"/>
    </row>
    <row r="38" spans="1:17" s="1039" customFormat="1" ht="45" customHeight="1">
      <c r="A38" s="750">
        <f t="shared" si="1"/>
        <v>32</v>
      </c>
      <c r="B38" s="751" t="s">
        <v>2960</v>
      </c>
      <c r="C38" s="750" t="s">
        <v>1277</v>
      </c>
      <c r="D38" s="750" t="s">
        <v>1765</v>
      </c>
      <c r="E38" s="782"/>
      <c r="F38" s="752">
        <v>45978</v>
      </c>
      <c r="G38" s="752">
        <v>45988</v>
      </c>
      <c r="H38" s="752">
        <v>45988</v>
      </c>
      <c r="I38" s="752">
        <v>45988</v>
      </c>
      <c r="J38" s="752">
        <v>45989</v>
      </c>
      <c r="K38" s="752">
        <v>45990</v>
      </c>
      <c r="L38" s="752">
        <v>45990</v>
      </c>
      <c r="M38" s="941" t="s">
        <v>631</v>
      </c>
      <c r="N38" s="1003">
        <v>45992</v>
      </c>
      <c r="O38" s="750" t="s">
        <v>3107</v>
      </c>
      <c r="P38" s="750">
        <v>12</v>
      </c>
      <c r="Q38" s="858"/>
    </row>
    <row r="39" spans="1:17" s="1039" customFormat="1" ht="50">
      <c r="A39" s="750">
        <f t="shared" si="1"/>
        <v>33</v>
      </c>
      <c r="B39" s="751" t="s">
        <v>2927</v>
      </c>
      <c r="C39" s="750" t="s">
        <v>90</v>
      </c>
      <c r="D39" s="750" t="s">
        <v>1765</v>
      </c>
      <c r="E39" s="782"/>
      <c r="F39" s="752">
        <v>45979</v>
      </c>
      <c r="G39" s="752">
        <v>46001</v>
      </c>
      <c r="H39" s="752">
        <v>46002</v>
      </c>
      <c r="I39" s="752">
        <v>46002</v>
      </c>
      <c r="J39" s="752">
        <v>46002</v>
      </c>
      <c r="K39" s="752">
        <v>46004</v>
      </c>
      <c r="L39" s="752">
        <v>46004</v>
      </c>
      <c r="M39" s="941" t="s">
        <v>631</v>
      </c>
      <c r="N39" s="1003">
        <v>46005</v>
      </c>
      <c r="O39" s="750" t="s">
        <v>2830</v>
      </c>
      <c r="P39" s="750">
        <v>16</v>
      </c>
      <c r="Q39" s="858" t="s">
        <v>3206</v>
      </c>
    </row>
    <row r="40" spans="1:17" s="1039" customFormat="1" ht="45" customHeight="1">
      <c r="A40" s="750">
        <f t="shared" si="1"/>
        <v>34</v>
      </c>
      <c r="B40" s="751" t="s">
        <v>2501</v>
      </c>
      <c r="C40" s="750" t="s">
        <v>62</v>
      </c>
      <c r="D40" s="750" t="s">
        <v>1765</v>
      </c>
      <c r="E40" s="782"/>
      <c r="F40" s="752">
        <v>45980</v>
      </c>
      <c r="G40" s="752">
        <v>45982</v>
      </c>
      <c r="H40" s="752">
        <v>45983</v>
      </c>
      <c r="I40" s="752">
        <v>45984</v>
      </c>
      <c r="J40" s="752">
        <v>45984</v>
      </c>
      <c r="K40" s="752">
        <v>45985</v>
      </c>
      <c r="L40" s="752">
        <v>45985</v>
      </c>
      <c r="M40" s="941" t="s">
        <v>631</v>
      </c>
      <c r="N40" s="1003">
        <v>45987</v>
      </c>
      <c r="O40" s="750" t="s">
        <v>3073</v>
      </c>
      <c r="P40" s="750">
        <v>16</v>
      </c>
      <c r="Q40" s="858"/>
    </row>
    <row r="41" spans="1:17" s="1039" customFormat="1" ht="45" customHeight="1">
      <c r="A41" s="750">
        <f t="shared" si="1"/>
        <v>35</v>
      </c>
      <c r="B41" s="751" t="s">
        <v>2957</v>
      </c>
      <c r="C41" s="750" t="s">
        <v>1269</v>
      </c>
      <c r="D41" s="750" t="s">
        <v>1765</v>
      </c>
      <c r="E41" s="782"/>
      <c r="F41" s="752">
        <v>45981</v>
      </c>
      <c r="G41" s="752">
        <v>45985</v>
      </c>
      <c r="H41" s="752">
        <v>45986</v>
      </c>
      <c r="I41" s="752">
        <v>45986</v>
      </c>
      <c r="J41" s="752">
        <v>45987</v>
      </c>
      <c r="K41" s="752">
        <v>45988</v>
      </c>
      <c r="L41" s="752">
        <v>45988</v>
      </c>
      <c r="M41" s="941" t="s">
        <v>631</v>
      </c>
      <c r="N41" s="1003">
        <v>45996</v>
      </c>
      <c r="O41" s="750" t="s">
        <v>2843</v>
      </c>
      <c r="P41" s="750">
        <v>19</v>
      </c>
      <c r="Q41" s="858"/>
    </row>
    <row r="42" spans="1:17" s="1039" customFormat="1" ht="45" customHeight="1">
      <c r="A42" s="750">
        <f t="shared" si="1"/>
        <v>36</v>
      </c>
      <c r="B42" s="751" t="s">
        <v>3108</v>
      </c>
      <c r="C42" s="750" t="s">
        <v>62</v>
      </c>
      <c r="D42" s="750" t="s">
        <v>1765</v>
      </c>
      <c r="E42" s="782"/>
      <c r="F42" s="752">
        <v>45981</v>
      </c>
      <c r="G42" s="752">
        <v>45984</v>
      </c>
      <c r="H42" s="752">
        <v>45986</v>
      </c>
      <c r="I42" s="752">
        <v>45986</v>
      </c>
      <c r="J42" s="752">
        <v>45987</v>
      </c>
      <c r="K42" s="752">
        <v>45987</v>
      </c>
      <c r="L42" s="752">
        <v>45987</v>
      </c>
      <c r="M42" s="941" t="s">
        <v>631</v>
      </c>
      <c r="N42" s="1003">
        <v>45987</v>
      </c>
      <c r="O42" s="750" t="s">
        <v>2861</v>
      </c>
      <c r="P42" s="750">
        <v>12</v>
      </c>
      <c r="Q42" s="858"/>
    </row>
    <row r="43" spans="1:17" s="1039" customFormat="1" ht="45" customHeight="1">
      <c r="A43" s="750">
        <f t="shared" si="1"/>
        <v>37</v>
      </c>
      <c r="B43" s="751" t="s">
        <v>3109</v>
      </c>
      <c r="C43" s="750" t="s">
        <v>76</v>
      </c>
      <c r="D43" s="750" t="s">
        <v>1765</v>
      </c>
      <c r="E43" s="782"/>
      <c r="F43" s="752">
        <v>45983</v>
      </c>
      <c r="G43" s="752">
        <v>45987</v>
      </c>
      <c r="H43" s="752">
        <v>45988</v>
      </c>
      <c r="I43" s="752">
        <v>45988</v>
      </c>
      <c r="J43" s="752">
        <v>45989</v>
      </c>
      <c r="K43" s="752">
        <v>45989</v>
      </c>
      <c r="L43" s="752">
        <v>45989</v>
      </c>
      <c r="M43" s="941" t="s">
        <v>631</v>
      </c>
      <c r="N43" s="1003">
        <v>45989</v>
      </c>
      <c r="O43" s="750" t="s">
        <v>2875</v>
      </c>
      <c r="P43" s="750">
        <v>11</v>
      </c>
      <c r="Q43" s="858"/>
    </row>
    <row r="44" spans="1:17" s="1039" customFormat="1" ht="45" customHeight="1">
      <c r="A44" s="750">
        <f t="shared" si="1"/>
        <v>38</v>
      </c>
      <c r="B44" s="751" t="s">
        <v>2503</v>
      </c>
      <c r="C44" s="750" t="s">
        <v>76</v>
      </c>
      <c r="D44" s="750" t="s">
        <v>1765</v>
      </c>
      <c r="E44" s="782"/>
      <c r="F44" s="752">
        <v>45983</v>
      </c>
      <c r="G44" s="752">
        <v>45988</v>
      </c>
      <c r="H44" s="752">
        <v>45989</v>
      </c>
      <c r="I44" s="752">
        <v>45989</v>
      </c>
      <c r="J44" s="752">
        <v>45990</v>
      </c>
      <c r="K44" s="752">
        <v>45991</v>
      </c>
      <c r="L44" s="752">
        <v>45991</v>
      </c>
      <c r="M44" s="941" t="s">
        <v>631</v>
      </c>
      <c r="N44" s="1003">
        <v>45992</v>
      </c>
      <c r="O44" s="750" t="s">
        <v>3073</v>
      </c>
      <c r="P44" s="750">
        <v>16</v>
      </c>
      <c r="Q44" s="858"/>
    </row>
    <row r="45" spans="1:17" s="1039" customFormat="1" ht="45" customHeight="1">
      <c r="A45" s="750">
        <f t="shared" si="1"/>
        <v>39</v>
      </c>
      <c r="B45" s="751" t="s">
        <v>2946</v>
      </c>
      <c r="C45" s="750" t="s">
        <v>1977</v>
      </c>
      <c r="D45" s="750" t="s">
        <v>2736</v>
      </c>
      <c r="E45" s="782"/>
      <c r="F45" s="752">
        <v>45982</v>
      </c>
      <c r="G45" s="752">
        <v>45988</v>
      </c>
      <c r="H45" s="752">
        <v>45990</v>
      </c>
      <c r="I45" s="752">
        <v>45990</v>
      </c>
      <c r="J45" s="752">
        <v>45990</v>
      </c>
      <c r="K45" s="752">
        <v>45991</v>
      </c>
      <c r="L45" s="752">
        <v>45991</v>
      </c>
      <c r="M45" s="941" t="s">
        <v>631</v>
      </c>
      <c r="N45" s="1003">
        <v>45994</v>
      </c>
      <c r="O45" s="750" t="s">
        <v>2725</v>
      </c>
      <c r="P45" s="750">
        <v>25</v>
      </c>
      <c r="Q45" s="858"/>
    </row>
    <row r="46" spans="1:17" s="1039" customFormat="1" ht="45" customHeight="1">
      <c r="A46" s="750">
        <f t="shared" si="1"/>
        <v>40</v>
      </c>
      <c r="B46" s="751" t="s">
        <v>2965</v>
      </c>
      <c r="C46" s="750" t="s">
        <v>1269</v>
      </c>
      <c r="D46" s="750" t="s">
        <v>1765</v>
      </c>
      <c r="E46" s="782"/>
      <c r="F46" s="752">
        <v>45984</v>
      </c>
      <c r="G46" s="752">
        <v>45987</v>
      </c>
      <c r="H46" s="752">
        <v>45988</v>
      </c>
      <c r="I46" s="752">
        <v>45989</v>
      </c>
      <c r="J46" s="752">
        <v>45989</v>
      </c>
      <c r="K46" s="752">
        <v>45991</v>
      </c>
      <c r="L46" s="752">
        <v>45991</v>
      </c>
      <c r="M46" s="941" t="s">
        <v>631</v>
      </c>
      <c r="N46" s="1003">
        <v>46001</v>
      </c>
      <c r="O46" s="750" t="s">
        <v>2861</v>
      </c>
      <c r="P46" s="750">
        <v>15</v>
      </c>
      <c r="Q46" s="858"/>
    </row>
    <row r="47" spans="1:17" s="1039" customFormat="1" ht="45" customHeight="1">
      <c r="A47" s="750">
        <f t="shared" si="1"/>
        <v>41</v>
      </c>
      <c r="B47" s="751" t="s">
        <v>2924</v>
      </c>
      <c r="C47" s="750" t="s">
        <v>1977</v>
      </c>
      <c r="D47" s="750" t="s">
        <v>897</v>
      </c>
      <c r="E47" s="782"/>
      <c r="F47" s="752">
        <v>45986</v>
      </c>
      <c r="G47" s="752">
        <v>45989</v>
      </c>
      <c r="H47" s="752">
        <v>45990</v>
      </c>
      <c r="I47" s="752">
        <v>45990</v>
      </c>
      <c r="J47" s="752">
        <v>45990</v>
      </c>
      <c r="K47" s="752">
        <v>45992</v>
      </c>
      <c r="L47" s="752">
        <v>45992</v>
      </c>
      <c r="M47" s="941" t="s">
        <v>631</v>
      </c>
      <c r="N47" s="1003">
        <v>45992</v>
      </c>
      <c r="O47" s="750" t="s">
        <v>2830</v>
      </c>
      <c r="P47" s="750">
        <v>16</v>
      </c>
      <c r="Q47" s="858"/>
    </row>
    <row r="48" spans="1:17" s="1039" customFormat="1" ht="37" customHeight="1">
      <c r="A48" s="750">
        <f t="shared" si="1"/>
        <v>42</v>
      </c>
      <c r="B48" s="751" t="s">
        <v>2222</v>
      </c>
      <c r="C48" s="750" t="s">
        <v>62</v>
      </c>
      <c r="D48" s="750" t="s">
        <v>1765</v>
      </c>
      <c r="E48" s="782"/>
      <c r="F48" s="752">
        <v>45987</v>
      </c>
      <c r="G48" s="752">
        <v>45993</v>
      </c>
      <c r="H48" s="752">
        <v>45994</v>
      </c>
      <c r="I48" s="752">
        <v>45994</v>
      </c>
      <c r="J48" s="752">
        <v>45995</v>
      </c>
      <c r="K48" s="752">
        <v>45996</v>
      </c>
      <c r="L48" s="752">
        <v>45996</v>
      </c>
      <c r="M48" s="941" t="s">
        <v>631</v>
      </c>
      <c r="N48" s="1003">
        <v>45999</v>
      </c>
      <c r="O48" s="750" t="s">
        <v>2725</v>
      </c>
      <c r="P48" s="750">
        <v>25</v>
      </c>
      <c r="Q48" s="858"/>
    </row>
    <row r="49" spans="1:17" s="1039" customFormat="1" ht="45" customHeight="1">
      <c r="A49" s="750">
        <f t="shared" si="1"/>
        <v>43</v>
      </c>
      <c r="B49" s="751" t="s">
        <v>2967</v>
      </c>
      <c r="C49" s="750" t="s">
        <v>1361</v>
      </c>
      <c r="D49" s="750" t="s">
        <v>1765</v>
      </c>
      <c r="E49" s="782"/>
      <c r="F49" s="752">
        <v>45987</v>
      </c>
      <c r="G49" s="752">
        <v>45994</v>
      </c>
      <c r="H49" s="752">
        <v>45996</v>
      </c>
      <c r="I49" s="752">
        <v>45996</v>
      </c>
      <c r="J49" s="752">
        <v>45997</v>
      </c>
      <c r="K49" s="752">
        <v>45998</v>
      </c>
      <c r="L49" s="752">
        <v>45998</v>
      </c>
      <c r="M49" s="941" t="s">
        <v>631</v>
      </c>
      <c r="N49" s="1003">
        <v>46001</v>
      </c>
      <c r="O49" s="750" t="s">
        <v>2861</v>
      </c>
      <c r="P49" s="750">
        <v>13</v>
      </c>
      <c r="Q49" s="858"/>
    </row>
    <row r="50" spans="1:17" s="1039" customFormat="1" ht="45" customHeight="1">
      <c r="A50" s="750">
        <f t="shared" si="1"/>
        <v>44</v>
      </c>
      <c r="B50" s="751" t="s">
        <v>2997</v>
      </c>
      <c r="C50" s="750" t="s">
        <v>1269</v>
      </c>
      <c r="D50" s="750" t="s">
        <v>1765</v>
      </c>
      <c r="E50" s="782"/>
      <c r="F50" s="752">
        <v>45990</v>
      </c>
      <c r="G50" s="752">
        <v>45995</v>
      </c>
      <c r="H50" s="752">
        <v>45996</v>
      </c>
      <c r="I50" s="752">
        <v>45997</v>
      </c>
      <c r="J50" s="752">
        <v>45997</v>
      </c>
      <c r="K50" s="752">
        <v>111743</v>
      </c>
      <c r="L50" s="752">
        <v>46000</v>
      </c>
      <c r="M50" s="941" t="s">
        <v>631</v>
      </c>
      <c r="N50" s="1003">
        <v>46000</v>
      </c>
      <c r="O50" s="750" t="s">
        <v>2837</v>
      </c>
      <c r="P50" s="750">
        <v>20</v>
      </c>
      <c r="Q50" s="858"/>
    </row>
    <row r="51" spans="1:17" s="1039" customFormat="1" ht="45" customHeight="1">
      <c r="A51" s="750">
        <f t="shared" si="1"/>
        <v>45</v>
      </c>
      <c r="B51" s="751" t="s">
        <v>2958</v>
      </c>
      <c r="C51" s="750" t="s">
        <v>1361</v>
      </c>
      <c r="D51" s="750" t="s">
        <v>1765</v>
      </c>
      <c r="E51" s="782"/>
      <c r="F51" s="752">
        <v>45990</v>
      </c>
      <c r="G51" s="752">
        <v>45996</v>
      </c>
      <c r="H51" s="752">
        <v>45996</v>
      </c>
      <c r="I51" s="752">
        <v>45997</v>
      </c>
      <c r="J51" s="752">
        <v>45997</v>
      </c>
      <c r="K51" s="752">
        <v>45998</v>
      </c>
      <c r="L51" s="752">
        <v>45998</v>
      </c>
      <c r="M51" s="941" t="s">
        <v>631</v>
      </c>
      <c r="N51" s="1003">
        <v>45998</v>
      </c>
      <c r="O51" s="750" t="s">
        <v>2843</v>
      </c>
      <c r="P51" s="750">
        <v>19</v>
      </c>
      <c r="Q51" s="858"/>
    </row>
    <row r="52" spans="1:17" s="1039" customFormat="1" ht="45" customHeight="1">
      <c r="A52" s="750">
        <f t="shared" si="1"/>
        <v>46</v>
      </c>
      <c r="B52" s="751" t="s">
        <v>3134</v>
      </c>
      <c r="C52" s="750" t="s">
        <v>62</v>
      </c>
      <c r="D52" s="750" t="s">
        <v>1765</v>
      </c>
      <c r="E52" s="782"/>
      <c r="F52" s="752">
        <v>45991</v>
      </c>
      <c r="G52" s="752">
        <v>45994</v>
      </c>
      <c r="H52" s="752">
        <v>45994</v>
      </c>
      <c r="I52" s="752">
        <v>45994</v>
      </c>
      <c r="J52" s="752">
        <v>45995</v>
      </c>
      <c r="K52" s="752">
        <v>45995</v>
      </c>
      <c r="L52" s="752">
        <v>45995</v>
      </c>
      <c r="M52" s="941" t="s">
        <v>631</v>
      </c>
      <c r="N52" s="1003">
        <v>45996</v>
      </c>
      <c r="O52" s="750" t="s">
        <v>3107</v>
      </c>
      <c r="P52" s="750">
        <v>12</v>
      </c>
      <c r="Q52" s="858"/>
    </row>
    <row r="53" spans="1:17" s="1039" customFormat="1" ht="45" customHeight="1">
      <c r="A53" s="750">
        <f t="shared" si="1"/>
        <v>47</v>
      </c>
      <c r="B53" s="751" t="s">
        <v>2974</v>
      </c>
      <c r="C53" s="750" t="s">
        <v>1319</v>
      </c>
      <c r="D53" s="750" t="s">
        <v>1765</v>
      </c>
      <c r="E53" s="1052"/>
      <c r="F53" s="752">
        <v>45993</v>
      </c>
      <c r="G53" s="752">
        <v>46006</v>
      </c>
      <c r="H53" s="752">
        <v>46007</v>
      </c>
      <c r="I53" s="752">
        <v>46007</v>
      </c>
      <c r="J53" s="752">
        <v>46008</v>
      </c>
      <c r="K53" s="752">
        <v>46009</v>
      </c>
      <c r="L53" s="752">
        <v>46009</v>
      </c>
      <c r="M53" s="941" t="s">
        <v>631</v>
      </c>
      <c r="N53" s="1003">
        <v>46003</v>
      </c>
      <c r="O53" s="750" t="s">
        <v>2875</v>
      </c>
      <c r="P53" s="750">
        <v>11</v>
      </c>
      <c r="Q53" s="858"/>
    </row>
    <row r="54" spans="1:17" s="1039" customFormat="1" ht="45" customHeight="1">
      <c r="A54" s="750">
        <f t="shared" si="1"/>
        <v>48</v>
      </c>
      <c r="B54" s="751" t="s">
        <v>3135</v>
      </c>
      <c r="C54" s="750" t="s">
        <v>249</v>
      </c>
      <c r="D54" s="750" t="s">
        <v>1765</v>
      </c>
      <c r="E54" s="782"/>
      <c r="F54" s="752">
        <v>45992</v>
      </c>
      <c r="G54" s="752">
        <v>45994</v>
      </c>
      <c r="H54" s="752">
        <v>45996</v>
      </c>
      <c r="I54" s="752" t="s">
        <v>3138</v>
      </c>
      <c r="J54" s="752">
        <v>45996</v>
      </c>
      <c r="K54" s="752">
        <v>45997</v>
      </c>
      <c r="L54" s="752">
        <v>45997</v>
      </c>
      <c r="M54" s="941" t="s">
        <v>631</v>
      </c>
      <c r="N54" s="1003">
        <v>46002</v>
      </c>
      <c r="O54" s="750" t="s">
        <v>2861</v>
      </c>
      <c r="P54" s="750">
        <v>12</v>
      </c>
      <c r="Q54" s="858"/>
    </row>
    <row r="55" spans="1:17" s="1039" customFormat="1" ht="40.5" customHeight="1">
      <c r="A55" s="750">
        <f t="shared" si="1"/>
        <v>49</v>
      </c>
      <c r="B55" s="751" t="s">
        <v>2221</v>
      </c>
      <c r="C55" s="750" t="s">
        <v>76</v>
      </c>
      <c r="D55" s="750" t="s">
        <v>1765</v>
      </c>
      <c r="E55" s="782"/>
      <c r="F55" s="752">
        <v>45994</v>
      </c>
      <c r="G55" s="752">
        <v>45996</v>
      </c>
      <c r="H55" s="752">
        <v>45999</v>
      </c>
      <c r="I55" s="752">
        <v>46000</v>
      </c>
      <c r="J55" s="752">
        <v>46000</v>
      </c>
      <c r="K55" s="752">
        <v>46001</v>
      </c>
      <c r="L55" s="752">
        <v>46001</v>
      </c>
      <c r="M55" s="941" t="s">
        <v>631</v>
      </c>
      <c r="N55" s="1003">
        <v>46002</v>
      </c>
      <c r="O55" s="750" t="s">
        <v>2725</v>
      </c>
      <c r="P55" s="750">
        <v>25</v>
      </c>
      <c r="Q55" s="858"/>
    </row>
    <row r="56" spans="1:17" s="1039" customFormat="1" ht="45" customHeight="1">
      <c r="A56" s="750">
        <f t="shared" si="1"/>
        <v>50</v>
      </c>
      <c r="B56" s="751" t="s">
        <v>2203</v>
      </c>
      <c r="C56" s="750" t="s">
        <v>62</v>
      </c>
      <c r="D56" s="750" t="s">
        <v>1765</v>
      </c>
      <c r="E56" s="782"/>
      <c r="F56" s="752">
        <v>45994</v>
      </c>
      <c r="G56" s="752">
        <v>45994</v>
      </c>
      <c r="H56" s="752">
        <v>45994</v>
      </c>
      <c r="I56" s="752">
        <v>45994</v>
      </c>
      <c r="J56" s="752">
        <v>45995</v>
      </c>
      <c r="K56" s="752">
        <v>45997</v>
      </c>
      <c r="L56" s="752">
        <v>45997</v>
      </c>
      <c r="M56" s="941" t="s">
        <v>631</v>
      </c>
      <c r="N56" s="1003">
        <v>45998</v>
      </c>
      <c r="O56" s="750" t="s">
        <v>2830</v>
      </c>
      <c r="P56" s="750">
        <v>16</v>
      </c>
      <c r="Q56" s="858"/>
    </row>
    <row r="57" spans="1:17" s="1039" customFormat="1" ht="45" customHeight="1">
      <c r="A57" s="750">
        <f t="shared" si="1"/>
        <v>51</v>
      </c>
      <c r="B57" s="751" t="s">
        <v>2207</v>
      </c>
      <c r="C57" s="750" t="s">
        <v>1269</v>
      </c>
      <c r="D57" s="750" t="s">
        <v>1765</v>
      </c>
      <c r="E57" s="782"/>
      <c r="F57" s="752">
        <v>45996</v>
      </c>
      <c r="G57" s="752">
        <v>45996</v>
      </c>
      <c r="H57" s="752">
        <v>45996</v>
      </c>
      <c r="I57" s="752">
        <v>45997</v>
      </c>
      <c r="J57" s="752">
        <v>45998</v>
      </c>
      <c r="K57" s="752">
        <v>46001</v>
      </c>
      <c r="L57" s="752">
        <v>46001</v>
      </c>
      <c r="M57" s="941" t="s">
        <v>631</v>
      </c>
      <c r="N57" s="1003">
        <v>46003</v>
      </c>
      <c r="O57" s="750" t="s">
        <v>2830</v>
      </c>
      <c r="P57" s="750">
        <v>16</v>
      </c>
      <c r="Q57" s="858"/>
    </row>
    <row r="58" spans="1:17" s="1039" customFormat="1" ht="45" customHeight="1">
      <c r="A58" s="750">
        <f t="shared" si="1"/>
        <v>52</v>
      </c>
      <c r="B58" s="751" t="s">
        <v>2387</v>
      </c>
      <c r="C58" s="750" t="s">
        <v>1935</v>
      </c>
      <c r="D58" s="750" t="s">
        <v>1765</v>
      </c>
      <c r="E58" s="782"/>
      <c r="F58" s="752">
        <v>45996</v>
      </c>
      <c r="G58" s="752">
        <v>46002</v>
      </c>
      <c r="H58" s="752">
        <v>46003</v>
      </c>
      <c r="I58" s="752">
        <v>46003</v>
      </c>
      <c r="J58" s="752">
        <v>46004</v>
      </c>
      <c r="K58" s="752">
        <v>46006</v>
      </c>
      <c r="L58" s="752">
        <v>46006</v>
      </c>
      <c r="M58" s="941" t="s">
        <v>631</v>
      </c>
      <c r="N58" s="1003">
        <v>46008</v>
      </c>
      <c r="O58" s="750" t="s">
        <v>2861</v>
      </c>
      <c r="P58" s="750">
        <v>25</v>
      </c>
      <c r="Q58" s="858"/>
    </row>
    <row r="59" spans="1:17" s="1039" customFormat="1" ht="45" customHeight="1">
      <c r="A59" s="750">
        <f t="shared" si="1"/>
        <v>53</v>
      </c>
      <c r="B59" s="751" t="s">
        <v>2976</v>
      </c>
      <c r="C59" s="750" t="s">
        <v>1269</v>
      </c>
      <c r="D59" s="750" t="s">
        <v>1765</v>
      </c>
      <c r="E59" s="782"/>
      <c r="F59" s="752">
        <v>45996</v>
      </c>
      <c r="G59" s="752">
        <v>46002</v>
      </c>
      <c r="H59" s="752">
        <v>46002</v>
      </c>
      <c r="I59" s="752">
        <v>46003</v>
      </c>
      <c r="J59" s="752">
        <v>46003</v>
      </c>
      <c r="K59" s="752">
        <v>46004</v>
      </c>
      <c r="L59" s="752">
        <v>46004</v>
      </c>
      <c r="M59" s="941" t="s">
        <v>631</v>
      </c>
      <c r="N59" s="1003">
        <v>46006</v>
      </c>
      <c r="O59" s="750" t="s">
        <v>3107</v>
      </c>
      <c r="P59" s="750">
        <v>12</v>
      </c>
      <c r="Q59" s="858"/>
    </row>
    <row r="60" spans="1:17" s="1039" customFormat="1" ht="45" customHeight="1">
      <c r="A60" s="750">
        <f t="shared" si="1"/>
        <v>54</v>
      </c>
      <c r="B60" s="751" t="s">
        <v>3008</v>
      </c>
      <c r="C60" s="750" t="s">
        <v>90</v>
      </c>
      <c r="D60" s="750" t="s">
        <v>1765</v>
      </c>
      <c r="E60" s="782"/>
      <c r="F60" s="752">
        <v>45996</v>
      </c>
      <c r="G60" s="752">
        <v>45998</v>
      </c>
      <c r="H60" s="752">
        <v>46000</v>
      </c>
      <c r="I60" s="752">
        <v>46000</v>
      </c>
      <c r="J60" s="752">
        <v>46003</v>
      </c>
      <c r="K60" s="752">
        <v>46007</v>
      </c>
      <c r="L60" s="752">
        <v>46007</v>
      </c>
      <c r="M60" s="941" t="s">
        <v>631</v>
      </c>
      <c r="N60" s="1003">
        <v>46011</v>
      </c>
      <c r="O60" s="750" t="s">
        <v>3139</v>
      </c>
      <c r="P60" s="1045">
        <v>40</v>
      </c>
      <c r="Q60" s="858"/>
    </row>
    <row r="61" spans="1:17" s="1039" customFormat="1" ht="50">
      <c r="A61" s="750">
        <f t="shared" si="1"/>
        <v>55</v>
      </c>
      <c r="B61" s="751" t="s">
        <v>2515</v>
      </c>
      <c r="C61" s="750" t="s">
        <v>53</v>
      </c>
      <c r="D61" s="750" t="s">
        <v>1765</v>
      </c>
      <c r="E61" s="782"/>
      <c r="F61" s="752">
        <v>45998</v>
      </c>
      <c r="G61" s="752">
        <v>46000</v>
      </c>
      <c r="H61" s="752">
        <v>46002</v>
      </c>
      <c r="I61" s="752">
        <v>46003</v>
      </c>
      <c r="J61" s="752">
        <v>46005</v>
      </c>
      <c r="K61" s="752">
        <v>46020</v>
      </c>
      <c r="L61" s="752">
        <v>46020</v>
      </c>
      <c r="M61" s="941" t="s">
        <v>631</v>
      </c>
      <c r="N61" s="1003">
        <v>46025</v>
      </c>
      <c r="O61" s="750" t="s">
        <v>3139</v>
      </c>
      <c r="P61" s="1045">
        <v>40</v>
      </c>
      <c r="Q61" s="858" t="s">
        <v>3241</v>
      </c>
    </row>
    <row r="62" spans="1:17" s="1039" customFormat="1" ht="45" customHeight="1">
      <c r="A62" s="750">
        <f t="shared" si="1"/>
        <v>56</v>
      </c>
      <c r="B62" s="751" t="s">
        <v>3140</v>
      </c>
      <c r="C62" s="750" t="s">
        <v>249</v>
      </c>
      <c r="D62" s="750" t="s">
        <v>1765</v>
      </c>
      <c r="E62" s="782"/>
      <c r="F62" s="752">
        <v>45997</v>
      </c>
      <c r="G62" s="752">
        <v>46003</v>
      </c>
      <c r="H62" s="752">
        <v>46005</v>
      </c>
      <c r="I62" s="752">
        <v>46005</v>
      </c>
      <c r="J62" s="752">
        <v>46006</v>
      </c>
      <c r="K62" s="752">
        <v>46007</v>
      </c>
      <c r="L62" s="752">
        <v>46007</v>
      </c>
      <c r="M62" s="941" t="s">
        <v>631</v>
      </c>
      <c r="N62" s="1003">
        <v>46012</v>
      </c>
      <c r="O62" s="750" t="s">
        <v>2725</v>
      </c>
      <c r="P62" s="750">
        <v>25</v>
      </c>
      <c r="Q62" s="858"/>
    </row>
    <row r="63" spans="1:17" s="1039" customFormat="1" ht="45" customHeight="1">
      <c r="A63" s="750">
        <f t="shared" si="1"/>
        <v>57</v>
      </c>
      <c r="B63" s="751" t="s">
        <v>3197</v>
      </c>
      <c r="C63" s="750" t="s">
        <v>76</v>
      </c>
      <c r="D63" s="750" t="s">
        <v>1765</v>
      </c>
      <c r="E63" s="947"/>
      <c r="F63" s="752">
        <v>46001</v>
      </c>
      <c r="G63" s="752">
        <v>46005</v>
      </c>
      <c r="H63" s="752">
        <v>46007</v>
      </c>
      <c r="I63" s="752">
        <v>46007</v>
      </c>
      <c r="J63" s="752">
        <v>46007</v>
      </c>
      <c r="K63" s="752">
        <v>46008</v>
      </c>
      <c r="L63" s="752">
        <v>46008</v>
      </c>
      <c r="M63" s="941" t="s">
        <v>631</v>
      </c>
      <c r="N63" s="1003">
        <v>46013</v>
      </c>
      <c r="O63" s="750" t="s">
        <v>2861</v>
      </c>
      <c r="P63" s="750">
        <v>25</v>
      </c>
      <c r="Q63" s="858"/>
    </row>
    <row r="64" spans="1:17" s="1039" customFormat="1" ht="45" customHeight="1">
      <c r="A64" s="750">
        <f t="shared" si="1"/>
        <v>58</v>
      </c>
      <c r="B64" s="751" t="s">
        <v>2519</v>
      </c>
      <c r="C64" s="750" t="s">
        <v>62</v>
      </c>
      <c r="D64" s="750" t="s">
        <v>1765</v>
      </c>
      <c r="E64" s="782"/>
      <c r="F64" s="752">
        <v>46002</v>
      </c>
      <c r="G64" s="752">
        <v>46003</v>
      </c>
      <c r="H64" s="752">
        <v>46006</v>
      </c>
      <c r="I64" s="752">
        <v>46006</v>
      </c>
      <c r="J64" s="752">
        <v>46008</v>
      </c>
      <c r="K64" s="752">
        <v>46010</v>
      </c>
      <c r="L64" s="752">
        <v>46010</v>
      </c>
      <c r="M64" s="941" t="s">
        <v>631</v>
      </c>
      <c r="N64" s="1003">
        <v>46015</v>
      </c>
      <c r="O64" s="750" t="s">
        <v>3139</v>
      </c>
      <c r="P64" s="750">
        <v>40</v>
      </c>
      <c r="Q64" s="858"/>
    </row>
    <row r="65" spans="1:17" s="1039" customFormat="1" ht="45" customHeight="1">
      <c r="A65" s="1047">
        <f t="shared" ref="A65:A139" si="2">A64+1</f>
        <v>59</v>
      </c>
      <c r="B65" s="1048" t="s">
        <v>3118</v>
      </c>
      <c r="C65" s="1047" t="s">
        <v>76</v>
      </c>
      <c r="D65" s="1047" t="s">
        <v>1765</v>
      </c>
      <c r="E65" s="947"/>
      <c r="F65" s="1049">
        <v>46003</v>
      </c>
      <c r="G65" s="1049">
        <v>46006</v>
      </c>
      <c r="H65" s="1049">
        <v>46006</v>
      </c>
      <c r="I65" s="1049">
        <v>46006</v>
      </c>
      <c r="J65" s="1049">
        <v>46006</v>
      </c>
      <c r="K65" s="1049">
        <v>46008</v>
      </c>
      <c r="L65" s="1049">
        <v>46008</v>
      </c>
      <c r="M65" s="1050" t="s">
        <v>631</v>
      </c>
      <c r="N65" s="1003">
        <v>46011</v>
      </c>
      <c r="O65" s="1047" t="s">
        <v>2843</v>
      </c>
      <c r="P65" s="1047">
        <v>20</v>
      </c>
      <c r="Q65" s="1051"/>
    </row>
    <row r="66" spans="1:17" s="1039" customFormat="1" ht="36.5" customHeight="1">
      <c r="A66" s="750">
        <f t="shared" si="2"/>
        <v>60</v>
      </c>
      <c r="B66" s="751" t="s">
        <v>2942</v>
      </c>
      <c r="C66" s="750" t="s">
        <v>1269</v>
      </c>
      <c r="D66" s="750" t="s">
        <v>1765</v>
      </c>
      <c r="E66" s="782"/>
      <c r="F66" s="752">
        <v>46003</v>
      </c>
      <c r="G66" s="752">
        <v>46009</v>
      </c>
      <c r="H66" s="752">
        <v>46011</v>
      </c>
      <c r="I66" s="752">
        <v>46011</v>
      </c>
      <c r="J66" s="752">
        <v>46014</v>
      </c>
      <c r="K66" s="752">
        <v>46015</v>
      </c>
      <c r="L66" s="752">
        <v>46015</v>
      </c>
      <c r="M66" s="941" t="s">
        <v>631</v>
      </c>
      <c r="N66" s="1003">
        <v>46017</v>
      </c>
      <c r="O66" s="750" t="s">
        <v>2725</v>
      </c>
      <c r="P66" s="750">
        <v>25</v>
      </c>
      <c r="Q66" s="858"/>
    </row>
    <row r="67" spans="1:17" s="1039" customFormat="1" ht="45" customHeight="1">
      <c r="A67" s="750">
        <f t="shared" si="2"/>
        <v>61</v>
      </c>
      <c r="B67" s="751" t="s">
        <v>2516</v>
      </c>
      <c r="C67" s="750" t="s">
        <v>62</v>
      </c>
      <c r="D67" s="750" t="s">
        <v>1765</v>
      </c>
      <c r="E67" s="782"/>
      <c r="F67" s="752">
        <v>46004</v>
      </c>
      <c r="G67" s="752">
        <v>46005</v>
      </c>
      <c r="H67" s="752">
        <v>46007</v>
      </c>
      <c r="I67" s="752">
        <v>46008</v>
      </c>
      <c r="J67" s="752">
        <v>46009</v>
      </c>
      <c r="K67" s="752">
        <v>46012</v>
      </c>
      <c r="L67" s="752">
        <v>46012</v>
      </c>
      <c r="M67" s="941" t="s">
        <v>631</v>
      </c>
      <c r="N67" s="1003">
        <v>46016</v>
      </c>
      <c r="O67" s="750" t="s">
        <v>3139</v>
      </c>
      <c r="P67" s="750">
        <v>40</v>
      </c>
      <c r="Q67" s="858"/>
    </row>
    <row r="68" spans="1:17" s="1039" customFormat="1" ht="45" customHeight="1">
      <c r="A68" s="750">
        <f t="shared" si="2"/>
        <v>62</v>
      </c>
      <c r="B68" s="751" t="s">
        <v>2206</v>
      </c>
      <c r="C68" s="750" t="s">
        <v>62</v>
      </c>
      <c r="D68" s="750" t="s">
        <v>1765</v>
      </c>
      <c r="E68" s="782"/>
      <c r="F68" s="752">
        <v>46004</v>
      </c>
      <c r="G68" s="752">
        <v>46005</v>
      </c>
      <c r="H68" s="752">
        <v>46005</v>
      </c>
      <c r="I68" s="752">
        <v>46005</v>
      </c>
      <c r="J68" s="752">
        <v>46006</v>
      </c>
      <c r="K68" s="752">
        <v>46007</v>
      </c>
      <c r="L68" s="752">
        <v>46007</v>
      </c>
      <c r="M68" s="941" t="s">
        <v>631</v>
      </c>
      <c r="N68" s="1003">
        <v>46009</v>
      </c>
      <c r="O68" s="750" t="s">
        <v>2830</v>
      </c>
      <c r="P68" s="750">
        <v>16</v>
      </c>
      <c r="Q68" s="858"/>
    </row>
    <row r="69" spans="1:17" s="1039" customFormat="1" ht="45" customHeight="1">
      <c r="A69" s="750">
        <f t="shared" si="2"/>
        <v>63</v>
      </c>
      <c r="B69" s="751" t="s">
        <v>2973</v>
      </c>
      <c r="C69" s="750" t="s">
        <v>53</v>
      </c>
      <c r="D69" s="750" t="s">
        <v>1765</v>
      </c>
      <c r="E69" s="782"/>
      <c r="F69" s="752">
        <v>46005</v>
      </c>
      <c r="G69" s="752">
        <v>46008</v>
      </c>
      <c r="H69" s="752">
        <v>46008</v>
      </c>
      <c r="I69" s="752">
        <v>46008</v>
      </c>
      <c r="J69" s="752">
        <v>46008</v>
      </c>
      <c r="K69" s="752">
        <v>46009</v>
      </c>
      <c r="L69" s="752">
        <v>46009</v>
      </c>
      <c r="M69" s="941" t="s">
        <v>631</v>
      </c>
      <c r="N69" s="1003">
        <v>46009</v>
      </c>
      <c r="O69" s="750" t="s">
        <v>3107</v>
      </c>
      <c r="P69" s="750">
        <v>12</v>
      </c>
      <c r="Q69" s="858"/>
    </row>
    <row r="70" spans="1:17" s="1039" customFormat="1" ht="45" customHeight="1">
      <c r="A70" s="750">
        <f t="shared" si="2"/>
        <v>64</v>
      </c>
      <c r="B70" s="751" t="s">
        <v>3117</v>
      </c>
      <c r="C70" s="750" t="s">
        <v>76</v>
      </c>
      <c r="D70" s="750" t="s">
        <v>1765</v>
      </c>
      <c r="E70" s="782"/>
      <c r="F70" s="752">
        <v>46007</v>
      </c>
      <c r="G70" s="752">
        <v>46008</v>
      </c>
      <c r="H70" s="752">
        <v>46009</v>
      </c>
      <c r="I70" s="752">
        <v>46010</v>
      </c>
      <c r="J70" s="752">
        <v>46010</v>
      </c>
      <c r="K70" s="752">
        <v>46011</v>
      </c>
      <c r="L70" s="752">
        <v>46011</v>
      </c>
      <c r="M70" s="941" t="s">
        <v>631</v>
      </c>
      <c r="N70" s="1003">
        <v>46011</v>
      </c>
      <c r="O70" s="750" t="s">
        <v>2843</v>
      </c>
      <c r="P70" s="750">
        <v>20</v>
      </c>
      <c r="Q70" s="858"/>
    </row>
    <row r="71" spans="1:17" s="1039" customFormat="1" ht="45" customHeight="1">
      <c r="A71" s="1047">
        <f t="shared" si="2"/>
        <v>65</v>
      </c>
      <c r="B71" s="1048" t="s">
        <v>2933</v>
      </c>
      <c r="C71" s="1047" t="s">
        <v>1319</v>
      </c>
      <c r="D71" s="1047" t="s">
        <v>2736</v>
      </c>
      <c r="E71" s="947"/>
      <c r="F71" s="1049">
        <v>46007</v>
      </c>
      <c r="G71" s="1049">
        <v>46012</v>
      </c>
      <c r="H71" s="1049">
        <v>46013</v>
      </c>
      <c r="I71" s="1049">
        <v>46013</v>
      </c>
      <c r="J71" s="1049">
        <v>46014</v>
      </c>
      <c r="K71" s="1049">
        <v>46016</v>
      </c>
      <c r="L71" s="1049">
        <v>46016</v>
      </c>
      <c r="M71" s="1050" t="s">
        <v>631</v>
      </c>
      <c r="N71" s="1063">
        <v>46017</v>
      </c>
      <c r="O71" s="1047" t="s">
        <v>2830</v>
      </c>
      <c r="P71" s="1047">
        <v>16</v>
      </c>
      <c r="Q71" s="1051"/>
    </row>
    <row r="72" spans="1:17" s="1039" customFormat="1" ht="45" customHeight="1">
      <c r="A72" s="750">
        <f t="shared" si="2"/>
        <v>66</v>
      </c>
      <c r="B72" s="751" t="s">
        <v>2450</v>
      </c>
      <c r="C72" s="750" t="s">
        <v>76</v>
      </c>
      <c r="D72" s="750" t="s">
        <v>1765</v>
      </c>
      <c r="E72" s="782"/>
      <c r="F72" s="752">
        <v>46008</v>
      </c>
      <c r="G72" s="752">
        <v>46009</v>
      </c>
      <c r="H72" s="752">
        <v>46010</v>
      </c>
      <c r="I72" s="752">
        <v>46010</v>
      </c>
      <c r="J72" s="752">
        <v>46010</v>
      </c>
      <c r="K72" s="752">
        <v>46011</v>
      </c>
      <c r="L72" s="752">
        <v>46011</v>
      </c>
      <c r="M72" s="941" t="s">
        <v>631</v>
      </c>
      <c r="N72" s="1003">
        <v>46012</v>
      </c>
      <c r="O72" s="750" t="s">
        <v>2861</v>
      </c>
      <c r="P72" s="750">
        <v>25</v>
      </c>
      <c r="Q72" s="858"/>
    </row>
    <row r="73" spans="1:17" s="1039" customFormat="1" ht="45" customHeight="1">
      <c r="A73" s="750">
        <f t="shared" si="2"/>
        <v>67</v>
      </c>
      <c r="B73" s="751" t="s">
        <v>3160</v>
      </c>
      <c r="C73" s="750" t="s">
        <v>76</v>
      </c>
      <c r="D73" s="750" t="s">
        <v>1765</v>
      </c>
      <c r="E73" s="782"/>
      <c r="F73" s="752">
        <v>46009</v>
      </c>
      <c r="G73" s="752">
        <v>46012</v>
      </c>
      <c r="H73" s="752">
        <v>46012</v>
      </c>
      <c r="I73" s="752">
        <v>46016</v>
      </c>
      <c r="J73" s="752">
        <v>46016</v>
      </c>
      <c r="K73" s="752">
        <v>46017</v>
      </c>
      <c r="L73" s="752">
        <v>46017</v>
      </c>
      <c r="M73" s="941" t="s">
        <v>631</v>
      </c>
      <c r="N73" s="1003">
        <v>46025</v>
      </c>
      <c r="O73" s="750" t="s">
        <v>2861</v>
      </c>
      <c r="P73" s="750">
        <v>25</v>
      </c>
      <c r="Q73" s="858"/>
    </row>
    <row r="74" spans="1:17" s="1039" customFormat="1" ht="45" customHeight="1">
      <c r="A74" s="750">
        <f t="shared" si="2"/>
        <v>68</v>
      </c>
      <c r="B74" s="751" t="s">
        <v>2534</v>
      </c>
      <c r="C74" s="750" t="s">
        <v>76</v>
      </c>
      <c r="D74" s="750" t="s">
        <v>1765</v>
      </c>
      <c r="E74" s="782"/>
      <c r="F74" s="752">
        <v>46010</v>
      </c>
      <c r="G74" s="752">
        <v>46012</v>
      </c>
      <c r="H74" s="752">
        <v>46013</v>
      </c>
      <c r="I74" s="752">
        <v>46013</v>
      </c>
      <c r="J74" s="752">
        <v>46013</v>
      </c>
      <c r="K74" s="752">
        <v>46015</v>
      </c>
      <c r="L74" s="752">
        <v>46015</v>
      </c>
      <c r="M74" s="941" t="s">
        <v>631</v>
      </c>
      <c r="N74" s="1003">
        <v>46018</v>
      </c>
      <c r="O74" s="750" t="s">
        <v>3139</v>
      </c>
      <c r="P74" s="750">
        <v>40</v>
      </c>
      <c r="Q74" s="858"/>
    </row>
    <row r="75" spans="1:17" s="1039" customFormat="1" ht="45" customHeight="1">
      <c r="A75" s="750">
        <f t="shared" si="2"/>
        <v>69</v>
      </c>
      <c r="B75" s="751" t="s">
        <v>853</v>
      </c>
      <c r="C75" s="750" t="s">
        <v>76</v>
      </c>
      <c r="D75" s="750" t="s">
        <v>1765</v>
      </c>
      <c r="E75" s="947"/>
      <c r="F75" s="752">
        <v>46010</v>
      </c>
      <c r="G75" s="752">
        <v>46026</v>
      </c>
      <c r="H75" s="752">
        <v>46026</v>
      </c>
      <c r="I75" s="752">
        <v>46027</v>
      </c>
      <c r="J75" s="752">
        <v>46027</v>
      </c>
      <c r="K75" s="752">
        <v>46029</v>
      </c>
      <c r="L75" s="752">
        <v>46029</v>
      </c>
      <c r="M75" s="941" t="s">
        <v>631</v>
      </c>
      <c r="N75" s="1003">
        <v>46031</v>
      </c>
      <c r="O75" s="750" t="s">
        <v>3213</v>
      </c>
      <c r="P75" s="750">
        <v>12</v>
      </c>
      <c r="Q75" s="858"/>
    </row>
    <row r="76" spans="1:17" s="1039" customFormat="1" ht="45" customHeight="1">
      <c r="A76" s="750">
        <f t="shared" si="2"/>
        <v>70</v>
      </c>
      <c r="B76" s="751" t="s">
        <v>2505</v>
      </c>
      <c r="C76" s="750" t="s">
        <v>249</v>
      </c>
      <c r="D76" s="750" t="s">
        <v>1765</v>
      </c>
      <c r="E76" s="782"/>
      <c r="F76" s="752">
        <v>46011</v>
      </c>
      <c r="G76" s="752">
        <v>46012</v>
      </c>
      <c r="H76" s="752">
        <v>46013</v>
      </c>
      <c r="I76" s="752">
        <v>46014</v>
      </c>
      <c r="J76" s="752">
        <v>46014</v>
      </c>
      <c r="K76" s="752">
        <v>46015</v>
      </c>
      <c r="L76" s="752">
        <v>46015</v>
      </c>
      <c r="M76" s="941" t="s">
        <v>631</v>
      </c>
      <c r="N76" s="1003">
        <v>46017</v>
      </c>
      <c r="O76" s="750" t="s">
        <v>2843</v>
      </c>
      <c r="P76" s="750">
        <v>20</v>
      </c>
      <c r="Q76" s="858"/>
    </row>
    <row r="77" spans="1:17" s="1039" customFormat="1" ht="45" customHeight="1">
      <c r="A77" s="750">
        <f t="shared" si="2"/>
        <v>71</v>
      </c>
      <c r="B77" s="751" t="s">
        <v>2569</v>
      </c>
      <c r="C77" s="750" t="s">
        <v>76</v>
      </c>
      <c r="D77" s="750" t="s">
        <v>1765</v>
      </c>
      <c r="E77" s="947"/>
      <c r="F77" s="752">
        <v>46012</v>
      </c>
      <c r="G77" s="752">
        <v>46017</v>
      </c>
      <c r="H77" s="752">
        <v>46017</v>
      </c>
      <c r="I77" s="752">
        <v>46017</v>
      </c>
      <c r="J77" s="752">
        <v>46017</v>
      </c>
      <c r="K77" s="752">
        <v>46018</v>
      </c>
      <c r="L77" s="752">
        <v>46018</v>
      </c>
      <c r="M77" s="941" t="s">
        <v>631</v>
      </c>
      <c r="N77" s="1003">
        <v>46022</v>
      </c>
      <c r="O77" s="750" t="s">
        <v>3231</v>
      </c>
      <c r="P77" s="750">
        <v>13</v>
      </c>
      <c r="Q77" s="858"/>
    </row>
    <row r="78" spans="1:17" s="1039" customFormat="1" ht="45" customHeight="1">
      <c r="A78" s="750">
        <f t="shared" si="2"/>
        <v>72</v>
      </c>
      <c r="B78" s="751" t="s">
        <v>2531</v>
      </c>
      <c r="C78" s="750" t="s">
        <v>76</v>
      </c>
      <c r="D78" s="750" t="s">
        <v>1765</v>
      </c>
      <c r="E78" s="782"/>
      <c r="F78" s="752">
        <v>46012</v>
      </c>
      <c r="G78" s="752">
        <v>46013</v>
      </c>
      <c r="H78" s="752">
        <v>46014</v>
      </c>
      <c r="I78" s="752">
        <v>46014</v>
      </c>
      <c r="J78" s="752">
        <v>46015</v>
      </c>
      <c r="K78" s="752">
        <v>46017</v>
      </c>
      <c r="L78" s="752">
        <v>46017</v>
      </c>
      <c r="M78" s="941" t="s">
        <v>631</v>
      </c>
      <c r="N78" s="1003">
        <v>46022</v>
      </c>
      <c r="O78" s="750" t="s">
        <v>3139</v>
      </c>
      <c r="P78" s="750">
        <v>40</v>
      </c>
      <c r="Q78" s="858"/>
    </row>
    <row r="79" spans="1:17" s="1039" customFormat="1" ht="45" customHeight="1">
      <c r="A79" s="750">
        <f t="shared" si="2"/>
        <v>73</v>
      </c>
      <c r="B79" s="751" t="s">
        <v>2525</v>
      </c>
      <c r="C79" s="750" t="s">
        <v>76</v>
      </c>
      <c r="D79" s="750" t="s">
        <v>1765</v>
      </c>
      <c r="E79" s="782"/>
      <c r="F79" s="752">
        <v>46012</v>
      </c>
      <c r="G79" s="752">
        <v>46013</v>
      </c>
      <c r="H79" s="752">
        <v>46017</v>
      </c>
      <c r="I79" s="752">
        <v>46017</v>
      </c>
      <c r="J79" s="752">
        <v>46018</v>
      </c>
      <c r="K79" s="752">
        <v>46019</v>
      </c>
      <c r="L79" s="752">
        <v>46019</v>
      </c>
      <c r="M79" s="941" t="s">
        <v>631</v>
      </c>
      <c r="N79" s="1003">
        <v>46031</v>
      </c>
      <c r="O79" s="750" t="s">
        <v>3139</v>
      </c>
      <c r="P79" s="750">
        <v>40</v>
      </c>
      <c r="Q79" s="858"/>
    </row>
    <row r="80" spans="1:17" s="1039" customFormat="1" ht="45" customHeight="1">
      <c r="A80" s="1047">
        <f t="shared" si="2"/>
        <v>74</v>
      </c>
      <c r="B80" s="1048" t="s">
        <v>2504</v>
      </c>
      <c r="C80" s="1047" t="s">
        <v>62</v>
      </c>
      <c r="D80" s="1047" t="s">
        <v>1765</v>
      </c>
      <c r="E80" s="947"/>
      <c r="F80" s="1049">
        <v>46014</v>
      </c>
      <c r="G80" s="1049">
        <v>46015</v>
      </c>
      <c r="H80" s="1049">
        <v>46017</v>
      </c>
      <c r="I80" s="1049">
        <v>46017</v>
      </c>
      <c r="J80" s="1049">
        <v>46017</v>
      </c>
      <c r="K80" s="1049">
        <v>46018</v>
      </c>
      <c r="L80" s="1049">
        <v>46018</v>
      </c>
      <c r="M80" s="1050" t="s">
        <v>631</v>
      </c>
      <c r="N80" s="1063">
        <v>46018</v>
      </c>
      <c r="O80" s="1047" t="s">
        <v>2843</v>
      </c>
      <c r="P80" s="1047">
        <v>20</v>
      </c>
      <c r="Q80" s="1051"/>
    </row>
    <row r="81" spans="1:17" s="1039" customFormat="1" ht="45" customHeight="1">
      <c r="A81" s="750">
        <f t="shared" si="2"/>
        <v>75</v>
      </c>
      <c r="B81" s="751" t="s">
        <v>3015</v>
      </c>
      <c r="C81" s="750" t="s">
        <v>1277</v>
      </c>
      <c r="D81" s="750" t="s">
        <v>1765</v>
      </c>
      <c r="E81" s="782"/>
      <c r="F81" s="752">
        <v>46014</v>
      </c>
      <c r="G81" s="752">
        <v>46025</v>
      </c>
      <c r="H81" s="752">
        <v>46025</v>
      </c>
      <c r="I81" s="752">
        <v>46026</v>
      </c>
      <c r="J81" s="752">
        <v>46026</v>
      </c>
      <c r="K81" s="752">
        <v>46027</v>
      </c>
      <c r="L81" s="752">
        <v>46027</v>
      </c>
      <c r="M81" s="941" t="s">
        <v>631</v>
      </c>
      <c r="N81" s="1003">
        <v>46027</v>
      </c>
      <c r="O81" s="750" t="s">
        <v>2875</v>
      </c>
      <c r="P81" s="750">
        <v>11</v>
      </c>
      <c r="Q81" s="858"/>
    </row>
    <row r="82" spans="1:17" s="1039" customFormat="1" ht="45" customHeight="1">
      <c r="A82" s="750">
        <f t="shared" si="2"/>
        <v>76</v>
      </c>
      <c r="B82" s="751" t="s">
        <v>2971</v>
      </c>
      <c r="C82" s="750" t="s">
        <v>1269</v>
      </c>
      <c r="D82" s="750" t="s">
        <v>1765</v>
      </c>
      <c r="E82" s="782"/>
      <c r="F82" s="752">
        <v>46014</v>
      </c>
      <c r="G82" s="752">
        <v>46019</v>
      </c>
      <c r="H82" s="752">
        <v>46020</v>
      </c>
      <c r="I82" s="752">
        <v>46020</v>
      </c>
      <c r="J82" s="752">
        <v>46020</v>
      </c>
      <c r="K82" s="752">
        <v>46020</v>
      </c>
      <c r="L82" s="752">
        <v>46020</v>
      </c>
      <c r="M82" s="941" t="s">
        <v>631</v>
      </c>
      <c r="N82" s="1003">
        <v>46024</v>
      </c>
      <c r="O82" s="750" t="s">
        <v>2861</v>
      </c>
      <c r="P82" s="750">
        <v>25</v>
      </c>
      <c r="Q82" s="858"/>
    </row>
    <row r="83" spans="1:17" s="1039" customFormat="1" ht="45" customHeight="1">
      <c r="A83" s="750">
        <f t="shared" si="2"/>
        <v>77</v>
      </c>
      <c r="B83" s="751" t="s">
        <v>2216</v>
      </c>
      <c r="C83" s="750" t="s">
        <v>90</v>
      </c>
      <c r="D83" s="750" t="s">
        <v>1765</v>
      </c>
      <c r="E83" s="782"/>
      <c r="F83" s="752">
        <v>46015</v>
      </c>
      <c r="G83" s="752">
        <v>46020</v>
      </c>
      <c r="H83" s="752">
        <v>46020</v>
      </c>
      <c r="I83" s="752">
        <v>46020</v>
      </c>
      <c r="J83" s="752">
        <v>46021</v>
      </c>
      <c r="K83" s="752">
        <v>46021</v>
      </c>
      <c r="L83" s="752">
        <v>46021</v>
      </c>
      <c r="M83" s="941" t="s">
        <v>631</v>
      </c>
      <c r="N83" s="1003">
        <v>46022</v>
      </c>
      <c r="O83" s="750" t="s">
        <v>2830</v>
      </c>
      <c r="P83" s="750">
        <v>16</v>
      </c>
      <c r="Q83" s="858"/>
    </row>
    <row r="84" spans="1:17" s="1039" customFormat="1" ht="45" customHeight="1">
      <c r="A84" s="750">
        <f t="shared" si="2"/>
        <v>78</v>
      </c>
      <c r="B84" s="751" t="s">
        <v>3236</v>
      </c>
      <c r="C84" s="750" t="s">
        <v>62</v>
      </c>
      <c r="D84" s="750" t="s">
        <v>1765</v>
      </c>
      <c r="E84" s="782"/>
      <c r="F84" s="752">
        <v>46015</v>
      </c>
      <c r="G84" s="752">
        <v>46019</v>
      </c>
      <c r="H84" s="752">
        <v>46020</v>
      </c>
      <c r="I84" s="752">
        <v>46020</v>
      </c>
      <c r="J84" s="752">
        <v>46021</v>
      </c>
      <c r="K84" s="752">
        <v>46021</v>
      </c>
      <c r="L84" s="752">
        <v>46021</v>
      </c>
      <c r="M84" s="941" t="s">
        <v>631</v>
      </c>
      <c r="N84" s="1003">
        <v>46022</v>
      </c>
      <c r="O84" s="750" t="s">
        <v>2725</v>
      </c>
      <c r="P84" s="750">
        <v>25</v>
      </c>
      <c r="Q84" s="858"/>
    </row>
    <row r="85" spans="1:17" s="1039" customFormat="1" ht="45" customHeight="1">
      <c r="A85" s="750">
        <f t="shared" si="2"/>
        <v>79</v>
      </c>
      <c r="B85" s="751" t="s">
        <v>3159</v>
      </c>
      <c r="C85" s="750" t="s">
        <v>76</v>
      </c>
      <c r="D85" s="750" t="s">
        <v>1765</v>
      </c>
      <c r="E85" s="782"/>
      <c r="F85" s="752">
        <v>46015</v>
      </c>
      <c r="G85" s="752">
        <v>46019</v>
      </c>
      <c r="H85" s="752">
        <v>46020</v>
      </c>
      <c r="I85" s="752">
        <v>46020</v>
      </c>
      <c r="J85" s="752">
        <v>46020</v>
      </c>
      <c r="K85" s="752">
        <v>46021</v>
      </c>
      <c r="L85" s="752">
        <v>46021</v>
      </c>
      <c r="M85" s="941" t="s">
        <v>631</v>
      </c>
      <c r="N85" s="1003">
        <v>46029</v>
      </c>
      <c r="O85" s="750" t="s">
        <v>2861</v>
      </c>
      <c r="P85" s="750">
        <v>25</v>
      </c>
      <c r="Q85" s="858"/>
    </row>
    <row r="86" spans="1:17" s="1039" customFormat="1" ht="45" customHeight="1">
      <c r="A86" s="750">
        <f t="shared" si="2"/>
        <v>80</v>
      </c>
      <c r="B86" s="751" t="s">
        <v>2570</v>
      </c>
      <c r="C86" s="750" t="s">
        <v>76</v>
      </c>
      <c r="D86" s="750" t="s">
        <v>1765</v>
      </c>
      <c r="E86" s="782"/>
      <c r="F86" s="752">
        <v>46018</v>
      </c>
      <c r="G86" s="752">
        <v>46024</v>
      </c>
      <c r="H86" s="752">
        <v>46025</v>
      </c>
      <c r="I86" s="752">
        <v>46025</v>
      </c>
      <c r="J86" s="752">
        <v>46025</v>
      </c>
      <c r="K86" s="752">
        <v>46026</v>
      </c>
      <c r="L86" s="752">
        <v>46026</v>
      </c>
      <c r="M86" s="941" t="s">
        <v>631</v>
      </c>
      <c r="N86" s="1003">
        <v>46025</v>
      </c>
      <c r="O86" s="750" t="s">
        <v>3231</v>
      </c>
      <c r="P86" s="750">
        <v>13</v>
      </c>
      <c r="Q86" s="858"/>
    </row>
    <row r="87" spans="1:17" s="1039" customFormat="1" ht="45" customHeight="1">
      <c r="A87" s="750">
        <f t="shared" si="2"/>
        <v>81</v>
      </c>
      <c r="B87" s="751" t="s">
        <v>2508</v>
      </c>
      <c r="C87" s="750" t="s">
        <v>62</v>
      </c>
      <c r="D87" s="750" t="s">
        <v>1765</v>
      </c>
      <c r="E87" s="782"/>
      <c r="F87" s="752">
        <v>46018</v>
      </c>
      <c r="G87" s="752">
        <v>46020</v>
      </c>
      <c r="H87" s="752">
        <v>46021</v>
      </c>
      <c r="I87" s="752">
        <v>46021</v>
      </c>
      <c r="J87" s="752">
        <v>46021</v>
      </c>
      <c r="K87" s="752">
        <v>46022</v>
      </c>
      <c r="L87" s="752">
        <v>46022</v>
      </c>
      <c r="M87" s="941" t="s">
        <v>631</v>
      </c>
      <c r="N87" s="1003">
        <v>46024</v>
      </c>
      <c r="O87" s="750" t="s">
        <v>2843</v>
      </c>
      <c r="P87" s="750">
        <v>20</v>
      </c>
      <c r="Q87" s="858"/>
    </row>
    <row r="88" spans="1:17" s="1039" customFormat="1" ht="45" customHeight="1">
      <c r="A88" s="750">
        <f t="shared" si="2"/>
        <v>82</v>
      </c>
      <c r="B88" s="751" t="s">
        <v>2532</v>
      </c>
      <c r="C88" s="750" t="s">
        <v>76</v>
      </c>
      <c r="D88" s="750" t="s">
        <v>1765</v>
      </c>
      <c r="E88" s="782"/>
      <c r="F88" s="752">
        <v>46018</v>
      </c>
      <c r="G88" s="752">
        <v>46020</v>
      </c>
      <c r="H88" s="752">
        <v>46020</v>
      </c>
      <c r="I88" s="752">
        <v>46020</v>
      </c>
      <c r="J88" s="752">
        <v>46022</v>
      </c>
      <c r="K88" s="752">
        <v>46022</v>
      </c>
      <c r="L88" s="752">
        <v>46022</v>
      </c>
      <c r="M88" s="941" t="s">
        <v>631</v>
      </c>
      <c r="N88" s="1003">
        <v>46043</v>
      </c>
      <c r="O88" s="750" t="s">
        <v>3139</v>
      </c>
      <c r="P88" s="750">
        <v>40</v>
      </c>
      <c r="Q88" s="858"/>
    </row>
    <row r="89" spans="1:17" s="1039" customFormat="1" ht="45" customHeight="1">
      <c r="A89" s="750">
        <f t="shared" si="2"/>
        <v>83</v>
      </c>
      <c r="B89" s="751" t="s">
        <v>3158</v>
      </c>
      <c r="C89" s="750" t="s">
        <v>76</v>
      </c>
      <c r="D89" s="750" t="s">
        <v>1765</v>
      </c>
      <c r="E89" s="782"/>
      <c r="F89" s="752">
        <v>46019</v>
      </c>
      <c r="G89" s="752">
        <v>46020</v>
      </c>
      <c r="H89" s="752">
        <v>46029</v>
      </c>
      <c r="I89" s="752">
        <v>46029</v>
      </c>
      <c r="J89" s="752">
        <v>46029</v>
      </c>
      <c r="K89" s="752">
        <v>46030</v>
      </c>
      <c r="L89" s="752">
        <v>46030</v>
      </c>
      <c r="M89" s="941" t="s">
        <v>631</v>
      </c>
      <c r="N89" s="1003">
        <v>46061</v>
      </c>
      <c r="O89" s="750" t="s">
        <v>2861</v>
      </c>
      <c r="P89" s="750">
        <v>25</v>
      </c>
      <c r="Q89" s="858"/>
    </row>
    <row r="90" spans="1:17" s="1039" customFormat="1" ht="45" customHeight="1">
      <c r="A90" s="750">
        <f t="shared" si="2"/>
        <v>84</v>
      </c>
      <c r="B90" s="751" t="s">
        <v>3154</v>
      </c>
      <c r="C90" s="750" t="s">
        <v>76</v>
      </c>
      <c r="D90" s="750" t="s">
        <v>1765</v>
      </c>
      <c r="E90" s="782"/>
      <c r="F90" s="752">
        <v>46022</v>
      </c>
      <c r="G90" s="752">
        <v>46029</v>
      </c>
      <c r="H90" s="752">
        <v>46030</v>
      </c>
      <c r="I90" s="752">
        <v>46030</v>
      </c>
      <c r="J90" s="752">
        <v>46030</v>
      </c>
      <c r="K90" s="752">
        <v>46031</v>
      </c>
      <c r="L90" s="752">
        <v>46031</v>
      </c>
      <c r="M90" s="941" t="s">
        <v>631</v>
      </c>
      <c r="N90" s="1003">
        <v>46066</v>
      </c>
      <c r="O90" s="750" t="s">
        <v>2861</v>
      </c>
      <c r="P90" s="750">
        <v>25</v>
      </c>
      <c r="Q90" s="858"/>
    </row>
    <row r="91" spans="1:17" s="1039" customFormat="1" ht="45" customHeight="1">
      <c r="A91" s="750">
        <f t="shared" si="2"/>
        <v>85</v>
      </c>
      <c r="B91" s="751" t="s">
        <v>3004</v>
      </c>
      <c r="C91" s="750" t="s">
        <v>1277</v>
      </c>
      <c r="D91" s="750" t="s">
        <v>1765</v>
      </c>
      <c r="E91" s="782"/>
      <c r="F91" s="752">
        <v>46027</v>
      </c>
      <c r="G91" s="752">
        <v>46031</v>
      </c>
      <c r="H91" s="752">
        <v>46031</v>
      </c>
      <c r="I91" s="752">
        <v>46031</v>
      </c>
      <c r="J91" s="752">
        <v>46032</v>
      </c>
      <c r="K91" s="752">
        <v>46033</v>
      </c>
      <c r="L91" s="752">
        <v>46033</v>
      </c>
      <c r="M91" s="941" t="s">
        <v>631</v>
      </c>
      <c r="N91" s="1003">
        <v>46031</v>
      </c>
      <c r="O91" s="750" t="s">
        <v>2843</v>
      </c>
      <c r="P91" s="750">
        <v>20</v>
      </c>
      <c r="Q91" s="858"/>
    </row>
    <row r="92" spans="1:17" s="1039" customFormat="1" ht="45" customHeight="1">
      <c r="A92" s="750">
        <f t="shared" si="2"/>
        <v>86</v>
      </c>
      <c r="B92" s="751" t="s">
        <v>3243</v>
      </c>
      <c r="C92" s="750" t="s">
        <v>76</v>
      </c>
      <c r="D92" s="750" t="s">
        <v>1765</v>
      </c>
      <c r="E92" s="782"/>
      <c r="F92" s="752">
        <v>46026</v>
      </c>
      <c r="G92" s="752">
        <v>46032</v>
      </c>
      <c r="H92" s="752">
        <v>46037</v>
      </c>
      <c r="I92" s="752">
        <v>46037</v>
      </c>
      <c r="J92" s="752">
        <v>46037</v>
      </c>
      <c r="K92" s="752">
        <v>46038</v>
      </c>
      <c r="L92" s="752">
        <v>46038</v>
      </c>
      <c r="M92" s="941" t="s">
        <v>631</v>
      </c>
      <c r="N92" s="1003">
        <v>46039</v>
      </c>
      <c r="O92" s="750" t="s">
        <v>2725</v>
      </c>
      <c r="P92" s="750">
        <v>25</v>
      </c>
      <c r="Q92" s="858"/>
    </row>
    <row r="93" spans="1:17" s="1039" customFormat="1" ht="45" customHeight="1">
      <c r="A93" s="750">
        <f t="shared" si="2"/>
        <v>87</v>
      </c>
      <c r="B93" s="751" t="s">
        <v>2995</v>
      </c>
      <c r="C93" s="750" t="s">
        <v>1269</v>
      </c>
      <c r="D93" s="750" t="s">
        <v>1765</v>
      </c>
      <c r="E93" s="782"/>
      <c r="F93" s="752">
        <v>46027</v>
      </c>
      <c r="G93" s="752">
        <v>46041</v>
      </c>
      <c r="H93" s="752">
        <v>46041</v>
      </c>
      <c r="I93" s="752">
        <v>46041</v>
      </c>
      <c r="J93" s="752">
        <v>46041</v>
      </c>
      <c r="K93" s="752">
        <v>46044</v>
      </c>
      <c r="L93" s="752">
        <v>46044</v>
      </c>
      <c r="M93" s="941" t="s">
        <v>631</v>
      </c>
      <c r="N93" s="1003">
        <v>46044</v>
      </c>
      <c r="O93" s="750" t="s">
        <v>2837</v>
      </c>
      <c r="P93" s="750">
        <v>12</v>
      </c>
      <c r="Q93" s="858"/>
    </row>
    <row r="94" spans="1:17" s="1039" customFormat="1" ht="45" customHeight="1">
      <c r="A94" s="750">
        <f t="shared" si="2"/>
        <v>88</v>
      </c>
      <c r="B94" s="751" t="s">
        <v>2577</v>
      </c>
      <c r="C94" s="750" t="s">
        <v>62</v>
      </c>
      <c r="D94" s="750" t="s">
        <v>1765</v>
      </c>
      <c r="E94" s="782"/>
      <c r="F94" s="752">
        <v>46027</v>
      </c>
      <c r="G94" s="752">
        <v>46029</v>
      </c>
      <c r="H94" s="752">
        <v>46031</v>
      </c>
      <c r="I94" s="752">
        <v>46031</v>
      </c>
      <c r="J94" s="752">
        <v>46032</v>
      </c>
      <c r="K94" s="752">
        <v>46033</v>
      </c>
      <c r="L94" s="752">
        <v>46033</v>
      </c>
      <c r="M94" s="941" t="s">
        <v>631</v>
      </c>
      <c r="N94" s="1003">
        <v>46056</v>
      </c>
      <c r="O94" s="750" t="s">
        <v>3139</v>
      </c>
      <c r="P94" s="750">
        <v>40</v>
      </c>
      <c r="Q94" s="858"/>
    </row>
    <row r="95" spans="1:17" s="1039" customFormat="1" ht="45" customHeight="1">
      <c r="A95" s="750">
        <f t="shared" si="2"/>
        <v>89</v>
      </c>
      <c r="B95" s="751" t="s">
        <v>2526</v>
      </c>
      <c r="C95" s="750" t="s">
        <v>76</v>
      </c>
      <c r="D95" s="750" t="s">
        <v>1765</v>
      </c>
      <c r="E95" s="782"/>
      <c r="F95" s="752">
        <v>46027</v>
      </c>
      <c r="G95" s="752">
        <v>46030</v>
      </c>
      <c r="H95" s="752">
        <v>46030</v>
      </c>
      <c r="I95" s="752">
        <v>46030</v>
      </c>
      <c r="J95" s="752">
        <v>46031</v>
      </c>
      <c r="K95" s="752">
        <v>46032</v>
      </c>
      <c r="L95" s="752">
        <v>46032</v>
      </c>
      <c r="M95" s="941" t="s">
        <v>631</v>
      </c>
      <c r="N95" s="1003">
        <v>46042</v>
      </c>
      <c r="O95" s="750" t="s">
        <v>3139</v>
      </c>
      <c r="P95" s="750">
        <v>40</v>
      </c>
      <c r="Q95" s="858"/>
    </row>
    <row r="96" spans="1:17" s="1039" customFormat="1" ht="45" customHeight="1">
      <c r="A96" s="750">
        <f t="shared" si="2"/>
        <v>90</v>
      </c>
      <c r="B96" s="751" t="s">
        <v>3247</v>
      </c>
      <c r="C96" s="750" t="s">
        <v>62</v>
      </c>
      <c r="D96" s="750" t="s">
        <v>1765</v>
      </c>
      <c r="E96" s="782"/>
      <c r="F96" s="752">
        <v>46029</v>
      </c>
      <c r="G96" s="752">
        <v>46033</v>
      </c>
      <c r="H96" s="752">
        <v>46033</v>
      </c>
      <c r="I96" s="752">
        <v>46033</v>
      </c>
      <c r="J96" s="752">
        <v>46033</v>
      </c>
      <c r="K96" s="752">
        <v>46034</v>
      </c>
      <c r="L96" s="752">
        <v>46034</v>
      </c>
      <c r="M96" s="941" t="s">
        <v>631</v>
      </c>
      <c r="N96" s="1003">
        <v>46035</v>
      </c>
      <c r="O96" s="750" t="s">
        <v>2830</v>
      </c>
      <c r="P96" s="750">
        <v>16</v>
      </c>
      <c r="Q96" s="858"/>
    </row>
    <row r="97" spans="1:17" s="1039" customFormat="1" ht="45" customHeight="1">
      <c r="A97" s="750">
        <f t="shared" si="2"/>
        <v>91</v>
      </c>
      <c r="B97" s="751" t="s">
        <v>2559</v>
      </c>
      <c r="C97" s="750" t="s">
        <v>62</v>
      </c>
      <c r="D97" s="750" t="s">
        <v>2736</v>
      </c>
      <c r="E97" s="782"/>
      <c r="F97" s="752">
        <v>46029</v>
      </c>
      <c r="G97" s="752">
        <v>46041</v>
      </c>
      <c r="H97" s="752">
        <v>46041</v>
      </c>
      <c r="I97" s="752">
        <v>46041</v>
      </c>
      <c r="J97" s="752">
        <v>46041</v>
      </c>
      <c r="K97" s="752">
        <v>46042</v>
      </c>
      <c r="L97" s="752">
        <v>46042</v>
      </c>
      <c r="M97" s="941" t="s">
        <v>631</v>
      </c>
      <c r="N97" s="1003">
        <v>46042</v>
      </c>
      <c r="O97" s="750" t="s">
        <v>2875</v>
      </c>
      <c r="P97" s="750">
        <v>11</v>
      </c>
      <c r="Q97" s="858"/>
    </row>
    <row r="98" spans="1:17" s="1039" customFormat="1" ht="45" customHeight="1">
      <c r="A98" s="750">
        <f t="shared" si="2"/>
        <v>92</v>
      </c>
      <c r="B98" s="751" t="s">
        <v>3016</v>
      </c>
      <c r="C98" s="750" t="s">
        <v>1269</v>
      </c>
      <c r="D98" s="750" t="s">
        <v>1765</v>
      </c>
      <c r="E98" s="782"/>
      <c r="F98" s="752">
        <v>46029</v>
      </c>
      <c r="G98" s="752">
        <v>46036</v>
      </c>
      <c r="H98" s="752">
        <v>46038</v>
      </c>
      <c r="I98" s="752">
        <v>46038</v>
      </c>
      <c r="J98" s="752">
        <v>46038</v>
      </c>
      <c r="K98" s="752">
        <v>46038</v>
      </c>
      <c r="L98" s="752">
        <v>46038</v>
      </c>
      <c r="M98" s="941" t="s">
        <v>631</v>
      </c>
      <c r="N98" s="1003">
        <v>46038</v>
      </c>
      <c r="O98" s="750" t="s">
        <v>3231</v>
      </c>
      <c r="P98" s="750">
        <v>13</v>
      </c>
      <c r="Q98" s="858"/>
    </row>
    <row r="99" spans="1:17" s="1039" customFormat="1" ht="45" customHeight="1">
      <c r="A99" s="750">
        <f t="shared" si="2"/>
        <v>93</v>
      </c>
      <c r="B99" s="751" t="s">
        <v>3183</v>
      </c>
      <c r="C99" s="750" t="s">
        <v>1277</v>
      </c>
      <c r="D99" s="750" t="s">
        <v>1765</v>
      </c>
      <c r="E99" s="782"/>
      <c r="F99" s="752">
        <v>46030</v>
      </c>
      <c r="G99" s="752">
        <v>46036</v>
      </c>
      <c r="H99" s="752">
        <v>46038</v>
      </c>
      <c r="I99" s="752">
        <v>46038</v>
      </c>
      <c r="J99" s="752">
        <v>46038</v>
      </c>
      <c r="K99" s="752">
        <v>46040</v>
      </c>
      <c r="L99" s="752">
        <v>46040</v>
      </c>
      <c r="M99" s="941" t="s">
        <v>631</v>
      </c>
      <c r="N99" s="1003">
        <v>46066</v>
      </c>
      <c r="O99" s="750" t="s">
        <v>2861</v>
      </c>
      <c r="P99" s="750">
        <v>25</v>
      </c>
      <c r="Q99" s="858"/>
    </row>
    <row r="100" spans="1:17" s="1039" customFormat="1" ht="45" customHeight="1">
      <c r="A100" s="750">
        <f t="shared" si="2"/>
        <v>94</v>
      </c>
      <c r="B100" s="751" t="s">
        <v>2578</v>
      </c>
      <c r="C100" s="750" t="s">
        <v>3248</v>
      </c>
      <c r="D100" s="750" t="s">
        <v>1765</v>
      </c>
      <c r="E100" s="782"/>
      <c r="F100" s="752">
        <v>46030</v>
      </c>
      <c r="G100" s="752">
        <v>46034</v>
      </c>
      <c r="H100" s="752">
        <v>46036</v>
      </c>
      <c r="I100" s="752">
        <v>46036</v>
      </c>
      <c r="J100" s="752">
        <v>46036</v>
      </c>
      <c r="K100" s="752">
        <v>46038</v>
      </c>
      <c r="L100" s="752">
        <v>46038</v>
      </c>
      <c r="M100" s="941" t="s">
        <v>631</v>
      </c>
      <c r="N100" s="1003">
        <v>46056</v>
      </c>
      <c r="O100" s="750" t="s">
        <v>3139</v>
      </c>
      <c r="P100" s="750">
        <v>40</v>
      </c>
      <c r="Q100" s="858"/>
    </row>
    <row r="101" spans="1:17" s="1039" customFormat="1" ht="45" customHeight="1">
      <c r="A101" s="750">
        <f t="shared" si="2"/>
        <v>95</v>
      </c>
      <c r="B101" s="751" t="s">
        <v>3011</v>
      </c>
      <c r="C101" s="750" t="s">
        <v>1319</v>
      </c>
      <c r="D101" s="750" t="s">
        <v>1765</v>
      </c>
      <c r="E101" s="783"/>
      <c r="F101" s="752">
        <v>46030</v>
      </c>
      <c r="G101" s="752">
        <v>46038</v>
      </c>
      <c r="H101" s="752">
        <v>46039</v>
      </c>
      <c r="I101" s="752">
        <v>46039</v>
      </c>
      <c r="J101" s="752">
        <v>46040</v>
      </c>
      <c r="K101" s="752">
        <v>46042</v>
      </c>
      <c r="L101" s="752">
        <v>46042</v>
      </c>
      <c r="M101" s="941" t="s">
        <v>631</v>
      </c>
      <c r="N101" s="1003">
        <v>46042</v>
      </c>
      <c r="O101" s="750" t="s">
        <v>3139</v>
      </c>
      <c r="P101" s="750">
        <v>40</v>
      </c>
      <c r="Q101" s="858"/>
    </row>
    <row r="102" spans="1:17" s="1039" customFormat="1" ht="45" customHeight="1">
      <c r="A102" s="750">
        <f t="shared" si="2"/>
        <v>96</v>
      </c>
      <c r="B102" s="751" t="s">
        <v>3186</v>
      </c>
      <c r="C102" s="750" t="s">
        <v>1269</v>
      </c>
      <c r="D102" s="750" t="s">
        <v>1765</v>
      </c>
      <c r="E102" s="782"/>
      <c r="F102" s="752">
        <v>46031</v>
      </c>
      <c r="G102" s="752">
        <v>46035</v>
      </c>
      <c r="H102" s="752">
        <v>46036</v>
      </c>
      <c r="I102" s="752">
        <v>46036</v>
      </c>
      <c r="J102" s="752">
        <v>46036</v>
      </c>
      <c r="K102" s="752">
        <v>46039</v>
      </c>
      <c r="L102" s="752">
        <v>46039</v>
      </c>
      <c r="M102" s="941" t="s">
        <v>631</v>
      </c>
      <c r="N102" s="1003">
        <v>46042</v>
      </c>
      <c r="O102" s="750" t="s">
        <v>2861</v>
      </c>
      <c r="P102" s="750">
        <v>25</v>
      </c>
      <c r="Q102" s="858"/>
    </row>
    <row r="103" spans="1:17" s="1039" customFormat="1" ht="45" customHeight="1">
      <c r="A103" s="750">
        <f t="shared" si="2"/>
        <v>97</v>
      </c>
      <c r="B103" s="751" t="s">
        <v>3124</v>
      </c>
      <c r="C103" s="750" t="s">
        <v>1977</v>
      </c>
      <c r="D103" s="750" t="s">
        <v>2736</v>
      </c>
      <c r="E103" s="782"/>
      <c r="F103" s="752">
        <v>46033</v>
      </c>
      <c r="G103" s="752">
        <v>46038</v>
      </c>
      <c r="H103" s="752">
        <v>46039</v>
      </c>
      <c r="I103" s="752">
        <v>46039</v>
      </c>
      <c r="J103" s="752">
        <v>46041</v>
      </c>
      <c r="K103" s="752">
        <v>46042</v>
      </c>
      <c r="L103" s="752">
        <v>46042</v>
      </c>
      <c r="M103" s="941" t="s">
        <v>631</v>
      </c>
      <c r="N103" s="1003">
        <v>46042</v>
      </c>
      <c r="O103" s="750" t="s">
        <v>2843</v>
      </c>
      <c r="P103" s="750">
        <v>20</v>
      </c>
      <c r="Q103" s="858"/>
    </row>
    <row r="104" spans="1:17" s="1039" customFormat="1" ht="45" customHeight="1">
      <c r="A104" s="750">
        <f t="shared" si="2"/>
        <v>98</v>
      </c>
      <c r="B104" s="751" t="s">
        <v>850</v>
      </c>
      <c r="C104" s="750" t="s">
        <v>76</v>
      </c>
      <c r="D104" s="750" t="s">
        <v>897</v>
      </c>
      <c r="E104" s="782"/>
      <c r="F104" s="752">
        <v>46037</v>
      </c>
      <c r="G104" s="752">
        <v>46043</v>
      </c>
      <c r="H104" s="752">
        <v>46043</v>
      </c>
      <c r="I104" s="752">
        <v>46043</v>
      </c>
      <c r="J104" s="752">
        <v>46043</v>
      </c>
      <c r="K104" s="752">
        <v>46044</v>
      </c>
      <c r="L104" s="752">
        <v>46044</v>
      </c>
      <c r="M104" s="941" t="s">
        <v>631</v>
      </c>
      <c r="N104" s="1003">
        <v>46047</v>
      </c>
      <c r="O104" s="750" t="s">
        <v>3252</v>
      </c>
      <c r="P104" s="750">
        <v>25</v>
      </c>
      <c r="Q104" s="858"/>
    </row>
    <row r="105" spans="1:17" s="1039" customFormat="1" ht="45" customHeight="1">
      <c r="A105" s="750">
        <f t="shared" si="2"/>
        <v>99</v>
      </c>
      <c r="B105" s="751" t="s">
        <v>3157</v>
      </c>
      <c r="C105" s="750" t="s">
        <v>53</v>
      </c>
      <c r="D105" s="750" t="s">
        <v>1765</v>
      </c>
      <c r="E105" s="782"/>
      <c r="F105" s="752">
        <v>46039</v>
      </c>
      <c r="G105" s="752">
        <v>46041</v>
      </c>
      <c r="H105" s="752">
        <v>46042</v>
      </c>
      <c r="I105" s="752">
        <v>46042</v>
      </c>
      <c r="J105" s="752">
        <v>46043</v>
      </c>
      <c r="K105" s="752">
        <v>46044</v>
      </c>
      <c r="L105" s="752">
        <v>46044</v>
      </c>
      <c r="M105" s="941" t="s">
        <v>631</v>
      </c>
      <c r="N105" s="1003">
        <v>46066</v>
      </c>
      <c r="O105" s="750" t="s">
        <v>2861</v>
      </c>
      <c r="P105" s="750">
        <v>25</v>
      </c>
      <c r="Q105" s="858"/>
    </row>
    <row r="106" spans="1:17" s="1039" customFormat="1" ht="45" customHeight="1">
      <c r="A106" s="750">
        <f t="shared" si="2"/>
        <v>100</v>
      </c>
      <c r="B106" s="751" t="s">
        <v>2581</v>
      </c>
      <c r="C106" s="750" t="s">
        <v>1277</v>
      </c>
      <c r="D106" s="750" t="s">
        <v>1765</v>
      </c>
      <c r="E106" s="782"/>
      <c r="F106" s="752">
        <v>46039</v>
      </c>
      <c r="G106" s="752">
        <v>46055</v>
      </c>
      <c r="H106" s="752">
        <v>46056</v>
      </c>
      <c r="I106" s="752">
        <v>46056</v>
      </c>
      <c r="J106" s="752">
        <v>46056</v>
      </c>
      <c r="K106" s="752">
        <v>46058</v>
      </c>
      <c r="L106" s="752">
        <v>46058</v>
      </c>
      <c r="M106" s="941" t="s">
        <v>631</v>
      </c>
      <c r="N106" s="1003">
        <v>46061</v>
      </c>
      <c r="O106" s="750" t="s">
        <v>3139</v>
      </c>
      <c r="P106" s="750">
        <v>40</v>
      </c>
      <c r="Q106" s="858"/>
    </row>
    <row r="107" spans="1:17" s="1039" customFormat="1" ht="45" customHeight="1">
      <c r="A107" s="750">
        <f t="shared" si="2"/>
        <v>101</v>
      </c>
      <c r="B107" s="751" t="s">
        <v>3125</v>
      </c>
      <c r="C107" s="750" t="s">
        <v>2197</v>
      </c>
      <c r="D107" s="750" t="s">
        <v>2736</v>
      </c>
      <c r="E107" s="782"/>
      <c r="F107" s="752">
        <v>46040</v>
      </c>
      <c r="G107" s="752">
        <v>46063</v>
      </c>
      <c r="H107" s="752">
        <v>46063</v>
      </c>
      <c r="I107" s="752">
        <v>46063</v>
      </c>
      <c r="J107" s="752">
        <v>46064</v>
      </c>
      <c r="K107" s="752">
        <v>46065</v>
      </c>
      <c r="L107" s="752">
        <v>46065</v>
      </c>
      <c r="M107" s="941" t="s">
        <v>631</v>
      </c>
      <c r="N107" s="1003">
        <v>46065</v>
      </c>
      <c r="O107" s="750" t="s">
        <v>2843</v>
      </c>
      <c r="P107" s="750">
        <v>20</v>
      </c>
      <c r="Q107" s="858"/>
    </row>
    <row r="108" spans="1:17" s="1039" customFormat="1" ht="45" customHeight="1">
      <c r="A108" s="750">
        <f t="shared" si="2"/>
        <v>102</v>
      </c>
      <c r="B108" s="751" t="s">
        <v>2954</v>
      </c>
      <c r="C108" s="750" t="s">
        <v>1988</v>
      </c>
      <c r="D108" s="750" t="s">
        <v>2736</v>
      </c>
      <c r="E108" s="782"/>
      <c r="F108" s="752">
        <v>46043</v>
      </c>
      <c r="G108" s="752">
        <v>46061</v>
      </c>
      <c r="H108" s="752">
        <v>46062</v>
      </c>
      <c r="I108" s="752">
        <v>46062</v>
      </c>
      <c r="J108" s="752">
        <v>46063</v>
      </c>
      <c r="K108" s="752">
        <v>46066</v>
      </c>
      <c r="L108" s="752">
        <v>46066</v>
      </c>
      <c r="M108" s="941" t="s">
        <v>631</v>
      </c>
      <c r="N108" s="1003">
        <v>46070</v>
      </c>
      <c r="O108" s="750" t="s">
        <v>2725</v>
      </c>
      <c r="P108" s="750">
        <v>20</v>
      </c>
      <c r="Q108" s="858"/>
    </row>
    <row r="109" spans="1:17" s="1039" customFormat="1" ht="45" customHeight="1">
      <c r="A109" s="1086">
        <f t="shared" si="2"/>
        <v>103</v>
      </c>
      <c r="B109" s="1087" t="s">
        <v>495</v>
      </c>
      <c r="C109" s="1090" t="s">
        <v>3302</v>
      </c>
      <c r="D109" s="1086" t="s">
        <v>1765</v>
      </c>
      <c r="E109" s="1088"/>
      <c r="F109" s="1089">
        <v>46040</v>
      </c>
      <c r="G109" s="1089">
        <v>46042</v>
      </c>
      <c r="H109" s="1089">
        <v>46042</v>
      </c>
      <c r="I109" s="1089">
        <v>46042</v>
      </c>
      <c r="J109" s="1089">
        <v>46042</v>
      </c>
      <c r="K109" s="1089">
        <v>46043</v>
      </c>
      <c r="L109" s="1089">
        <v>46043</v>
      </c>
      <c r="M109" s="1090" t="s">
        <v>631</v>
      </c>
      <c r="N109" s="1091">
        <v>46044</v>
      </c>
      <c r="O109" s="1086" t="s">
        <v>2830</v>
      </c>
      <c r="P109" s="1086">
        <v>16</v>
      </c>
      <c r="Q109" s="1092" t="s">
        <v>3298</v>
      </c>
    </row>
    <row r="110" spans="1:17" s="1039" customFormat="1" ht="45" customHeight="1">
      <c r="A110" s="750">
        <f t="shared" si="2"/>
        <v>104</v>
      </c>
      <c r="B110" s="751" t="s">
        <v>2573</v>
      </c>
      <c r="C110" s="750" t="s">
        <v>76</v>
      </c>
      <c r="D110" s="750" t="s">
        <v>1765</v>
      </c>
      <c r="E110" s="782"/>
      <c r="F110" s="752">
        <v>46040</v>
      </c>
      <c r="G110" s="752">
        <v>46044</v>
      </c>
      <c r="H110" s="752">
        <v>46052</v>
      </c>
      <c r="I110" s="752">
        <v>46052</v>
      </c>
      <c r="J110" s="752">
        <v>46053</v>
      </c>
      <c r="K110" s="752">
        <v>46053</v>
      </c>
      <c r="L110" s="752">
        <v>46053</v>
      </c>
      <c r="M110" s="941" t="s">
        <v>631</v>
      </c>
      <c r="N110" s="1003">
        <v>46054</v>
      </c>
      <c r="O110" s="750" t="s">
        <v>3231</v>
      </c>
      <c r="P110" s="750">
        <v>13</v>
      </c>
      <c r="Q110" s="858"/>
    </row>
    <row r="111" spans="1:17" s="1039" customFormat="1" ht="45" customHeight="1">
      <c r="A111" s="750">
        <f t="shared" si="2"/>
        <v>105</v>
      </c>
      <c r="B111" s="751" t="s">
        <v>394</v>
      </c>
      <c r="C111" s="750" t="s">
        <v>76</v>
      </c>
      <c r="D111" s="750" t="s">
        <v>897</v>
      </c>
      <c r="E111" s="782"/>
      <c r="F111" s="752">
        <v>46040</v>
      </c>
      <c r="G111" s="752">
        <v>46044</v>
      </c>
      <c r="H111" s="752">
        <v>46044</v>
      </c>
      <c r="I111" s="752">
        <v>46044</v>
      </c>
      <c r="J111" s="752">
        <v>46044</v>
      </c>
      <c r="K111" s="752">
        <v>46049</v>
      </c>
      <c r="L111" s="752">
        <v>46049</v>
      </c>
      <c r="M111" s="941" t="s">
        <v>631</v>
      </c>
      <c r="N111" s="1003">
        <v>46072</v>
      </c>
      <c r="O111" s="750" t="s">
        <v>3252</v>
      </c>
      <c r="P111" s="750">
        <v>25</v>
      </c>
      <c r="Q111" s="858"/>
    </row>
    <row r="112" spans="1:17" s="1039" customFormat="1" ht="45" customHeight="1">
      <c r="A112" s="750">
        <f t="shared" si="2"/>
        <v>106</v>
      </c>
      <c r="B112" s="751" t="s">
        <v>3012</v>
      </c>
      <c r="C112" s="750" t="s">
        <v>1269</v>
      </c>
      <c r="D112" s="750" t="s">
        <v>1765</v>
      </c>
      <c r="E112" s="782"/>
      <c r="F112" s="752">
        <v>46042</v>
      </c>
      <c r="G112" s="752">
        <v>46057</v>
      </c>
      <c r="H112" s="752">
        <v>46058</v>
      </c>
      <c r="I112" s="752">
        <v>46058</v>
      </c>
      <c r="J112" s="752">
        <v>46058</v>
      </c>
      <c r="K112" s="752">
        <v>46059</v>
      </c>
      <c r="L112" s="752">
        <v>46059</v>
      </c>
      <c r="M112" s="941" t="s">
        <v>631</v>
      </c>
      <c r="N112" s="941"/>
      <c r="O112" s="750" t="s">
        <v>3139</v>
      </c>
      <c r="P112" s="750">
        <v>40</v>
      </c>
      <c r="Q112" s="858"/>
    </row>
    <row r="113" spans="1:17" s="1039" customFormat="1" ht="45" customHeight="1">
      <c r="A113" s="750">
        <f t="shared" si="2"/>
        <v>107</v>
      </c>
      <c r="B113" s="751" t="s">
        <v>3155</v>
      </c>
      <c r="C113" s="750" t="s">
        <v>76</v>
      </c>
      <c r="D113" s="750" t="s">
        <v>1765</v>
      </c>
      <c r="E113" s="782"/>
      <c r="F113" s="752">
        <v>46042</v>
      </c>
      <c r="G113" s="752">
        <v>46051</v>
      </c>
      <c r="H113" s="752">
        <v>46051</v>
      </c>
      <c r="I113" s="752">
        <v>46051</v>
      </c>
      <c r="J113" s="752">
        <v>46052</v>
      </c>
      <c r="K113" s="752">
        <v>46052</v>
      </c>
      <c r="L113" s="752">
        <v>46052</v>
      </c>
      <c r="M113" s="941" t="s">
        <v>631</v>
      </c>
      <c r="N113" s="1003">
        <v>46052</v>
      </c>
      <c r="O113" s="750" t="s">
        <v>2861</v>
      </c>
      <c r="P113" s="750">
        <v>25</v>
      </c>
      <c r="Q113" s="858"/>
    </row>
    <row r="114" spans="1:17" s="1039" customFormat="1" ht="45" customHeight="1">
      <c r="A114" s="750">
        <f t="shared" si="2"/>
        <v>108</v>
      </c>
      <c r="B114" s="751" t="s">
        <v>2447</v>
      </c>
      <c r="C114" s="750" t="s">
        <v>53</v>
      </c>
      <c r="D114" s="750" t="s">
        <v>1765</v>
      </c>
      <c r="E114" s="782"/>
      <c r="F114" s="752">
        <v>46043</v>
      </c>
      <c r="G114" s="752">
        <v>46052</v>
      </c>
      <c r="H114" s="752">
        <v>46052</v>
      </c>
      <c r="I114" s="752">
        <v>46052</v>
      </c>
      <c r="J114" s="752">
        <v>46053</v>
      </c>
      <c r="K114" s="752">
        <v>46053</v>
      </c>
      <c r="L114" s="752">
        <v>46053</v>
      </c>
      <c r="M114" s="941" t="s">
        <v>631</v>
      </c>
      <c r="N114" s="1003">
        <v>46055</v>
      </c>
      <c r="O114" s="750" t="s">
        <v>2837</v>
      </c>
      <c r="P114" s="750">
        <v>20</v>
      </c>
      <c r="Q114" s="858"/>
    </row>
    <row r="115" spans="1:17" s="1039" customFormat="1" ht="45" customHeight="1">
      <c r="A115" s="750">
        <f t="shared" si="2"/>
        <v>109</v>
      </c>
      <c r="B115" s="751" t="s">
        <v>2520</v>
      </c>
      <c r="C115" s="750" t="s">
        <v>62</v>
      </c>
      <c r="D115" s="750" t="s">
        <v>1765</v>
      </c>
      <c r="E115" s="782"/>
      <c r="F115" s="752">
        <v>46044</v>
      </c>
      <c r="G115" s="752">
        <v>46059</v>
      </c>
      <c r="H115" s="752">
        <v>46060</v>
      </c>
      <c r="I115" s="752">
        <v>46060</v>
      </c>
      <c r="J115" s="752">
        <v>46063</v>
      </c>
      <c r="K115" s="752">
        <v>46064</v>
      </c>
      <c r="L115" s="752">
        <v>46064</v>
      </c>
      <c r="M115" s="941" t="s">
        <v>631</v>
      </c>
      <c r="N115" s="1003">
        <v>46068</v>
      </c>
      <c r="O115" s="750" t="s">
        <v>3139</v>
      </c>
      <c r="P115" s="750">
        <v>40</v>
      </c>
      <c r="Q115" s="858"/>
    </row>
    <row r="116" spans="1:17" s="1039" customFormat="1" ht="45" customHeight="1">
      <c r="A116" s="750">
        <f t="shared" si="2"/>
        <v>110</v>
      </c>
      <c r="B116" s="751" t="s">
        <v>3156</v>
      </c>
      <c r="C116" s="750" t="s">
        <v>76</v>
      </c>
      <c r="D116" s="750" t="s">
        <v>1765</v>
      </c>
      <c r="E116" s="782"/>
      <c r="F116" s="752">
        <v>46045</v>
      </c>
      <c r="G116" s="752">
        <v>46052</v>
      </c>
      <c r="H116" s="752">
        <v>46053</v>
      </c>
      <c r="I116" s="752">
        <v>46053</v>
      </c>
      <c r="J116" s="752">
        <v>46053</v>
      </c>
      <c r="K116" s="752">
        <v>46053</v>
      </c>
      <c r="L116" s="752">
        <v>46053</v>
      </c>
      <c r="M116" s="941" t="s">
        <v>631</v>
      </c>
      <c r="N116" s="1003">
        <v>46058</v>
      </c>
      <c r="O116" s="750" t="s">
        <v>2861</v>
      </c>
      <c r="P116" s="750">
        <v>25</v>
      </c>
      <c r="Q116" s="858"/>
    </row>
    <row r="117" spans="1:17" s="1039" customFormat="1" ht="45" customHeight="1">
      <c r="A117" s="750">
        <f>A116+1</f>
        <v>111</v>
      </c>
      <c r="B117" s="751" t="s">
        <v>2389</v>
      </c>
      <c r="C117" s="750" t="s">
        <v>1995</v>
      </c>
      <c r="D117" s="750" t="s">
        <v>1765</v>
      </c>
      <c r="E117" s="782"/>
      <c r="F117" s="752">
        <v>46051</v>
      </c>
      <c r="G117" s="752">
        <v>46059</v>
      </c>
      <c r="H117" s="752">
        <v>46059</v>
      </c>
      <c r="I117" s="752">
        <v>46059</v>
      </c>
      <c r="J117" s="752">
        <v>46060</v>
      </c>
      <c r="K117" s="752">
        <v>46061</v>
      </c>
      <c r="L117" s="752">
        <v>46061</v>
      </c>
      <c r="M117" s="941" t="s">
        <v>631</v>
      </c>
      <c r="N117" s="1003">
        <v>46060</v>
      </c>
      <c r="O117" s="750" t="s">
        <v>3252</v>
      </c>
      <c r="P117" s="750">
        <v>20</v>
      </c>
      <c r="Q117" s="858"/>
    </row>
    <row r="118" spans="1:17" s="1039" customFormat="1" ht="45" customHeight="1">
      <c r="A118" s="750">
        <f t="shared" si="2"/>
        <v>112</v>
      </c>
      <c r="B118" s="751" t="s">
        <v>3184</v>
      </c>
      <c r="C118" s="750" t="s">
        <v>1319</v>
      </c>
      <c r="D118" s="750" t="s">
        <v>1765</v>
      </c>
      <c r="E118" s="782"/>
      <c r="F118" s="752">
        <v>46053</v>
      </c>
      <c r="G118" s="752">
        <v>46059</v>
      </c>
      <c r="H118" s="752">
        <v>46060</v>
      </c>
      <c r="I118" s="752">
        <v>46060</v>
      </c>
      <c r="J118" s="752">
        <v>46062</v>
      </c>
      <c r="K118" s="752">
        <v>46062</v>
      </c>
      <c r="L118" s="752">
        <v>46062</v>
      </c>
      <c r="M118" s="941" t="s">
        <v>631</v>
      </c>
      <c r="N118" s="1003">
        <v>46063</v>
      </c>
      <c r="O118" s="750" t="s">
        <v>2861</v>
      </c>
      <c r="P118" s="750">
        <v>25</v>
      </c>
      <c r="Q118" s="858"/>
    </row>
    <row r="119" spans="1:17" s="1039" customFormat="1" ht="45" customHeight="1">
      <c r="A119" s="750">
        <f t="shared" si="2"/>
        <v>113</v>
      </c>
      <c r="B119" s="751" t="s">
        <v>2574</v>
      </c>
      <c r="C119" s="750" t="s">
        <v>62</v>
      </c>
      <c r="D119" s="750" t="s">
        <v>1765</v>
      </c>
      <c r="E119" s="782"/>
      <c r="F119" s="752">
        <v>46056</v>
      </c>
      <c r="G119" s="752">
        <v>46059</v>
      </c>
      <c r="H119" s="752">
        <v>46059</v>
      </c>
      <c r="I119" s="752">
        <v>46059</v>
      </c>
      <c r="J119" s="752">
        <v>46059</v>
      </c>
      <c r="K119" s="752">
        <v>46060</v>
      </c>
      <c r="L119" s="752">
        <v>46060</v>
      </c>
      <c r="M119" s="941" t="s">
        <v>631</v>
      </c>
      <c r="N119" s="1003">
        <v>46060</v>
      </c>
      <c r="O119" s="750" t="s">
        <v>3231</v>
      </c>
      <c r="P119" s="750">
        <v>13</v>
      </c>
      <c r="Q119" s="858"/>
    </row>
    <row r="120" spans="1:17" s="1039" customFormat="1" ht="45" customHeight="1">
      <c r="A120" s="750">
        <f t="shared" si="2"/>
        <v>114</v>
      </c>
      <c r="B120" s="751" t="s">
        <v>2580</v>
      </c>
      <c r="C120" s="750" t="s">
        <v>76</v>
      </c>
      <c r="D120" s="750" t="s">
        <v>1765</v>
      </c>
      <c r="E120" s="782"/>
      <c r="F120" s="752">
        <v>46057</v>
      </c>
      <c r="G120" s="752">
        <v>45327</v>
      </c>
      <c r="H120" s="752">
        <v>46063</v>
      </c>
      <c r="I120" s="752">
        <v>46063</v>
      </c>
      <c r="J120" s="752">
        <v>46064</v>
      </c>
      <c r="K120" s="752">
        <v>46065</v>
      </c>
      <c r="L120" s="752">
        <v>46065</v>
      </c>
      <c r="M120" s="941" t="s">
        <v>631</v>
      </c>
      <c r="N120" s="1003">
        <v>46067</v>
      </c>
      <c r="O120" s="750" t="s">
        <v>3139</v>
      </c>
      <c r="P120" s="750">
        <v>40</v>
      </c>
      <c r="Q120" s="858"/>
    </row>
    <row r="121" spans="1:17" s="1039" customFormat="1" ht="45" customHeight="1">
      <c r="A121" s="1047">
        <f t="shared" si="2"/>
        <v>115</v>
      </c>
      <c r="B121" s="1048" t="s">
        <v>3185</v>
      </c>
      <c r="C121" s="1047" t="s">
        <v>1277</v>
      </c>
      <c r="D121" s="1047" t="s">
        <v>1765</v>
      </c>
      <c r="E121" s="947"/>
      <c r="F121" s="1049">
        <v>46058</v>
      </c>
      <c r="G121" s="1049">
        <v>46066</v>
      </c>
      <c r="H121" s="1049">
        <v>46066</v>
      </c>
      <c r="I121" s="1049">
        <v>46066</v>
      </c>
      <c r="J121" s="1049">
        <v>46067</v>
      </c>
      <c r="K121" s="1049">
        <v>46067</v>
      </c>
      <c r="L121" s="1049">
        <v>46067</v>
      </c>
      <c r="M121" s="1050" t="s">
        <v>631</v>
      </c>
      <c r="N121" s="1063">
        <v>46068</v>
      </c>
      <c r="O121" s="1047" t="s">
        <v>2861</v>
      </c>
      <c r="P121" s="1047">
        <v>25</v>
      </c>
      <c r="Q121" s="1051"/>
    </row>
    <row r="122" spans="1:17" s="1039" customFormat="1" ht="45" customHeight="1">
      <c r="A122" s="1047">
        <f t="shared" si="2"/>
        <v>116</v>
      </c>
      <c r="B122" s="1048" t="s">
        <v>529</v>
      </c>
      <c r="C122" s="1047" t="s">
        <v>76</v>
      </c>
      <c r="D122" s="1047" t="s">
        <v>3287</v>
      </c>
      <c r="E122" s="947"/>
      <c r="F122" s="1049">
        <v>46058</v>
      </c>
      <c r="G122" s="1049">
        <v>46073</v>
      </c>
      <c r="H122" s="1049">
        <v>46073</v>
      </c>
      <c r="I122" s="1049">
        <v>46073</v>
      </c>
      <c r="J122" s="1049">
        <v>46073</v>
      </c>
      <c r="K122" s="1049">
        <v>46074</v>
      </c>
      <c r="L122" s="1049">
        <v>46074</v>
      </c>
      <c r="M122" s="1050" t="s">
        <v>631</v>
      </c>
      <c r="N122" s="1063">
        <v>46073</v>
      </c>
      <c r="O122" s="1047" t="s">
        <v>2830</v>
      </c>
      <c r="P122" s="1047">
        <v>16</v>
      </c>
      <c r="Q122" s="1051"/>
    </row>
    <row r="123" spans="1:17" s="1039" customFormat="1" ht="45" customHeight="1">
      <c r="A123" s="750">
        <f t="shared" si="2"/>
        <v>117</v>
      </c>
      <c r="B123" s="751" t="s">
        <v>3152</v>
      </c>
      <c r="C123" s="750" t="s">
        <v>76</v>
      </c>
      <c r="D123" s="750" t="s">
        <v>1765</v>
      </c>
      <c r="E123" s="782"/>
      <c r="F123" s="752">
        <v>46059</v>
      </c>
      <c r="G123" s="752">
        <v>46063</v>
      </c>
      <c r="H123" s="752">
        <v>46064</v>
      </c>
      <c r="I123" s="752">
        <v>46064</v>
      </c>
      <c r="J123" s="752">
        <v>46066</v>
      </c>
      <c r="K123" s="752">
        <v>46066</v>
      </c>
      <c r="L123" s="752">
        <v>46066</v>
      </c>
      <c r="M123" s="941" t="s">
        <v>631</v>
      </c>
      <c r="N123" s="1003">
        <v>46067</v>
      </c>
      <c r="O123" s="750" t="s">
        <v>3139</v>
      </c>
      <c r="P123" s="750">
        <v>40</v>
      </c>
      <c r="Q123" s="858"/>
    </row>
    <row r="124" spans="1:17" s="1039" customFormat="1" ht="45" customHeight="1">
      <c r="A124" s="750">
        <f t="shared" si="2"/>
        <v>118</v>
      </c>
      <c r="B124" s="751" t="s">
        <v>2988</v>
      </c>
      <c r="C124" s="750" t="s">
        <v>1277</v>
      </c>
      <c r="D124" s="750" t="s">
        <v>1765</v>
      </c>
      <c r="E124" s="782"/>
      <c r="F124" s="752">
        <v>46059</v>
      </c>
      <c r="G124" s="752">
        <v>46067</v>
      </c>
      <c r="H124" s="752">
        <v>46067</v>
      </c>
      <c r="I124" s="752">
        <v>46067</v>
      </c>
      <c r="J124" s="752">
        <v>46068</v>
      </c>
      <c r="K124" s="752">
        <v>46072</v>
      </c>
      <c r="L124" s="752">
        <v>46072</v>
      </c>
      <c r="M124" s="941" t="s">
        <v>631</v>
      </c>
      <c r="N124" s="1003">
        <v>46072</v>
      </c>
      <c r="O124" s="750" t="s">
        <v>2837</v>
      </c>
      <c r="P124" s="750">
        <v>20</v>
      </c>
      <c r="Q124" s="858"/>
    </row>
    <row r="125" spans="1:17" s="1039" customFormat="1" ht="45" customHeight="1">
      <c r="A125" s="1047">
        <f t="shared" si="2"/>
        <v>119</v>
      </c>
      <c r="B125" s="1048" t="s">
        <v>2521</v>
      </c>
      <c r="C125" s="1047" t="s">
        <v>76</v>
      </c>
      <c r="D125" s="1047" t="s">
        <v>1765</v>
      </c>
      <c r="E125" s="947"/>
      <c r="F125" s="1049">
        <v>46062</v>
      </c>
      <c r="G125" s="1049">
        <v>46066</v>
      </c>
      <c r="H125" s="1049">
        <v>46066</v>
      </c>
      <c r="I125" s="1049">
        <v>46066</v>
      </c>
      <c r="J125" s="1049">
        <v>46067</v>
      </c>
      <c r="K125" s="1049">
        <v>46068</v>
      </c>
      <c r="L125" s="1049">
        <v>46068</v>
      </c>
      <c r="M125" s="1050" t="s">
        <v>631</v>
      </c>
      <c r="N125" s="1063">
        <v>46073</v>
      </c>
      <c r="O125" s="1047" t="s">
        <v>3139</v>
      </c>
      <c r="P125" s="1047">
        <v>40</v>
      </c>
      <c r="Q125" s="1051"/>
    </row>
    <row r="126" spans="1:17" s="1039" customFormat="1" ht="45" customHeight="1">
      <c r="A126" s="1047">
        <f t="shared" si="2"/>
        <v>120</v>
      </c>
      <c r="B126" s="1048" t="s">
        <v>3161</v>
      </c>
      <c r="C126" s="1047" t="s">
        <v>76</v>
      </c>
      <c r="D126" s="1047" t="s">
        <v>1765</v>
      </c>
      <c r="E126" s="947"/>
      <c r="F126" s="1049">
        <v>46062</v>
      </c>
      <c r="G126" s="1049">
        <v>46066</v>
      </c>
      <c r="H126" s="1049">
        <v>46066</v>
      </c>
      <c r="I126" s="1049">
        <v>46067</v>
      </c>
      <c r="J126" s="1049">
        <v>46067</v>
      </c>
      <c r="K126" s="1049">
        <v>46068</v>
      </c>
      <c r="L126" s="1049">
        <v>46068</v>
      </c>
      <c r="M126" s="1050" t="s">
        <v>631</v>
      </c>
      <c r="N126" s="1063">
        <v>46068</v>
      </c>
      <c r="O126" s="1047" t="s">
        <v>2861</v>
      </c>
      <c r="P126" s="1047">
        <v>25</v>
      </c>
      <c r="Q126" s="1051"/>
    </row>
    <row r="127" spans="1:17" s="1039" customFormat="1" ht="45" customHeight="1">
      <c r="A127" s="1047">
        <f t="shared" si="2"/>
        <v>121</v>
      </c>
      <c r="B127" s="1048" t="s">
        <v>3019</v>
      </c>
      <c r="C127" s="1047" t="s">
        <v>1277</v>
      </c>
      <c r="D127" s="1047" t="s">
        <v>1765</v>
      </c>
      <c r="E127" s="947"/>
      <c r="F127" s="1049">
        <v>46062</v>
      </c>
      <c r="G127" s="1049">
        <v>46068</v>
      </c>
      <c r="H127" s="1049">
        <v>46069</v>
      </c>
      <c r="I127" s="1049">
        <v>46069</v>
      </c>
      <c r="J127" s="1049">
        <v>46070</v>
      </c>
      <c r="K127" s="1049">
        <v>46071</v>
      </c>
      <c r="L127" s="1049">
        <v>46071</v>
      </c>
      <c r="M127" s="1050" t="s">
        <v>631</v>
      </c>
      <c r="N127" s="1063">
        <v>46071</v>
      </c>
      <c r="O127" s="1047" t="s">
        <v>3231</v>
      </c>
      <c r="P127" s="1047">
        <v>13</v>
      </c>
      <c r="Q127" s="1051"/>
    </row>
    <row r="128" spans="1:17" s="1039" customFormat="1" ht="45" customHeight="1">
      <c r="A128" s="1047">
        <f t="shared" si="2"/>
        <v>122</v>
      </c>
      <c r="B128" s="1048" t="s">
        <v>2915</v>
      </c>
      <c r="C128" s="1047" t="s">
        <v>1361</v>
      </c>
      <c r="D128" s="1047" t="s">
        <v>3287</v>
      </c>
      <c r="E128" s="947"/>
      <c r="F128" s="1049">
        <v>46063</v>
      </c>
      <c r="G128" s="1049">
        <v>46067</v>
      </c>
      <c r="H128" s="1049">
        <v>46068</v>
      </c>
      <c r="I128" s="1049">
        <v>46068</v>
      </c>
      <c r="J128" s="1049">
        <v>46069</v>
      </c>
      <c r="K128" s="1049">
        <v>46071</v>
      </c>
      <c r="L128" s="1049">
        <v>46071</v>
      </c>
      <c r="M128" s="1050" t="s">
        <v>631</v>
      </c>
      <c r="N128" s="1063">
        <v>46072</v>
      </c>
      <c r="O128" s="1047" t="s">
        <v>3299</v>
      </c>
      <c r="P128" s="1047">
        <v>18</v>
      </c>
      <c r="Q128" s="1051"/>
    </row>
    <row r="129" spans="1:17" s="1039" customFormat="1" ht="45" customHeight="1">
      <c r="A129" s="750">
        <f t="shared" si="2"/>
        <v>123</v>
      </c>
      <c r="B129" s="751" t="s">
        <v>2522</v>
      </c>
      <c r="C129" s="750" t="s">
        <v>62</v>
      </c>
      <c r="D129" s="750" t="s">
        <v>1765</v>
      </c>
      <c r="E129" s="782"/>
      <c r="F129" s="752">
        <v>46065</v>
      </c>
      <c r="G129" s="752">
        <v>46068</v>
      </c>
      <c r="H129" s="752">
        <v>46069</v>
      </c>
      <c r="I129" s="752">
        <v>46069</v>
      </c>
      <c r="J129" s="752">
        <v>46069</v>
      </c>
      <c r="K129" s="752">
        <v>46073</v>
      </c>
      <c r="L129" s="752">
        <v>46073</v>
      </c>
      <c r="M129" s="941" t="s">
        <v>631</v>
      </c>
      <c r="N129" s="1003">
        <v>46073</v>
      </c>
      <c r="O129" s="750" t="s">
        <v>3304</v>
      </c>
      <c r="P129" s="750">
        <v>25</v>
      </c>
      <c r="Q129" s="858"/>
    </row>
    <row r="130" spans="1:17" s="1039" customFormat="1" ht="45" customHeight="1">
      <c r="A130" s="1047">
        <f t="shared" si="2"/>
        <v>124</v>
      </c>
      <c r="B130" s="1048" t="s">
        <v>2910</v>
      </c>
      <c r="C130" s="1047" t="s">
        <v>1269</v>
      </c>
      <c r="D130" s="1047" t="s">
        <v>3287</v>
      </c>
      <c r="E130" s="947"/>
      <c r="F130" s="1049">
        <v>46063</v>
      </c>
      <c r="G130" s="1049">
        <v>46072</v>
      </c>
      <c r="H130" s="1049">
        <v>46073</v>
      </c>
      <c r="I130" s="1049">
        <v>46073</v>
      </c>
      <c r="J130" s="1049">
        <v>46073</v>
      </c>
      <c r="K130" s="1049">
        <v>46074</v>
      </c>
      <c r="L130" s="1049">
        <v>46074</v>
      </c>
      <c r="M130" s="1050" t="s">
        <v>631</v>
      </c>
      <c r="N130" s="1063">
        <v>46072</v>
      </c>
      <c r="O130" s="1047" t="s">
        <v>3300</v>
      </c>
      <c r="P130" s="1047">
        <v>15</v>
      </c>
      <c r="Q130" s="1051"/>
    </row>
    <row r="131" spans="1:17" s="1039" customFormat="1" ht="45" customHeight="1">
      <c r="A131" s="1047">
        <f t="shared" si="2"/>
        <v>125</v>
      </c>
      <c r="B131" s="1048" t="s">
        <v>2952</v>
      </c>
      <c r="C131" s="1047" t="s">
        <v>1988</v>
      </c>
      <c r="D131" s="1047" t="s">
        <v>2736</v>
      </c>
      <c r="E131" s="947"/>
      <c r="F131" s="1049">
        <v>46065</v>
      </c>
      <c r="G131" s="1049">
        <v>46077</v>
      </c>
      <c r="H131" s="1049">
        <v>46078</v>
      </c>
      <c r="I131" s="1049">
        <v>46078</v>
      </c>
      <c r="J131" s="1049">
        <v>46080</v>
      </c>
      <c r="K131" s="1049">
        <v>46080</v>
      </c>
      <c r="L131" s="1049">
        <v>46080</v>
      </c>
      <c r="M131" s="1050" t="s">
        <v>631</v>
      </c>
      <c r="N131" s="1063">
        <v>46078</v>
      </c>
      <c r="O131" s="1047" t="s">
        <v>2725</v>
      </c>
      <c r="P131" s="1047">
        <v>20</v>
      </c>
      <c r="Q131" s="1051"/>
    </row>
    <row r="132" spans="1:17" s="1039" customFormat="1" ht="45" customHeight="1">
      <c r="A132" s="1047">
        <f t="shared" si="2"/>
        <v>126</v>
      </c>
      <c r="B132" s="1048" t="s">
        <v>3153</v>
      </c>
      <c r="C132" s="1047" t="s">
        <v>62</v>
      </c>
      <c r="D132" s="1047" t="s">
        <v>1765</v>
      </c>
      <c r="E132" s="947"/>
      <c r="F132" s="1049">
        <v>46066</v>
      </c>
      <c r="G132" s="1049">
        <v>46070</v>
      </c>
      <c r="H132" s="1049">
        <v>46070</v>
      </c>
      <c r="I132" s="1049">
        <v>46070</v>
      </c>
      <c r="J132" s="1049">
        <v>46070</v>
      </c>
      <c r="K132" s="1049">
        <v>46071</v>
      </c>
      <c r="L132" s="1049">
        <v>46071</v>
      </c>
      <c r="M132" s="1050" t="s">
        <v>631</v>
      </c>
      <c r="N132" s="1063">
        <v>46072</v>
      </c>
      <c r="O132" s="1047" t="s">
        <v>3305</v>
      </c>
      <c r="P132" s="1047">
        <v>20</v>
      </c>
      <c r="Q132" s="1051"/>
    </row>
    <row r="133" spans="1:17" s="1039" customFormat="1" ht="45" customHeight="1">
      <c r="A133" s="750">
        <f t="shared" si="2"/>
        <v>127</v>
      </c>
      <c r="B133" s="751" t="s">
        <v>2930</v>
      </c>
      <c r="C133" s="750" t="s">
        <v>2212</v>
      </c>
      <c r="D133" s="750" t="s">
        <v>1765</v>
      </c>
      <c r="E133" s="783"/>
      <c r="F133" s="752">
        <v>46068</v>
      </c>
      <c r="G133" s="752">
        <v>46076</v>
      </c>
      <c r="H133" s="752">
        <v>46077</v>
      </c>
      <c r="I133" s="752">
        <v>46077</v>
      </c>
      <c r="J133" s="752">
        <v>46077</v>
      </c>
      <c r="K133" s="752">
        <v>46078</v>
      </c>
      <c r="L133" s="752">
        <v>46078</v>
      </c>
      <c r="M133" s="941" t="s">
        <v>631</v>
      </c>
      <c r="N133" s="1003">
        <v>46079</v>
      </c>
      <c r="O133" s="750" t="s">
        <v>3303</v>
      </c>
      <c r="P133" s="750">
        <v>15</v>
      </c>
      <c r="Q133" s="858"/>
    </row>
    <row r="134" spans="1:17" s="1039" customFormat="1" ht="45" customHeight="1">
      <c r="A134" s="750">
        <f t="shared" si="2"/>
        <v>128</v>
      </c>
      <c r="B134" s="751" t="s">
        <v>458</v>
      </c>
      <c r="C134" s="750" t="s">
        <v>62</v>
      </c>
      <c r="D134" s="750" t="s">
        <v>1765</v>
      </c>
      <c r="E134" s="782"/>
      <c r="F134" s="752">
        <v>46067</v>
      </c>
      <c r="G134" s="752">
        <v>46068</v>
      </c>
      <c r="H134" s="752">
        <v>46068</v>
      </c>
      <c r="I134" s="752">
        <v>46068</v>
      </c>
      <c r="J134" s="752">
        <v>46069</v>
      </c>
      <c r="K134" s="752">
        <v>46070</v>
      </c>
      <c r="L134" s="752">
        <v>46070</v>
      </c>
      <c r="M134" s="941" t="s">
        <v>631</v>
      </c>
      <c r="N134" s="1003">
        <v>46070</v>
      </c>
      <c r="O134" s="750" t="s">
        <v>2830</v>
      </c>
      <c r="P134" s="750">
        <v>16</v>
      </c>
      <c r="Q134" s="858"/>
    </row>
    <row r="135" spans="1:17" s="1039" customFormat="1" ht="45" customHeight="1">
      <c r="A135" s="1047">
        <f t="shared" si="2"/>
        <v>129</v>
      </c>
      <c r="B135" s="1048" t="s">
        <v>3010</v>
      </c>
      <c r="C135" s="1047" t="s">
        <v>1361</v>
      </c>
      <c r="D135" s="1047" t="s">
        <v>1765</v>
      </c>
      <c r="E135" s="947"/>
      <c r="F135" s="1049">
        <v>46068</v>
      </c>
      <c r="G135" s="1049">
        <v>46078</v>
      </c>
      <c r="H135" s="1049">
        <v>46080</v>
      </c>
      <c r="I135" s="1049">
        <v>46080</v>
      </c>
      <c r="J135" s="1049">
        <v>46080</v>
      </c>
      <c r="K135" s="1049">
        <v>46080</v>
      </c>
      <c r="L135" s="1049">
        <v>46080</v>
      </c>
      <c r="M135" s="1050" t="s">
        <v>631</v>
      </c>
      <c r="N135" s="1063">
        <v>46081</v>
      </c>
      <c r="O135" s="1047" t="s">
        <v>3305</v>
      </c>
      <c r="P135" s="1047">
        <v>20</v>
      </c>
      <c r="Q135" s="1051"/>
    </row>
    <row r="136" spans="1:17" s="1039" customFormat="1" ht="45" customHeight="1">
      <c r="A136" s="750">
        <f t="shared" si="2"/>
        <v>130</v>
      </c>
      <c r="B136" s="751" t="s">
        <v>3005</v>
      </c>
      <c r="C136" s="941" t="s">
        <v>3306</v>
      </c>
      <c r="D136" s="750" t="s">
        <v>1765</v>
      </c>
      <c r="E136" s="782"/>
      <c r="F136" s="752">
        <v>46068</v>
      </c>
      <c r="G136" s="752">
        <v>46074</v>
      </c>
      <c r="H136" s="752">
        <v>46074</v>
      </c>
      <c r="I136" s="752">
        <v>46074</v>
      </c>
      <c r="J136" s="752">
        <v>46075</v>
      </c>
      <c r="K136" s="752">
        <v>46077</v>
      </c>
      <c r="L136" s="752">
        <v>46077</v>
      </c>
      <c r="M136" s="941" t="s">
        <v>631</v>
      </c>
      <c r="N136" s="1003">
        <v>46078</v>
      </c>
      <c r="O136" s="750" t="s">
        <v>2843</v>
      </c>
      <c r="P136" s="750">
        <v>20</v>
      </c>
      <c r="Q136" s="858"/>
    </row>
    <row r="137" spans="1:17" s="1039" customFormat="1" ht="59" customHeight="1">
      <c r="A137" s="750">
        <f t="shared" si="2"/>
        <v>131</v>
      </c>
      <c r="B137" s="751" t="s">
        <v>3017</v>
      </c>
      <c r="C137" s="941" t="s">
        <v>3308</v>
      </c>
      <c r="D137" s="750" t="s">
        <v>2736</v>
      </c>
      <c r="E137" s="782"/>
      <c r="F137" s="752">
        <v>46072</v>
      </c>
      <c r="G137" s="752">
        <v>46082</v>
      </c>
      <c r="H137" s="752">
        <v>46082</v>
      </c>
      <c r="I137" s="752">
        <v>46086</v>
      </c>
      <c r="J137" s="752">
        <v>46087</v>
      </c>
      <c r="K137" s="752">
        <v>46097</v>
      </c>
      <c r="L137" s="752">
        <v>46097</v>
      </c>
      <c r="M137" s="941" t="s">
        <v>631</v>
      </c>
      <c r="N137" s="1003">
        <v>46097</v>
      </c>
      <c r="O137" s="750" t="s">
        <v>3305</v>
      </c>
      <c r="P137" s="750">
        <v>20</v>
      </c>
      <c r="Q137" s="858"/>
    </row>
    <row r="138" spans="1:17" s="1039" customFormat="1" ht="45" customHeight="1">
      <c r="A138" s="750">
        <f t="shared" si="2"/>
        <v>132</v>
      </c>
      <c r="B138" s="751" t="s">
        <v>3188</v>
      </c>
      <c r="C138" s="941" t="s">
        <v>2197</v>
      </c>
      <c r="D138" s="750" t="s">
        <v>2736</v>
      </c>
      <c r="E138" s="782"/>
      <c r="F138" s="752">
        <v>46072</v>
      </c>
      <c r="G138" s="752">
        <v>46079</v>
      </c>
      <c r="H138" s="752">
        <v>46080</v>
      </c>
      <c r="I138" s="752">
        <v>46080</v>
      </c>
      <c r="J138" s="752">
        <v>46081</v>
      </c>
      <c r="K138" s="752">
        <v>46081</v>
      </c>
      <c r="L138" s="752">
        <v>46081</v>
      </c>
      <c r="M138" s="941" t="s">
        <v>631</v>
      </c>
      <c r="N138" s="1003">
        <v>46084</v>
      </c>
      <c r="O138" s="750" t="s">
        <v>2861</v>
      </c>
      <c r="P138" s="750">
        <v>20</v>
      </c>
      <c r="Q138" s="858"/>
    </row>
    <row r="139" spans="1:17" s="1039" customFormat="1" ht="38" customHeight="1">
      <c r="A139" s="750">
        <f t="shared" si="2"/>
        <v>133</v>
      </c>
      <c r="B139" s="751" t="s">
        <v>3309</v>
      </c>
      <c r="C139" s="941" t="s">
        <v>76</v>
      </c>
      <c r="D139" s="750" t="s">
        <v>3286</v>
      </c>
      <c r="E139" s="782"/>
      <c r="F139" s="752">
        <v>46072</v>
      </c>
      <c r="G139" s="752">
        <v>46078</v>
      </c>
      <c r="H139" s="752">
        <v>46078</v>
      </c>
      <c r="I139" s="752">
        <v>46078</v>
      </c>
      <c r="J139" s="752">
        <v>46078</v>
      </c>
      <c r="K139" s="752">
        <v>46079</v>
      </c>
      <c r="L139" s="752">
        <v>46079</v>
      </c>
      <c r="M139" s="941" t="s">
        <v>631</v>
      </c>
      <c r="N139" s="1003">
        <v>46105</v>
      </c>
      <c r="O139" s="750" t="s">
        <v>3252</v>
      </c>
      <c r="P139" s="750">
        <v>15</v>
      </c>
      <c r="Q139" s="858"/>
    </row>
    <row r="140" spans="1:17" s="1039" customFormat="1" ht="45" customHeight="1">
      <c r="A140" s="750">
        <f t="shared" ref="A140:A144" si="3">A139+1</f>
        <v>134</v>
      </c>
      <c r="B140" s="751" t="s">
        <v>2912</v>
      </c>
      <c r="C140" s="941" t="s">
        <v>1269</v>
      </c>
      <c r="D140" s="750" t="s">
        <v>3286</v>
      </c>
      <c r="E140" s="782"/>
      <c r="F140" s="752">
        <v>46072</v>
      </c>
      <c r="G140" s="752">
        <v>46082</v>
      </c>
      <c r="H140" s="752">
        <v>46082</v>
      </c>
      <c r="I140" s="752">
        <v>46082</v>
      </c>
      <c r="J140" s="752">
        <v>46083</v>
      </c>
      <c r="K140" s="752">
        <v>46083</v>
      </c>
      <c r="L140" s="752">
        <v>46083</v>
      </c>
      <c r="M140" s="941" t="s">
        <v>631</v>
      </c>
      <c r="N140" s="1003">
        <v>46095</v>
      </c>
      <c r="O140" s="750" t="s">
        <v>3252</v>
      </c>
      <c r="P140" s="750">
        <v>15</v>
      </c>
      <c r="Q140" s="858"/>
    </row>
    <row r="141" spans="1:17" s="1039" customFormat="1" ht="45" customHeight="1">
      <c r="A141" s="750">
        <f t="shared" si="3"/>
        <v>135</v>
      </c>
      <c r="B141" s="751" t="s">
        <v>2558</v>
      </c>
      <c r="C141" s="941" t="s">
        <v>76</v>
      </c>
      <c r="D141" s="750" t="s">
        <v>3286</v>
      </c>
      <c r="E141" s="782"/>
      <c r="F141" s="752">
        <v>46074</v>
      </c>
      <c r="G141" s="752">
        <v>46079</v>
      </c>
      <c r="H141" s="752">
        <v>46080</v>
      </c>
      <c r="I141" s="752">
        <v>46080</v>
      </c>
      <c r="J141" s="752">
        <v>46081</v>
      </c>
      <c r="K141" s="752">
        <v>46081</v>
      </c>
      <c r="L141" s="752">
        <v>46081</v>
      </c>
      <c r="M141" s="941" t="s">
        <v>631</v>
      </c>
      <c r="N141" s="1003">
        <v>46084</v>
      </c>
      <c r="O141" s="750" t="s">
        <v>2875</v>
      </c>
      <c r="P141" s="750">
        <v>10</v>
      </c>
      <c r="Q141" s="858"/>
    </row>
    <row r="142" spans="1:17" s="1039" customFormat="1" ht="45" customHeight="1">
      <c r="A142" s="750">
        <f t="shared" si="3"/>
        <v>136</v>
      </c>
      <c r="B142" s="751" t="s">
        <v>3018</v>
      </c>
      <c r="C142" s="941" t="s">
        <v>1988</v>
      </c>
      <c r="D142" s="750" t="s">
        <v>2736</v>
      </c>
      <c r="E142" s="782"/>
      <c r="F142" s="752">
        <v>46074</v>
      </c>
      <c r="G142" s="752">
        <v>46087</v>
      </c>
      <c r="H142" s="752">
        <v>46088</v>
      </c>
      <c r="I142" s="752">
        <v>46089</v>
      </c>
      <c r="J142" s="752">
        <v>46090</v>
      </c>
      <c r="K142" s="752">
        <v>46091</v>
      </c>
      <c r="L142" s="752">
        <v>46091</v>
      </c>
      <c r="M142" s="941" t="s">
        <v>631</v>
      </c>
      <c r="N142" s="1003">
        <v>46091</v>
      </c>
      <c r="O142" s="750" t="s">
        <v>3231</v>
      </c>
      <c r="P142" s="750">
        <v>13</v>
      </c>
      <c r="Q142" s="858"/>
    </row>
    <row r="143" spans="1:17" s="1039" customFormat="1" ht="45" customHeight="1">
      <c r="A143" s="750">
        <f t="shared" si="3"/>
        <v>137</v>
      </c>
      <c r="B143" s="751" t="s">
        <v>2994</v>
      </c>
      <c r="C143" s="941" t="s">
        <v>1269</v>
      </c>
      <c r="D143" s="750" t="s">
        <v>1765</v>
      </c>
      <c r="E143" s="782"/>
      <c r="F143" s="752">
        <v>46074</v>
      </c>
      <c r="G143" s="752">
        <v>46079</v>
      </c>
      <c r="H143" s="752">
        <v>46080</v>
      </c>
      <c r="I143" s="752">
        <v>46080</v>
      </c>
      <c r="J143" s="752">
        <v>46081</v>
      </c>
      <c r="K143" s="752">
        <v>46081</v>
      </c>
      <c r="L143" s="752">
        <v>46081</v>
      </c>
      <c r="M143" s="941" t="s">
        <v>631</v>
      </c>
      <c r="N143" s="1003">
        <v>46087</v>
      </c>
      <c r="O143" s="750" t="s">
        <v>2837</v>
      </c>
      <c r="P143" s="750">
        <v>18</v>
      </c>
      <c r="Q143" s="858"/>
    </row>
    <row r="144" spans="1:17" s="1039" customFormat="1" ht="45" customHeight="1">
      <c r="A144" s="750">
        <f t="shared" si="3"/>
        <v>138</v>
      </c>
      <c r="B144" s="751" t="s">
        <v>538</v>
      </c>
      <c r="C144" s="941" t="s">
        <v>249</v>
      </c>
      <c r="D144" s="750" t="s">
        <v>3286</v>
      </c>
      <c r="E144" s="782"/>
      <c r="F144" s="752">
        <v>46075</v>
      </c>
      <c r="G144" s="752">
        <v>46078</v>
      </c>
      <c r="H144" s="752">
        <v>46079</v>
      </c>
      <c r="I144" s="752">
        <v>46079</v>
      </c>
      <c r="J144" s="752">
        <v>46079</v>
      </c>
      <c r="K144" s="752">
        <v>46079</v>
      </c>
      <c r="L144" s="752">
        <v>46079</v>
      </c>
      <c r="M144" s="941" t="s">
        <v>631</v>
      </c>
      <c r="N144" s="1003">
        <v>46081</v>
      </c>
      <c r="O144" s="750" t="s">
        <v>2830</v>
      </c>
      <c r="P144" s="750">
        <v>16</v>
      </c>
      <c r="Q144" s="858"/>
    </row>
    <row r="145" spans="1:18" s="1039" customFormat="1" ht="45" customHeight="1">
      <c r="A145" s="1047">
        <f t="shared" ref="A145:A244" si="4">A144+1</f>
        <v>139</v>
      </c>
      <c r="B145" s="1048" t="s">
        <v>188</v>
      </c>
      <c r="C145" s="1050" t="s">
        <v>76</v>
      </c>
      <c r="D145" s="1047" t="s">
        <v>3286</v>
      </c>
      <c r="E145" s="947"/>
      <c r="F145" s="1049">
        <v>46079</v>
      </c>
      <c r="G145" s="1049">
        <v>46093</v>
      </c>
      <c r="H145" s="1049">
        <v>46093</v>
      </c>
      <c r="I145" s="1049">
        <v>46093</v>
      </c>
      <c r="J145" s="1049">
        <v>46093</v>
      </c>
      <c r="K145" s="1049">
        <v>46094</v>
      </c>
      <c r="L145" s="1049">
        <v>46094</v>
      </c>
      <c r="M145" s="1050" t="s">
        <v>631</v>
      </c>
      <c r="N145" s="1003">
        <v>46105</v>
      </c>
      <c r="O145" s="1047" t="s">
        <v>3252</v>
      </c>
      <c r="P145" s="1047">
        <v>15</v>
      </c>
      <c r="Q145" s="1051"/>
    </row>
    <row r="146" spans="1:18" s="1039" customFormat="1" ht="45" customHeight="1">
      <c r="A146" s="750">
        <f t="shared" si="4"/>
        <v>140</v>
      </c>
      <c r="B146" s="751" t="s">
        <v>2918</v>
      </c>
      <c r="C146" s="941" t="s">
        <v>1953</v>
      </c>
      <c r="D146" s="750" t="s">
        <v>3286</v>
      </c>
      <c r="E146" s="782"/>
      <c r="F146" s="752">
        <v>46079</v>
      </c>
      <c r="G146" s="752">
        <v>46095</v>
      </c>
      <c r="H146" s="752">
        <v>46103</v>
      </c>
      <c r="I146" s="752">
        <v>46103</v>
      </c>
      <c r="J146" s="752">
        <v>46103</v>
      </c>
      <c r="K146" s="752">
        <v>46104</v>
      </c>
      <c r="L146" s="752">
        <v>46104</v>
      </c>
      <c r="M146" s="941" t="s">
        <v>631</v>
      </c>
      <c r="N146" s="1003">
        <v>46104</v>
      </c>
      <c r="O146" s="750" t="s">
        <v>2830</v>
      </c>
      <c r="P146" s="750">
        <v>16</v>
      </c>
      <c r="Q146" s="858"/>
    </row>
    <row r="147" spans="1:18" s="1039" customFormat="1" ht="45" customHeight="1">
      <c r="A147" s="750">
        <f t="shared" si="4"/>
        <v>141</v>
      </c>
      <c r="B147" s="751" t="s">
        <v>735</v>
      </c>
      <c r="C147" s="941" t="s">
        <v>53</v>
      </c>
      <c r="D147" s="750" t="s">
        <v>3286</v>
      </c>
      <c r="E147" s="782"/>
      <c r="F147" s="752">
        <v>46086</v>
      </c>
      <c r="G147" s="752">
        <v>46110</v>
      </c>
      <c r="H147" s="752">
        <v>46111</v>
      </c>
      <c r="I147" s="752">
        <v>46111</v>
      </c>
      <c r="J147" s="752">
        <v>46111</v>
      </c>
      <c r="K147" s="752">
        <v>46112</v>
      </c>
      <c r="L147" s="752">
        <v>46112</v>
      </c>
      <c r="M147" s="941" t="s">
        <v>631</v>
      </c>
      <c r="N147" s="1003">
        <v>46118</v>
      </c>
      <c r="O147" s="750" t="s">
        <v>3255</v>
      </c>
      <c r="P147" s="750">
        <v>10</v>
      </c>
      <c r="Q147" s="858"/>
    </row>
    <row r="148" spans="1:18" s="1039" customFormat="1" ht="45" customHeight="1">
      <c r="A148" s="750">
        <f t="shared" si="4"/>
        <v>142</v>
      </c>
      <c r="B148" s="751" t="s">
        <v>3021</v>
      </c>
      <c r="C148" s="941" t="s">
        <v>1319</v>
      </c>
      <c r="D148" s="750" t="s">
        <v>1765</v>
      </c>
      <c r="E148" s="782"/>
      <c r="F148" s="752">
        <v>46081</v>
      </c>
      <c r="G148" s="752">
        <v>46101</v>
      </c>
      <c r="H148" s="752">
        <v>46103</v>
      </c>
      <c r="I148" s="752">
        <v>46103</v>
      </c>
      <c r="J148" s="752">
        <v>46104</v>
      </c>
      <c r="K148" s="752">
        <v>46107</v>
      </c>
      <c r="L148" s="752">
        <v>46107</v>
      </c>
      <c r="M148" s="941" t="s">
        <v>631</v>
      </c>
      <c r="N148" s="1003">
        <v>46113</v>
      </c>
      <c r="O148" s="750" t="s">
        <v>3139</v>
      </c>
      <c r="P148" s="750">
        <v>20</v>
      </c>
      <c r="Q148" s="858"/>
    </row>
    <row r="149" spans="1:18" s="1039" customFormat="1" ht="45" customHeight="1">
      <c r="A149" s="750">
        <f t="shared" si="4"/>
        <v>143</v>
      </c>
      <c r="B149" s="751" t="s">
        <v>2981</v>
      </c>
      <c r="C149" s="941" t="s">
        <v>1988</v>
      </c>
      <c r="D149" s="750" t="s">
        <v>2736</v>
      </c>
      <c r="E149" s="782"/>
      <c r="F149" s="752">
        <v>46082</v>
      </c>
      <c r="G149" s="752">
        <v>46103</v>
      </c>
      <c r="H149" s="752">
        <v>46104</v>
      </c>
      <c r="I149" s="752">
        <v>46104</v>
      </c>
      <c r="J149" s="752">
        <v>46105</v>
      </c>
      <c r="K149" s="752">
        <v>46109</v>
      </c>
      <c r="L149" s="752">
        <v>46109</v>
      </c>
      <c r="M149" s="941" t="s">
        <v>631</v>
      </c>
      <c r="N149" s="1003">
        <v>46125</v>
      </c>
      <c r="O149" s="750" t="s">
        <v>2725</v>
      </c>
      <c r="P149" s="750">
        <v>15</v>
      </c>
      <c r="Q149" s="858"/>
    </row>
    <row r="150" spans="1:18" s="1039" customFormat="1" ht="45" customHeight="1">
      <c r="A150" s="750">
        <f t="shared" si="4"/>
        <v>144</v>
      </c>
      <c r="B150" s="751" t="s">
        <v>3122</v>
      </c>
      <c r="C150" s="941" t="s">
        <v>3313</v>
      </c>
      <c r="D150" s="750" t="s">
        <v>2736</v>
      </c>
      <c r="E150" s="782"/>
      <c r="F150" s="752">
        <v>46082</v>
      </c>
      <c r="G150" s="752">
        <v>46091</v>
      </c>
      <c r="H150" s="752">
        <v>46092</v>
      </c>
      <c r="I150" s="752">
        <v>46092</v>
      </c>
      <c r="J150" s="752">
        <v>46094</v>
      </c>
      <c r="K150" s="752">
        <v>46096</v>
      </c>
      <c r="L150" s="752">
        <v>46096</v>
      </c>
      <c r="M150" s="941" t="s">
        <v>631</v>
      </c>
      <c r="N150" s="1003">
        <v>46095</v>
      </c>
      <c r="O150" s="750" t="s">
        <v>2843</v>
      </c>
      <c r="P150" s="750">
        <v>20</v>
      </c>
      <c r="Q150" s="858"/>
    </row>
    <row r="151" spans="1:18" s="1039" customFormat="1" ht="45" customHeight="1">
      <c r="A151" s="750">
        <f t="shared" si="4"/>
        <v>145</v>
      </c>
      <c r="B151" s="751" t="s">
        <v>3014</v>
      </c>
      <c r="C151" s="941" t="s">
        <v>1269</v>
      </c>
      <c r="D151" s="750" t="s">
        <v>3286</v>
      </c>
      <c r="E151" s="782"/>
      <c r="F151" s="752">
        <v>46082</v>
      </c>
      <c r="G151" s="752">
        <v>46104</v>
      </c>
      <c r="H151" s="752">
        <v>46104</v>
      </c>
      <c r="I151" s="752">
        <v>46104</v>
      </c>
      <c r="J151" s="752">
        <v>46105</v>
      </c>
      <c r="K151" s="752">
        <v>46106</v>
      </c>
      <c r="L151" s="752">
        <v>46106</v>
      </c>
      <c r="M151" s="941" t="s">
        <v>631</v>
      </c>
      <c r="N151" s="1003">
        <v>46109</v>
      </c>
      <c r="O151" s="750" t="s">
        <v>2875</v>
      </c>
      <c r="P151" s="750">
        <v>10</v>
      </c>
      <c r="Q151" s="858"/>
    </row>
    <row r="152" spans="1:18" s="1039" customFormat="1" ht="45" customHeight="1">
      <c r="A152" s="750">
        <f t="shared" si="4"/>
        <v>146</v>
      </c>
      <c r="B152" s="751" t="s">
        <v>3009</v>
      </c>
      <c r="C152" s="941" t="s">
        <v>1361</v>
      </c>
      <c r="D152" s="750" t="s">
        <v>1765</v>
      </c>
      <c r="E152" s="782"/>
      <c r="F152" s="752">
        <v>46083</v>
      </c>
      <c r="G152" s="752">
        <v>46093</v>
      </c>
      <c r="H152" s="752">
        <v>46094</v>
      </c>
      <c r="I152" s="752">
        <v>46094</v>
      </c>
      <c r="J152" s="752">
        <v>46097</v>
      </c>
      <c r="K152" s="752">
        <v>46099</v>
      </c>
      <c r="L152" s="752">
        <v>46099</v>
      </c>
      <c r="M152" s="941" t="s">
        <v>631</v>
      </c>
      <c r="N152" s="1003">
        <v>46099</v>
      </c>
      <c r="O152" s="750" t="s">
        <v>3139</v>
      </c>
      <c r="P152" s="750">
        <v>20</v>
      </c>
      <c r="Q152" s="858"/>
    </row>
    <row r="153" spans="1:18" s="1039" customFormat="1" ht="45" customHeight="1">
      <c r="A153" s="750">
        <f t="shared" si="4"/>
        <v>147</v>
      </c>
      <c r="B153" s="751" t="s">
        <v>2904</v>
      </c>
      <c r="C153" s="941" t="s">
        <v>1319</v>
      </c>
      <c r="D153" s="750" t="s">
        <v>3287</v>
      </c>
      <c r="E153" s="782"/>
      <c r="F153" s="752">
        <v>46106</v>
      </c>
      <c r="G153" s="752">
        <v>46110</v>
      </c>
      <c r="H153" s="752">
        <v>46111</v>
      </c>
      <c r="I153" s="752">
        <v>46111</v>
      </c>
      <c r="J153" s="752">
        <v>46111</v>
      </c>
      <c r="K153" s="752">
        <v>46111</v>
      </c>
      <c r="L153" s="752">
        <v>46111</v>
      </c>
      <c r="M153" s="941" t="s">
        <v>631</v>
      </c>
      <c r="N153" s="1003">
        <v>46118</v>
      </c>
      <c r="O153" s="750" t="s">
        <v>3252</v>
      </c>
      <c r="P153" s="750">
        <v>10</v>
      </c>
      <c r="Q153" s="858"/>
    </row>
    <row r="154" spans="1:18" s="1039" customFormat="1" ht="45" customHeight="1">
      <c r="A154" s="750">
        <f t="shared" si="4"/>
        <v>148</v>
      </c>
      <c r="B154" s="751" t="s">
        <v>200</v>
      </c>
      <c r="C154" s="941" t="s">
        <v>76</v>
      </c>
      <c r="D154" s="750" t="s">
        <v>3287</v>
      </c>
      <c r="E154" s="782"/>
      <c r="F154" s="752">
        <v>46094</v>
      </c>
      <c r="G154" s="752">
        <v>46099</v>
      </c>
      <c r="H154" s="752">
        <v>46100</v>
      </c>
      <c r="I154" s="752">
        <v>46100</v>
      </c>
      <c r="J154" s="752">
        <v>46100</v>
      </c>
      <c r="K154" s="752">
        <v>46100</v>
      </c>
      <c r="L154" s="752">
        <v>46100</v>
      </c>
      <c r="M154" s="941" t="s">
        <v>631</v>
      </c>
      <c r="N154" s="1003">
        <v>46100</v>
      </c>
      <c r="O154" s="750" t="s">
        <v>3252</v>
      </c>
      <c r="P154" s="750">
        <v>20</v>
      </c>
      <c r="Q154" s="858"/>
    </row>
    <row r="155" spans="1:18" s="1039" customFormat="1" ht="45" customHeight="1">
      <c r="A155" s="750">
        <f t="shared" si="4"/>
        <v>149</v>
      </c>
      <c r="B155" s="751" t="s">
        <v>2579</v>
      </c>
      <c r="C155" s="941" t="s">
        <v>3339</v>
      </c>
      <c r="D155" s="750" t="s">
        <v>2736</v>
      </c>
      <c r="E155" s="782"/>
      <c r="F155" s="752">
        <v>46097</v>
      </c>
      <c r="G155" s="752">
        <v>46110</v>
      </c>
      <c r="H155" s="752">
        <v>46111</v>
      </c>
      <c r="I155" s="752">
        <v>46111</v>
      </c>
      <c r="J155" s="752">
        <v>46111</v>
      </c>
      <c r="K155" s="752">
        <v>46112</v>
      </c>
      <c r="L155" s="752">
        <v>46112</v>
      </c>
      <c r="M155" s="941" t="s">
        <v>631</v>
      </c>
      <c r="N155" s="1003">
        <v>46121</v>
      </c>
      <c r="O155" s="750" t="s">
        <v>3139</v>
      </c>
      <c r="P155" s="750">
        <v>14</v>
      </c>
      <c r="Q155" s="858"/>
    </row>
    <row r="156" spans="1:18" s="1039" customFormat="1" ht="45" customHeight="1">
      <c r="A156" s="750">
        <f t="shared" si="4"/>
        <v>150</v>
      </c>
      <c r="B156" s="751" t="s">
        <v>3120</v>
      </c>
      <c r="C156" s="941" t="s">
        <v>2197</v>
      </c>
      <c r="D156" s="750" t="s">
        <v>2736</v>
      </c>
      <c r="E156" s="782"/>
      <c r="F156" s="752">
        <v>46105</v>
      </c>
      <c r="G156" s="752">
        <v>46115</v>
      </c>
      <c r="H156" s="752">
        <v>46116</v>
      </c>
      <c r="I156" s="752">
        <v>46116</v>
      </c>
      <c r="J156" s="752">
        <v>46116</v>
      </c>
      <c r="K156" s="752">
        <v>46118</v>
      </c>
      <c r="L156" s="752">
        <v>46118</v>
      </c>
      <c r="M156" s="941" t="s">
        <v>631</v>
      </c>
      <c r="N156" s="1003">
        <v>46115</v>
      </c>
      <c r="O156" s="750" t="s">
        <v>2843</v>
      </c>
      <c r="P156" s="750">
        <v>16</v>
      </c>
      <c r="Q156" s="858"/>
      <c r="R156" s="1188"/>
    </row>
    <row r="157" spans="1:18" s="1039" customFormat="1" ht="45" customHeight="1">
      <c r="A157" s="750">
        <f>A156+1</f>
        <v>151</v>
      </c>
      <c r="B157" s="751" t="s">
        <v>3119</v>
      </c>
      <c r="C157" s="941" t="s">
        <v>1977</v>
      </c>
      <c r="D157" s="750" t="s">
        <v>2736</v>
      </c>
      <c r="E157" s="782"/>
      <c r="F157" s="752">
        <v>46104</v>
      </c>
      <c r="G157" s="752">
        <v>46110</v>
      </c>
      <c r="H157" s="752">
        <v>46111</v>
      </c>
      <c r="I157" s="752">
        <v>46111</v>
      </c>
      <c r="J157" s="752">
        <v>46111</v>
      </c>
      <c r="K157" s="752">
        <v>46111</v>
      </c>
      <c r="L157" s="752">
        <v>46111</v>
      </c>
      <c r="M157" s="941" t="s">
        <v>631</v>
      </c>
      <c r="N157" s="1003">
        <v>46152</v>
      </c>
      <c r="O157" s="750" t="s">
        <v>3139</v>
      </c>
      <c r="P157" s="750">
        <v>16</v>
      </c>
      <c r="Q157" s="858"/>
    </row>
    <row r="158" spans="1:18" s="1039" customFormat="1" ht="45" customHeight="1">
      <c r="A158" s="750">
        <f t="shared" si="4"/>
        <v>152</v>
      </c>
      <c r="B158" s="751" t="s">
        <v>2917</v>
      </c>
      <c r="C158" s="941" t="s">
        <v>3351</v>
      </c>
      <c r="D158" s="750" t="s">
        <v>3287</v>
      </c>
      <c r="E158" s="782"/>
      <c r="F158" s="752">
        <v>46143</v>
      </c>
      <c r="G158" s="752">
        <v>46155</v>
      </c>
      <c r="H158" s="752">
        <v>46157</v>
      </c>
      <c r="I158" s="752">
        <v>46157</v>
      </c>
      <c r="J158" s="752">
        <v>46157</v>
      </c>
      <c r="K158" s="752">
        <v>46161</v>
      </c>
      <c r="L158" s="752">
        <v>46161</v>
      </c>
      <c r="M158" s="941" t="s">
        <v>631</v>
      </c>
      <c r="N158" s="1003">
        <v>46158</v>
      </c>
      <c r="O158" s="750" t="s">
        <v>2830</v>
      </c>
      <c r="P158" s="750">
        <v>16</v>
      </c>
      <c r="Q158" s="858"/>
      <c r="R158" s="1188"/>
    </row>
    <row r="159" spans="1:18" s="1039" customFormat="1" ht="45" customHeight="1">
      <c r="A159" s="750">
        <f t="shared" si="4"/>
        <v>153</v>
      </c>
      <c r="B159" s="751" t="s">
        <v>2984</v>
      </c>
      <c r="C159" s="941" t="s">
        <v>2023</v>
      </c>
      <c r="D159" s="750" t="s">
        <v>2736</v>
      </c>
      <c r="E159" s="782"/>
      <c r="F159" s="752">
        <v>46106</v>
      </c>
      <c r="G159" s="752">
        <v>46119</v>
      </c>
      <c r="H159" s="752">
        <v>46119</v>
      </c>
      <c r="I159" s="752">
        <v>46122</v>
      </c>
      <c r="J159" s="752">
        <v>46122</v>
      </c>
      <c r="K159" s="752">
        <v>46124</v>
      </c>
      <c r="L159" s="752">
        <v>46124</v>
      </c>
      <c r="M159" s="941" t="s">
        <v>631</v>
      </c>
      <c r="N159" s="1003">
        <v>46125</v>
      </c>
      <c r="O159" s="750" t="s">
        <v>2725</v>
      </c>
      <c r="P159" s="750">
        <v>15</v>
      </c>
      <c r="Q159" s="858"/>
      <c r="R159" s="1188"/>
    </row>
    <row r="160" spans="1:18" s="1039" customFormat="1" ht="45" customHeight="1">
      <c r="A160" s="750">
        <f t="shared" si="4"/>
        <v>154</v>
      </c>
      <c r="B160" s="751" t="s">
        <v>3150</v>
      </c>
      <c r="C160" s="941" t="s">
        <v>76</v>
      </c>
      <c r="D160" s="750" t="s">
        <v>3287</v>
      </c>
      <c r="E160" s="782"/>
      <c r="F160" s="752">
        <v>46106</v>
      </c>
      <c r="G160" s="752">
        <v>46116</v>
      </c>
      <c r="H160" s="752">
        <v>46116</v>
      </c>
      <c r="I160" s="752">
        <v>46116</v>
      </c>
      <c r="J160" s="752">
        <v>46116</v>
      </c>
      <c r="K160" s="752">
        <v>46117</v>
      </c>
      <c r="L160" s="752">
        <v>46117</v>
      </c>
      <c r="M160" s="941" t="s">
        <v>631</v>
      </c>
      <c r="N160" s="1003">
        <v>46150</v>
      </c>
      <c r="O160" s="750" t="s">
        <v>2875</v>
      </c>
      <c r="P160" s="750">
        <v>12</v>
      </c>
      <c r="Q160" s="858"/>
    </row>
    <row r="161" spans="1:18" s="1039" customFormat="1" ht="45" customHeight="1">
      <c r="A161" s="750">
        <f t="shared" si="4"/>
        <v>155</v>
      </c>
      <c r="B161" s="751" t="s">
        <v>3149</v>
      </c>
      <c r="C161" s="941" t="s">
        <v>53</v>
      </c>
      <c r="D161" s="750" t="s">
        <v>3287</v>
      </c>
      <c r="E161" s="782"/>
      <c r="F161" s="752">
        <v>46110</v>
      </c>
      <c r="G161" s="752">
        <v>46116</v>
      </c>
      <c r="H161" s="752">
        <v>46117</v>
      </c>
      <c r="I161" s="752">
        <v>46117</v>
      </c>
      <c r="J161" s="752">
        <v>46118</v>
      </c>
      <c r="K161" s="752">
        <v>46119</v>
      </c>
      <c r="L161" s="752">
        <v>46119</v>
      </c>
      <c r="M161" s="941" t="s">
        <v>631</v>
      </c>
      <c r="N161" s="1003">
        <v>46119</v>
      </c>
      <c r="O161" s="750" t="s">
        <v>3107</v>
      </c>
      <c r="P161" s="750">
        <v>11</v>
      </c>
      <c r="Q161" s="858"/>
      <c r="R161" s="1188"/>
    </row>
    <row r="162" spans="1:18" s="1039" customFormat="1" ht="45" customHeight="1">
      <c r="A162" s="750">
        <f t="shared" si="4"/>
        <v>156</v>
      </c>
      <c r="B162" s="751" t="s">
        <v>118</v>
      </c>
      <c r="C162" s="941" t="s">
        <v>53</v>
      </c>
      <c r="D162" s="750" t="s">
        <v>3287</v>
      </c>
      <c r="E162" s="782"/>
      <c r="F162" s="752">
        <v>46111</v>
      </c>
      <c r="G162" s="752">
        <v>46116</v>
      </c>
      <c r="H162" s="752">
        <v>46118</v>
      </c>
      <c r="I162" s="752">
        <v>46118</v>
      </c>
      <c r="J162" s="752">
        <v>46118</v>
      </c>
      <c r="K162" s="752">
        <v>46119</v>
      </c>
      <c r="L162" s="752">
        <v>46119</v>
      </c>
      <c r="M162" s="941" t="s">
        <v>631</v>
      </c>
      <c r="N162" s="1003">
        <v>46122</v>
      </c>
      <c r="O162" s="750" t="s">
        <v>3397</v>
      </c>
      <c r="P162" s="750">
        <v>10</v>
      </c>
      <c r="Q162" s="858"/>
    </row>
    <row r="163" spans="1:18" s="1039" customFormat="1" ht="45" customHeight="1">
      <c r="A163" s="750">
        <f t="shared" si="4"/>
        <v>157</v>
      </c>
      <c r="B163" s="751" t="s">
        <v>2890</v>
      </c>
      <c r="C163" s="941" t="s">
        <v>1935</v>
      </c>
      <c r="D163" s="750" t="s">
        <v>3287</v>
      </c>
      <c r="E163" s="782"/>
      <c r="F163" s="752">
        <v>46123</v>
      </c>
      <c r="G163" s="752">
        <v>46133</v>
      </c>
      <c r="H163" s="752">
        <v>46133</v>
      </c>
      <c r="I163" s="752">
        <v>46137</v>
      </c>
      <c r="J163" s="752">
        <v>46137</v>
      </c>
      <c r="K163" s="752">
        <v>46139</v>
      </c>
      <c r="L163" s="752">
        <v>46139</v>
      </c>
      <c r="M163" s="941" t="s">
        <v>631</v>
      </c>
      <c r="N163" s="941"/>
      <c r="O163" s="750" t="s">
        <v>3397</v>
      </c>
      <c r="P163" s="750">
        <v>13</v>
      </c>
      <c r="Q163" s="858"/>
    </row>
    <row r="164" spans="1:18" s="1039" customFormat="1" ht="45" customHeight="1">
      <c r="A164" s="750">
        <f t="shared" si="4"/>
        <v>158</v>
      </c>
      <c r="B164" s="751" t="s">
        <v>3193</v>
      </c>
      <c r="C164" s="941" t="s">
        <v>3412</v>
      </c>
      <c r="D164" s="750" t="s">
        <v>897</v>
      </c>
      <c r="E164" s="783"/>
      <c r="F164" s="752">
        <v>46116</v>
      </c>
      <c r="G164" s="752">
        <v>46129</v>
      </c>
      <c r="H164" s="752">
        <v>46130</v>
      </c>
      <c r="I164" s="752">
        <v>46130</v>
      </c>
      <c r="J164" s="752">
        <v>46131</v>
      </c>
      <c r="K164" s="752">
        <v>46134</v>
      </c>
      <c r="L164" s="752">
        <v>46134</v>
      </c>
      <c r="M164" s="941" t="s">
        <v>631</v>
      </c>
      <c r="N164" s="1003">
        <v>46146</v>
      </c>
      <c r="O164" s="750" t="s">
        <v>3139</v>
      </c>
      <c r="P164" s="750">
        <v>15</v>
      </c>
      <c r="Q164" s="858"/>
    </row>
    <row r="165" spans="1:18" s="1039" customFormat="1" ht="45" customHeight="1">
      <c r="A165" s="750">
        <f t="shared" si="4"/>
        <v>159</v>
      </c>
      <c r="B165" s="751" t="s">
        <v>702</v>
      </c>
      <c r="C165" s="941" t="s">
        <v>53</v>
      </c>
      <c r="D165" s="750" t="s">
        <v>3287</v>
      </c>
      <c r="E165" s="782"/>
      <c r="F165" s="752">
        <v>46123</v>
      </c>
      <c r="G165" s="752">
        <v>46138</v>
      </c>
      <c r="H165" s="752">
        <v>46138</v>
      </c>
      <c r="I165" s="752">
        <v>46138</v>
      </c>
      <c r="J165" s="752">
        <v>46138</v>
      </c>
      <c r="K165" s="752">
        <v>46140</v>
      </c>
      <c r="L165" s="752">
        <v>46140</v>
      </c>
      <c r="M165" s="941" t="s">
        <v>631</v>
      </c>
      <c r="N165" s="1003">
        <v>46143</v>
      </c>
      <c r="O165" s="750" t="s">
        <v>3255</v>
      </c>
      <c r="P165" s="750">
        <v>8</v>
      </c>
      <c r="Q165" s="858"/>
    </row>
    <row r="166" spans="1:18" s="1039" customFormat="1" ht="45" customHeight="1">
      <c r="A166" s="750">
        <f t="shared" si="4"/>
        <v>160</v>
      </c>
      <c r="B166" s="751" t="s">
        <v>2893</v>
      </c>
      <c r="C166" s="941" t="s">
        <v>1277</v>
      </c>
      <c r="D166" s="750" t="s">
        <v>3287</v>
      </c>
      <c r="E166" s="782"/>
      <c r="F166" s="752">
        <v>46120</v>
      </c>
      <c r="G166" s="752">
        <v>46127</v>
      </c>
      <c r="H166" s="752">
        <v>46130</v>
      </c>
      <c r="I166" s="752">
        <v>46130</v>
      </c>
      <c r="J166" s="752">
        <v>46130</v>
      </c>
      <c r="K166" s="752">
        <v>46133</v>
      </c>
      <c r="L166" s="752">
        <v>46133</v>
      </c>
      <c r="M166" s="941" t="s">
        <v>631</v>
      </c>
      <c r="N166" s="1003">
        <v>46149</v>
      </c>
      <c r="O166" s="750" t="s">
        <v>3252</v>
      </c>
      <c r="P166" s="750">
        <v>12</v>
      </c>
      <c r="Q166" s="858"/>
    </row>
    <row r="167" spans="1:18" s="1039" customFormat="1" ht="45" customHeight="1">
      <c r="A167" s="750">
        <f t="shared" si="4"/>
        <v>161</v>
      </c>
      <c r="B167" s="751" t="s">
        <v>3121</v>
      </c>
      <c r="C167" s="941" t="s">
        <v>1269</v>
      </c>
      <c r="D167" s="750" t="s">
        <v>1765</v>
      </c>
      <c r="E167" s="782"/>
      <c r="F167" s="752">
        <v>46118</v>
      </c>
      <c r="G167" s="752">
        <v>46124</v>
      </c>
      <c r="H167" s="752">
        <v>46125</v>
      </c>
      <c r="I167" s="752">
        <v>46125</v>
      </c>
      <c r="J167" s="752">
        <v>46126</v>
      </c>
      <c r="K167" s="752">
        <v>46127</v>
      </c>
      <c r="L167" s="752">
        <v>46127</v>
      </c>
      <c r="M167" s="941" t="s">
        <v>631</v>
      </c>
      <c r="N167" s="1003">
        <v>46127</v>
      </c>
      <c r="O167" s="750" t="s">
        <v>2843</v>
      </c>
      <c r="P167" s="750">
        <v>16</v>
      </c>
      <c r="Q167" s="858"/>
    </row>
    <row r="168" spans="1:18" s="1039" customFormat="1" ht="45" customHeight="1">
      <c r="A168" s="750">
        <f t="shared" si="4"/>
        <v>162</v>
      </c>
      <c r="B168" s="751" t="s">
        <v>3180</v>
      </c>
      <c r="C168" s="941" t="s">
        <v>1319</v>
      </c>
      <c r="D168" s="750" t="s">
        <v>3287</v>
      </c>
      <c r="E168" s="782"/>
      <c r="F168" s="752">
        <v>46123</v>
      </c>
      <c r="G168" s="752">
        <v>46136</v>
      </c>
      <c r="H168" s="752">
        <v>46137</v>
      </c>
      <c r="I168" s="752">
        <v>46137</v>
      </c>
      <c r="J168" s="752">
        <v>46139</v>
      </c>
      <c r="K168" s="752">
        <v>46141</v>
      </c>
      <c r="L168" s="752">
        <v>46141</v>
      </c>
      <c r="M168" s="941" t="s">
        <v>631</v>
      </c>
      <c r="N168" s="1003">
        <v>46143</v>
      </c>
      <c r="O168" s="750" t="s">
        <v>3107</v>
      </c>
      <c r="P168" s="750">
        <v>12</v>
      </c>
      <c r="Q168" s="858"/>
    </row>
    <row r="169" spans="1:18" s="1039" customFormat="1" ht="45" customHeight="1">
      <c r="A169" s="750">
        <f t="shared" si="4"/>
        <v>163</v>
      </c>
      <c r="B169" s="751" t="s">
        <v>3194</v>
      </c>
      <c r="C169" s="941" t="s">
        <v>3484</v>
      </c>
      <c r="D169" s="750" t="s">
        <v>897</v>
      </c>
      <c r="E169" s="782"/>
      <c r="F169" s="752">
        <v>46130</v>
      </c>
      <c r="G169" s="752">
        <v>46137</v>
      </c>
      <c r="H169" s="752">
        <v>46138</v>
      </c>
      <c r="I169" s="752">
        <v>46138</v>
      </c>
      <c r="J169" s="752">
        <v>46141</v>
      </c>
      <c r="K169" s="752">
        <v>46142</v>
      </c>
      <c r="L169" s="752">
        <v>46142</v>
      </c>
      <c r="M169" s="941" t="s">
        <v>631</v>
      </c>
      <c r="N169" s="1003">
        <v>46146</v>
      </c>
      <c r="O169" s="750" t="s">
        <v>3139</v>
      </c>
      <c r="P169" s="750">
        <v>12</v>
      </c>
      <c r="Q169" s="858"/>
    </row>
    <row r="170" spans="1:18" s="1039" customFormat="1" ht="45" customHeight="1">
      <c r="A170" s="750">
        <f t="shared" si="4"/>
        <v>164</v>
      </c>
      <c r="B170" s="751" t="s">
        <v>3003</v>
      </c>
      <c r="C170" s="941" t="s">
        <v>1277</v>
      </c>
      <c r="D170" s="750" t="s">
        <v>1765</v>
      </c>
      <c r="E170" s="782"/>
      <c r="F170" s="752">
        <v>46126</v>
      </c>
      <c r="G170" s="752">
        <v>46135</v>
      </c>
      <c r="H170" s="752">
        <v>46136</v>
      </c>
      <c r="I170" s="752">
        <v>46136</v>
      </c>
      <c r="J170" s="752">
        <v>46137</v>
      </c>
      <c r="K170" s="752">
        <v>46138</v>
      </c>
      <c r="L170" s="752">
        <v>46138</v>
      </c>
      <c r="M170" s="941" t="s">
        <v>631</v>
      </c>
      <c r="N170" s="1003">
        <v>46138</v>
      </c>
      <c r="O170" s="750" t="s">
        <v>2843</v>
      </c>
      <c r="P170" s="750">
        <v>16</v>
      </c>
      <c r="Q170" s="858"/>
    </row>
    <row r="171" spans="1:18" s="1039" customFormat="1" ht="45" customHeight="1">
      <c r="A171" s="750">
        <f t="shared" si="4"/>
        <v>165</v>
      </c>
      <c r="B171" s="751" t="s">
        <v>761</v>
      </c>
      <c r="C171" s="941" t="s">
        <v>62</v>
      </c>
      <c r="D171" s="750" t="s">
        <v>3495</v>
      </c>
      <c r="E171" s="782"/>
      <c r="F171" s="752">
        <v>46130</v>
      </c>
      <c r="G171" s="752">
        <v>46136</v>
      </c>
      <c r="H171" s="752">
        <v>46137</v>
      </c>
      <c r="I171" s="752">
        <v>46137</v>
      </c>
      <c r="J171" s="752">
        <v>46137</v>
      </c>
      <c r="K171" s="752">
        <v>46137</v>
      </c>
      <c r="L171" s="752">
        <v>46137</v>
      </c>
      <c r="M171" s="941" t="s">
        <v>631</v>
      </c>
      <c r="N171" s="1003">
        <v>46169</v>
      </c>
      <c r="O171" s="750" t="s">
        <v>3494</v>
      </c>
      <c r="P171" s="750">
        <v>10</v>
      </c>
      <c r="Q171" s="858"/>
    </row>
    <row r="172" spans="1:18" s="1039" customFormat="1" ht="45" customHeight="1">
      <c r="A172" s="750">
        <f t="shared" si="4"/>
        <v>166</v>
      </c>
      <c r="B172" s="751" t="s">
        <v>2944</v>
      </c>
      <c r="C172" s="941" t="s">
        <v>1277</v>
      </c>
      <c r="D172" s="750" t="s">
        <v>1765</v>
      </c>
      <c r="E172" s="782"/>
      <c r="F172" s="752">
        <v>46128</v>
      </c>
      <c r="G172" s="752">
        <v>46130</v>
      </c>
      <c r="H172" s="752">
        <v>46132</v>
      </c>
      <c r="I172" s="752">
        <v>46133</v>
      </c>
      <c r="J172" s="752">
        <v>46133</v>
      </c>
      <c r="K172" s="752">
        <v>46135</v>
      </c>
      <c r="L172" s="752">
        <v>46135</v>
      </c>
      <c r="M172" s="941" t="s">
        <v>631</v>
      </c>
      <c r="N172" s="1003">
        <v>46164</v>
      </c>
      <c r="O172" s="750" t="s">
        <v>3252</v>
      </c>
      <c r="P172" s="750">
        <v>8</v>
      </c>
      <c r="Q172" s="858"/>
    </row>
    <row r="173" spans="1:18" s="1039" customFormat="1" ht="45" customHeight="1">
      <c r="A173" s="750">
        <f t="shared" si="4"/>
        <v>167</v>
      </c>
      <c r="B173" s="751" t="s">
        <v>3182</v>
      </c>
      <c r="C173" s="941" t="s">
        <v>1269</v>
      </c>
      <c r="D173" s="750" t="s">
        <v>3287</v>
      </c>
      <c r="E173" s="782"/>
      <c r="F173" s="752">
        <v>46140</v>
      </c>
      <c r="G173" s="752">
        <v>46146</v>
      </c>
      <c r="H173" s="752">
        <v>46147</v>
      </c>
      <c r="I173" s="752">
        <v>46147</v>
      </c>
      <c r="J173" s="752">
        <v>46147</v>
      </c>
      <c r="K173" s="752">
        <v>46149</v>
      </c>
      <c r="L173" s="752">
        <v>46149</v>
      </c>
      <c r="M173" s="941" t="s">
        <v>631</v>
      </c>
      <c r="N173" s="1003">
        <v>46150</v>
      </c>
      <c r="O173" s="750" t="s">
        <v>2875</v>
      </c>
      <c r="P173" s="750">
        <v>10</v>
      </c>
      <c r="Q173" s="858"/>
    </row>
    <row r="174" spans="1:18" s="1039" customFormat="1" ht="45" customHeight="1">
      <c r="A174" s="750">
        <f t="shared" si="4"/>
        <v>168</v>
      </c>
      <c r="B174" s="751" t="s">
        <v>2898</v>
      </c>
      <c r="C174" s="941" t="s">
        <v>1953</v>
      </c>
      <c r="D174" s="750" t="s">
        <v>3287</v>
      </c>
      <c r="E174" s="782"/>
      <c r="F174" s="752">
        <v>46135</v>
      </c>
      <c r="G174" s="752">
        <v>46138</v>
      </c>
      <c r="H174" s="752">
        <v>46141</v>
      </c>
      <c r="I174" s="752">
        <v>46141</v>
      </c>
      <c r="J174" s="752">
        <v>46141</v>
      </c>
      <c r="K174" s="752">
        <v>46143</v>
      </c>
      <c r="L174" s="752">
        <v>46143</v>
      </c>
      <c r="M174" s="941" t="s">
        <v>631</v>
      </c>
      <c r="N174" s="1003">
        <v>46149</v>
      </c>
      <c r="O174" s="750" t="s">
        <v>3252</v>
      </c>
      <c r="P174" s="750">
        <v>12</v>
      </c>
      <c r="Q174" s="858"/>
    </row>
    <row r="175" spans="1:18" s="1039" customFormat="1" ht="45" customHeight="1">
      <c r="A175" s="750">
        <f t="shared" si="4"/>
        <v>169</v>
      </c>
      <c r="B175" s="751" t="s">
        <v>3189</v>
      </c>
      <c r="C175" s="941" t="s">
        <v>2212</v>
      </c>
      <c r="D175" s="750" t="s">
        <v>1765</v>
      </c>
      <c r="E175" s="782"/>
      <c r="F175" s="752">
        <v>46136</v>
      </c>
      <c r="G175" s="752">
        <v>46145</v>
      </c>
      <c r="H175" s="752">
        <v>46147</v>
      </c>
      <c r="I175" s="752">
        <v>46147</v>
      </c>
      <c r="J175" s="752">
        <v>46150</v>
      </c>
      <c r="K175" s="752">
        <v>46151</v>
      </c>
      <c r="L175" s="752">
        <v>46151</v>
      </c>
      <c r="M175" s="941" t="s">
        <v>631</v>
      </c>
      <c r="N175" s="1003">
        <v>46162</v>
      </c>
      <c r="O175" s="750" t="s">
        <v>3139</v>
      </c>
      <c r="P175" s="750">
        <v>15</v>
      </c>
      <c r="Q175" s="858"/>
    </row>
    <row r="176" spans="1:18" s="1039" customFormat="1" ht="45" customHeight="1">
      <c r="A176" s="1047">
        <f t="shared" si="4"/>
        <v>170</v>
      </c>
      <c r="B176" s="1048" t="s">
        <v>2938</v>
      </c>
      <c r="C176" s="1050" t="s">
        <v>1995</v>
      </c>
      <c r="D176" s="1047" t="s">
        <v>897</v>
      </c>
      <c r="E176" s="947"/>
      <c r="F176" s="1049">
        <v>46140</v>
      </c>
      <c r="G176" s="1049">
        <v>46143</v>
      </c>
      <c r="H176" s="1049">
        <v>46147</v>
      </c>
      <c r="I176" s="1049">
        <v>46148</v>
      </c>
      <c r="J176" s="1049">
        <v>46148</v>
      </c>
      <c r="K176" s="1049">
        <v>46150</v>
      </c>
      <c r="L176" s="1049">
        <v>46150</v>
      </c>
      <c r="M176" s="1050" t="s">
        <v>631</v>
      </c>
      <c r="N176" s="1050"/>
      <c r="O176" s="1047" t="s">
        <v>3303</v>
      </c>
      <c r="P176" s="1047">
        <v>10</v>
      </c>
      <c r="Q176" s="1051"/>
    </row>
    <row r="177" spans="1:17" s="1039" customFormat="1" ht="45" customHeight="1">
      <c r="A177" s="750">
        <f t="shared" si="4"/>
        <v>171</v>
      </c>
      <c r="B177" s="751" t="s">
        <v>2885</v>
      </c>
      <c r="C177" s="941" t="s">
        <v>1361</v>
      </c>
      <c r="D177" s="750" t="s">
        <v>3287</v>
      </c>
      <c r="E177" s="782"/>
      <c r="F177" s="752">
        <v>46140</v>
      </c>
      <c r="G177" s="752">
        <v>46148</v>
      </c>
      <c r="H177" s="752">
        <v>46148</v>
      </c>
      <c r="I177" s="752">
        <v>46148</v>
      </c>
      <c r="J177" s="752">
        <v>46148</v>
      </c>
      <c r="K177" s="752">
        <v>46149</v>
      </c>
      <c r="L177" s="752">
        <v>46149</v>
      </c>
      <c r="M177" s="941" t="s">
        <v>631</v>
      </c>
      <c r="N177" s="1003">
        <v>46169</v>
      </c>
      <c r="O177" s="750" t="s">
        <v>3494</v>
      </c>
      <c r="P177" s="750">
        <v>10</v>
      </c>
      <c r="Q177" s="858"/>
    </row>
    <row r="178" spans="1:17" s="1039" customFormat="1" ht="45" customHeight="1">
      <c r="A178" s="750">
        <f t="shared" si="4"/>
        <v>172</v>
      </c>
      <c r="B178" s="751" t="s">
        <v>2467</v>
      </c>
      <c r="C178" s="941" t="s">
        <v>62</v>
      </c>
      <c r="D178" s="750" t="s">
        <v>1765</v>
      </c>
      <c r="E178" s="782"/>
      <c r="F178" s="752">
        <v>46138</v>
      </c>
      <c r="G178" s="752">
        <v>46141</v>
      </c>
      <c r="H178" s="752">
        <v>46142</v>
      </c>
      <c r="I178" s="752">
        <v>46142</v>
      </c>
      <c r="J178" s="752">
        <v>46142</v>
      </c>
      <c r="K178" s="752">
        <v>46142</v>
      </c>
      <c r="L178" s="752">
        <v>46142</v>
      </c>
      <c r="M178" s="941" t="s">
        <v>631</v>
      </c>
      <c r="N178" s="1003">
        <v>46144</v>
      </c>
      <c r="O178" s="750" t="s">
        <v>2843</v>
      </c>
      <c r="P178" s="750">
        <v>16</v>
      </c>
      <c r="Q178" s="858"/>
    </row>
    <row r="179" spans="1:17" s="1039" customFormat="1" ht="45" customHeight="1">
      <c r="A179" s="750">
        <f t="shared" si="4"/>
        <v>173</v>
      </c>
      <c r="B179" s="751" t="s">
        <v>144</v>
      </c>
      <c r="C179" s="941" t="s">
        <v>76</v>
      </c>
      <c r="D179" s="750" t="s">
        <v>3287</v>
      </c>
      <c r="E179" s="782"/>
      <c r="F179" s="752">
        <v>46143</v>
      </c>
      <c r="G179" s="752">
        <v>46147</v>
      </c>
      <c r="H179" s="752">
        <v>46148</v>
      </c>
      <c r="I179" s="752">
        <v>46148</v>
      </c>
      <c r="J179" s="752">
        <v>46148</v>
      </c>
      <c r="K179" s="752">
        <v>46149</v>
      </c>
      <c r="L179" s="752">
        <v>46149</v>
      </c>
      <c r="M179" s="941" t="s">
        <v>631</v>
      </c>
      <c r="N179" s="1003">
        <v>46150</v>
      </c>
      <c r="O179" s="750" t="s">
        <v>3299</v>
      </c>
      <c r="P179" s="750">
        <v>12</v>
      </c>
      <c r="Q179" s="858"/>
    </row>
    <row r="180" spans="1:17" s="1039" customFormat="1" ht="45" customHeight="1">
      <c r="A180" s="1047">
        <f t="shared" si="4"/>
        <v>174</v>
      </c>
      <c r="B180" s="1048" t="s">
        <v>3143</v>
      </c>
      <c r="C180" s="1050" t="s">
        <v>76</v>
      </c>
      <c r="D180" s="1047" t="s">
        <v>3287</v>
      </c>
      <c r="E180" s="947"/>
      <c r="F180" s="1049">
        <v>46142</v>
      </c>
      <c r="G180" s="1049">
        <v>46148</v>
      </c>
      <c r="H180" s="1049">
        <v>46149</v>
      </c>
      <c r="I180" s="1049">
        <v>46149</v>
      </c>
      <c r="J180" s="1049">
        <v>46149</v>
      </c>
      <c r="K180" s="1049">
        <v>46150</v>
      </c>
      <c r="L180" s="1049">
        <v>46150</v>
      </c>
      <c r="M180" s="1050" t="s">
        <v>631</v>
      </c>
      <c r="N180" s="1063">
        <v>46152</v>
      </c>
      <c r="O180" s="1047" t="s">
        <v>3107</v>
      </c>
      <c r="P180" s="1047">
        <v>12</v>
      </c>
      <c r="Q180" s="1051"/>
    </row>
    <row r="181" spans="1:17" s="1039" customFormat="1" ht="45" customHeight="1">
      <c r="A181" s="750">
        <f t="shared" si="4"/>
        <v>175</v>
      </c>
      <c r="B181" s="751" t="s">
        <v>163</v>
      </c>
      <c r="C181" s="941" t="s">
        <v>62</v>
      </c>
      <c r="D181" s="750" t="s">
        <v>3287</v>
      </c>
      <c r="E181" s="782"/>
      <c r="F181" s="752">
        <v>46142</v>
      </c>
      <c r="G181" s="752">
        <v>46151</v>
      </c>
      <c r="H181" s="752">
        <v>46156</v>
      </c>
      <c r="I181" s="752">
        <v>46156</v>
      </c>
      <c r="J181" s="752">
        <v>46157</v>
      </c>
      <c r="K181" s="752">
        <v>46158</v>
      </c>
      <c r="L181" s="752">
        <v>46158</v>
      </c>
      <c r="M181" s="941" t="s">
        <v>631</v>
      </c>
      <c r="N181" s="1003">
        <v>46168</v>
      </c>
      <c r="O181" s="750" t="s">
        <v>3498</v>
      </c>
      <c r="P181" s="750">
        <v>10</v>
      </c>
      <c r="Q181" s="858"/>
    </row>
    <row r="182" spans="1:17" s="1039" customFormat="1" ht="45" customHeight="1">
      <c r="A182" s="1047">
        <f t="shared" si="4"/>
        <v>176</v>
      </c>
      <c r="B182" s="1048" t="s">
        <v>170</v>
      </c>
      <c r="C182" s="1050" t="s">
        <v>76</v>
      </c>
      <c r="D182" s="1047" t="s">
        <v>3287</v>
      </c>
      <c r="E182" s="947"/>
      <c r="F182" s="1049">
        <v>46145</v>
      </c>
      <c r="G182" s="1049">
        <v>46148</v>
      </c>
      <c r="H182" s="1049">
        <v>46149</v>
      </c>
      <c r="I182" s="1049">
        <v>46149</v>
      </c>
      <c r="J182" s="1049">
        <v>46149</v>
      </c>
      <c r="K182" s="1049">
        <v>46150</v>
      </c>
      <c r="L182" s="1049">
        <v>46150</v>
      </c>
      <c r="M182" s="1050" t="s">
        <v>631</v>
      </c>
      <c r="N182" s="1063">
        <v>46150</v>
      </c>
      <c r="O182" s="1047" t="s">
        <v>3500</v>
      </c>
      <c r="P182" s="1047">
        <v>10</v>
      </c>
      <c r="Q182" s="1051"/>
    </row>
    <row r="183" spans="1:17" s="1039" customFormat="1" ht="45" customHeight="1">
      <c r="A183" s="750">
        <f t="shared" si="4"/>
        <v>177</v>
      </c>
      <c r="B183" s="751" t="s">
        <v>554</v>
      </c>
      <c r="C183" s="941" t="s">
        <v>76</v>
      </c>
      <c r="D183" s="750" t="s">
        <v>3287</v>
      </c>
      <c r="E183" s="782"/>
      <c r="F183" s="752">
        <v>46145</v>
      </c>
      <c r="G183" s="752">
        <v>46148</v>
      </c>
      <c r="H183" s="752">
        <v>46149</v>
      </c>
      <c r="I183" s="752">
        <v>46149</v>
      </c>
      <c r="J183" s="752">
        <v>46150</v>
      </c>
      <c r="K183" s="752">
        <v>46151</v>
      </c>
      <c r="L183" s="752">
        <v>46151</v>
      </c>
      <c r="M183" s="941" t="s">
        <v>631</v>
      </c>
      <c r="N183" s="941"/>
      <c r="O183" s="750" t="s">
        <v>3300</v>
      </c>
      <c r="P183" s="750">
        <v>11</v>
      </c>
      <c r="Q183" s="858"/>
    </row>
    <row r="184" spans="1:17" s="1039" customFormat="1" ht="45" customHeight="1">
      <c r="A184" s="750">
        <f t="shared" si="4"/>
        <v>178</v>
      </c>
      <c r="B184" s="751" t="s">
        <v>3123</v>
      </c>
      <c r="C184" s="941" t="s">
        <v>3313</v>
      </c>
      <c r="D184" s="750" t="s">
        <v>2736</v>
      </c>
      <c r="E184" s="783"/>
      <c r="F184" s="752">
        <v>46145</v>
      </c>
      <c r="G184" s="752">
        <v>46154</v>
      </c>
      <c r="H184" s="752">
        <v>46155</v>
      </c>
      <c r="I184" s="752">
        <v>46155</v>
      </c>
      <c r="J184" s="752">
        <v>46156</v>
      </c>
      <c r="K184" s="752">
        <v>46160</v>
      </c>
      <c r="L184" s="752">
        <v>46160</v>
      </c>
      <c r="M184" s="941" t="s">
        <v>631</v>
      </c>
      <c r="N184" s="1003">
        <v>46157</v>
      </c>
      <c r="O184" s="750" t="s">
        <v>2843</v>
      </c>
      <c r="P184" s="750">
        <v>16</v>
      </c>
      <c r="Q184" s="858"/>
    </row>
    <row r="185" spans="1:17" s="1039" customFormat="1" ht="45" customHeight="1">
      <c r="A185" s="750">
        <f t="shared" si="4"/>
        <v>179</v>
      </c>
      <c r="B185" s="751" t="s">
        <v>3191</v>
      </c>
      <c r="C185" s="941" t="s">
        <v>1934</v>
      </c>
      <c r="D185" s="750" t="s">
        <v>1765</v>
      </c>
      <c r="E185" s="782"/>
      <c r="F185" s="752">
        <v>46142</v>
      </c>
      <c r="G185" s="752">
        <v>46149</v>
      </c>
      <c r="H185" s="752">
        <v>46151</v>
      </c>
      <c r="I185" s="752">
        <v>46151</v>
      </c>
      <c r="J185" s="752">
        <v>46152</v>
      </c>
      <c r="K185" s="752">
        <v>46153</v>
      </c>
      <c r="L185" s="752">
        <v>46153</v>
      </c>
      <c r="M185" s="941" t="s">
        <v>631</v>
      </c>
      <c r="N185" s="1003">
        <v>46191</v>
      </c>
      <c r="O185" s="750" t="s">
        <v>3139</v>
      </c>
      <c r="P185" s="750">
        <v>12</v>
      </c>
      <c r="Q185" s="858"/>
    </row>
    <row r="186" spans="1:17" s="1039" customFormat="1" ht="45" customHeight="1">
      <c r="A186" s="750">
        <f t="shared" si="4"/>
        <v>180</v>
      </c>
      <c r="B186" s="751" t="s">
        <v>3263</v>
      </c>
      <c r="C186" s="941" t="s">
        <v>76</v>
      </c>
      <c r="D186" s="750" t="s">
        <v>1765</v>
      </c>
      <c r="E186" s="782"/>
      <c r="F186" s="752">
        <v>46145</v>
      </c>
      <c r="G186" s="752">
        <v>46149</v>
      </c>
      <c r="H186" s="752">
        <v>46156</v>
      </c>
      <c r="I186" s="752">
        <v>46156</v>
      </c>
      <c r="J186" s="752">
        <v>46157</v>
      </c>
      <c r="K186" s="752">
        <v>46158</v>
      </c>
      <c r="L186" s="752">
        <v>46158</v>
      </c>
      <c r="M186" s="941" t="s">
        <v>631</v>
      </c>
      <c r="N186" s="1003">
        <v>46162</v>
      </c>
      <c r="O186" s="750" t="s">
        <v>3139</v>
      </c>
      <c r="P186" s="750">
        <v>10</v>
      </c>
      <c r="Q186" s="858"/>
    </row>
    <row r="187" spans="1:17" s="1039" customFormat="1" ht="45" customHeight="1">
      <c r="A187" s="750">
        <f t="shared" si="4"/>
        <v>181</v>
      </c>
      <c r="B187" s="751" t="s">
        <v>2223</v>
      </c>
      <c r="C187" s="941" t="s">
        <v>3546</v>
      </c>
      <c r="D187" s="750" t="s">
        <v>2736</v>
      </c>
      <c r="E187" s="782"/>
      <c r="F187" s="752">
        <v>46145</v>
      </c>
      <c r="G187" s="752">
        <v>46147</v>
      </c>
      <c r="H187" s="752">
        <v>46155</v>
      </c>
      <c r="I187" s="752">
        <v>46155</v>
      </c>
      <c r="J187" s="752">
        <v>46156</v>
      </c>
      <c r="K187" s="752">
        <v>46162</v>
      </c>
      <c r="L187" s="752">
        <v>46162</v>
      </c>
      <c r="M187" s="941" t="s">
        <v>631</v>
      </c>
      <c r="N187" s="1003">
        <v>46164</v>
      </c>
      <c r="O187" s="750" t="s">
        <v>3547</v>
      </c>
      <c r="P187" s="750">
        <v>10</v>
      </c>
      <c r="Q187" s="858"/>
    </row>
    <row r="188" spans="1:17" s="1039" customFormat="1" ht="45" customHeight="1">
      <c r="A188" s="750">
        <f t="shared" si="4"/>
        <v>182</v>
      </c>
      <c r="B188" s="751" t="s">
        <v>3187</v>
      </c>
      <c r="C188" s="941" t="s">
        <v>2197</v>
      </c>
      <c r="D188" s="750" t="s">
        <v>2736</v>
      </c>
      <c r="E188" s="782"/>
      <c r="F188" s="752">
        <v>46149</v>
      </c>
      <c r="G188" s="752">
        <v>46159</v>
      </c>
      <c r="H188" s="752">
        <v>46160</v>
      </c>
      <c r="I188" s="752">
        <v>46160</v>
      </c>
      <c r="J188" s="752">
        <v>46162</v>
      </c>
      <c r="K188" s="752">
        <v>46165</v>
      </c>
      <c r="L188" s="752">
        <v>46165</v>
      </c>
      <c r="M188" s="941" t="s">
        <v>631</v>
      </c>
      <c r="N188" s="1003">
        <v>46166</v>
      </c>
      <c r="O188" s="750" t="s">
        <v>2875</v>
      </c>
      <c r="P188" s="750">
        <v>11</v>
      </c>
      <c r="Q188" s="858"/>
    </row>
    <row r="189" spans="1:17" s="1039" customFormat="1" ht="45" customHeight="1">
      <c r="A189" s="750">
        <f t="shared" si="4"/>
        <v>183</v>
      </c>
      <c r="B189" s="751" t="s">
        <v>3190</v>
      </c>
      <c r="C189" s="941" t="s">
        <v>2197</v>
      </c>
      <c r="D189" s="750" t="s">
        <v>2736</v>
      </c>
      <c r="E189" s="782"/>
      <c r="F189" s="752">
        <v>46149</v>
      </c>
      <c r="G189" s="752">
        <v>46157</v>
      </c>
      <c r="H189" s="752">
        <v>46158</v>
      </c>
      <c r="I189" s="752">
        <v>46158</v>
      </c>
      <c r="J189" s="752">
        <v>46158</v>
      </c>
      <c r="K189" s="752">
        <v>46159</v>
      </c>
      <c r="L189" s="752">
        <v>46159</v>
      </c>
      <c r="M189" s="941" t="s">
        <v>631</v>
      </c>
      <c r="N189" s="1003">
        <v>46160</v>
      </c>
      <c r="O189" s="750" t="s">
        <v>3139</v>
      </c>
      <c r="P189" s="750">
        <v>12</v>
      </c>
      <c r="Q189" s="858"/>
    </row>
    <row r="190" spans="1:17" s="1039" customFormat="1" ht="45" customHeight="1">
      <c r="A190" s="750">
        <f t="shared" si="4"/>
        <v>184</v>
      </c>
      <c r="B190" s="751" t="s">
        <v>2986</v>
      </c>
      <c r="C190" s="941" t="s">
        <v>1319</v>
      </c>
      <c r="D190" s="750" t="s">
        <v>1765</v>
      </c>
      <c r="E190" s="782"/>
      <c r="F190" s="752">
        <v>46149</v>
      </c>
      <c r="G190" s="752">
        <v>46153</v>
      </c>
      <c r="H190" s="752">
        <v>46154</v>
      </c>
      <c r="I190" s="752">
        <v>46154</v>
      </c>
      <c r="J190" s="752">
        <v>46154</v>
      </c>
      <c r="K190" s="752">
        <v>46156</v>
      </c>
      <c r="L190" s="752">
        <v>46156</v>
      </c>
      <c r="M190" s="941" t="s">
        <v>631</v>
      </c>
      <c r="N190" s="1003">
        <v>46158</v>
      </c>
      <c r="O190" s="750" t="s">
        <v>3571</v>
      </c>
      <c r="P190" s="750">
        <v>10</v>
      </c>
      <c r="Q190" s="858"/>
    </row>
    <row r="191" spans="1:17" s="1039" customFormat="1" ht="45" customHeight="1">
      <c r="A191" s="750">
        <f t="shared" si="4"/>
        <v>185</v>
      </c>
      <c r="B191" s="751" t="s">
        <v>497</v>
      </c>
      <c r="C191" s="941" t="s">
        <v>62</v>
      </c>
      <c r="D191" s="750" t="s">
        <v>3287</v>
      </c>
      <c r="E191" s="782"/>
      <c r="F191" s="752">
        <v>46150</v>
      </c>
      <c r="G191" s="752">
        <v>46152</v>
      </c>
      <c r="H191" s="752">
        <v>46153</v>
      </c>
      <c r="I191" s="752">
        <v>46153</v>
      </c>
      <c r="J191" s="752">
        <v>46154</v>
      </c>
      <c r="K191" s="752">
        <v>46156</v>
      </c>
      <c r="L191" s="752">
        <v>46156</v>
      </c>
      <c r="M191" s="941" t="s">
        <v>631</v>
      </c>
      <c r="N191" s="1003">
        <v>46159</v>
      </c>
      <c r="O191" s="750" t="s">
        <v>2830</v>
      </c>
      <c r="P191" s="750">
        <v>14</v>
      </c>
      <c r="Q191" s="858"/>
    </row>
    <row r="192" spans="1:17" s="1039" customFormat="1" ht="45" customHeight="1">
      <c r="A192" s="750">
        <f t="shared" si="4"/>
        <v>186</v>
      </c>
      <c r="B192" s="751" t="s">
        <v>2887</v>
      </c>
      <c r="C192" s="941" t="s">
        <v>1995</v>
      </c>
      <c r="D192" s="750" t="s">
        <v>3287</v>
      </c>
      <c r="E192" s="782"/>
      <c r="F192" s="752">
        <v>46150</v>
      </c>
      <c r="G192" s="752">
        <v>46152</v>
      </c>
      <c r="H192" s="752">
        <v>46155</v>
      </c>
      <c r="I192" s="752">
        <v>46155</v>
      </c>
      <c r="J192" s="752">
        <v>46156</v>
      </c>
      <c r="K192" s="752">
        <v>46157</v>
      </c>
      <c r="L192" s="752">
        <v>46157</v>
      </c>
      <c r="M192" s="941" t="s">
        <v>631</v>
      </c>
      <c r="N192" s="1003">
        <v>46173</v>
      </c>
      <c r="O192" s="750" t="s">
        <v>3303</v>
      </c>
      <c r="P192" s="750">
        <v>16</v>
      </c>
      <c r="Q192" s="858"/>
    </row>
    <row r="193" spans="1:17" s="1039" customFormat="1" ht="45" customHeight="1">
      <c r="A193" s="750">
        <f t="shared" si="4"/>
        <v>187</v>
      </c>
      <c r="B193" s="751" t="s">
        <v>106</v>
      </c>
      <c r="C193" s="941" t="s">
        <v>76</v>
      </c>
      <c r="D193" s="750" t="s">
        <v>3287</v>
      </c>
      <c r="E193" s="782"/>
      <c r="F193" s="752">
        <v>46150</v>
      </c>
      <c r="G193" s="752">
        <v>46154</v>
      </c>
      <c r="H193" s="752">
        <v>46155</v>
      </c>
      <c r="I193" s="752">
        <v>46155</v>
      </c>
      <c r="J193" s="752">
        <v>46156</v>
      </c>
      <c r="K193" s="752">
        <v>46156</v>
      </c>
      <c r="L193" s="752">
        <v>46156</v>
      </c>
      <c r="M193" s="941" t="s">
        <v>631</v>
      </c>
      <c r="N193" s="1003">
        <v>46160</v>
      </c>
      <c r="O193" s="750" t="s">
        <v>3299</v>
      </c>
      <c r="P193" s="750">
        <v>11</v>
      </c>
      <c r="Q193" s="858"/>
    </row>
    <row r="194" spans="1:17" s="1039" customFormat="1" ht="45" customHeight="1">
      <c r="A194" s="750">
        <f t="shared" si="4"/>
        <v>188</v>
      </c>
      <c r="B194" s="751" t="s">
        <v>3181</v>
      </c>
      <c r="C194" s="941" t="s">
        <v>1269</v>
      </c>
      <c r="D194" s="750" t="s">
        <v>3287</v>
      </c>
      <c r="E194" s="783"/>
      <c r="F194" s="752">
        <v>46150</v>
      </c>
      <c r="G194" s="752">
        <v>46157</v>
      </c>
      <c r="H194" s="752">
        <v>46158</v>
      </c>
      <c r="I194" s="752">
        <v>46158</v>
      </c>
      <c r="J194" s="752">
        <v>46159</v>
      </c>
      <c r="K194" s="752">
        <v>46160</v>
      </c>
      <c r="L194" s="752">
        <v>46160</v>
      </c>
      <c r="M194" s="941" t="s">
        <v>631</v>
      </c>
      <c r="N194" s="1003">
        <v>46160</v>
      </c>
      <c r="O194" s="750" t="s">
        <v>3107</v>
      </c>
      <c r="P194" s="750">
        <v>12</v>
      </c>
      <c r="Q194" s="858"/>
    </row>
    <row r="195" spans="1:17" s="1039" customFormat="1" ht="45" customHeight="1">
      <c r="A195" s="750">
        <f t="shared" si="4"/>
        <v>189</v>
      </c>
      <c r="B195" s="751" t="s">
        <v>746</v>
      </c>
      <c r="C195" s="941" t="s">
        <v>53</v>
      </c>
      <c r="D195" s="750" t="s">
        <v>3287</v>
      </c>
      <c r="E195" s="782"/>
      <c r="F195" s="752">
        <v>46150</v>
      </c>
      <c r="G195" s="752">
        <v>46154</v>
      </c>
      <c r="H195" s="752">
        <v>46155</v>
      </c>
      <c r="I195" s="752">
        <v>46155</v>
      </c>
      <c r="J195" s="752">
        <v>46155</v>
      </c>
      <c r="K195" s="752">
        <v>46155</v>
      </c>
      <c r="L195" s="752">
        <v>46155</v>
      </c>
      <c r="M195" s="941" t="s">
        <v>631</v>
      </c>
      <c r="N195" s="1003">
        <v>46155</v>
      </c>
      <c r="O195" s="750" t="s">
        <v>3494</v>
      </c>
      <c r="P195" s="750">
        <v>10</v>
      </c>
      <c r="Q195" s="858"/>
    </row>
    <row r="196" spans="1:17" s="1039" customFormat="1" ht="45" customHeight="1">
      <c r="A196" s="750">
        <f t="shared" si="4"/>
        <v>190</v>
      </c>
      <c r="B196" s="751" t="s">
        <v>2892</v>
      </c>
      <c r="C196" s="941" t="s">
        <v>1934</v>
      </c>
      <c r="D196" s="750" t="s">
        <v>3287</v>
      </c>
      <c r="E196" s="782"/>
      <c r="F196" s="752">
        <v>46152</v>
      </c>
      <c r="G196" s="752">
        <v>46157</v>
      </c>
      <c r="H196" s="752">
        <v>46157</v>
      </c>
      <c r="I196" s="752">
        <v>46157</v>
      </c>
      <c r="J196" s="752">
        <v>46159</v>
      </c>
      <c r="K196" s="752">
        <v>46159</v>
      </c>
      <c r="L196" s="752">
        <v>46159</v>
      </c>
      <c r="M196" s="941" t="s">
        <v>631</v>
      </c>
      <c r="N196" s="1003">
        <v>46165</v>
      </c>
      <c r="O196" s="750" t="s">
        <v>3500</v>
      </c>
      <c r="P196" s="750">
        <v>10</v>
      </c>
      <c r="Q196" s="858"/>
    </row>
    <row r="197" spans="1:17" s="1039" customFormat="1" ht="45" customHeight="1">
      <c r="A197" s="750">
        <f t="shared" si="4"/>
        <v>191</v>
      </c>
      <c r="B197" s="751" t="s">
        <v>2897</v>
      </c>
      <c r="C197" s="941" t="s">
        <v>1977</v>
      </c>
      <c r="D197" s="750" t="s">
        <v>3287</v>
      </c>
      <c r="E197" s="783"/>
      <c r="F197" s="752">
        <v>46153</v>
      </c>
      <c r="G197" s="752">
        <v>46157</v>
      </c>
      <c r="H197" s="752">
        <v>46157</v>
      </c>
      <c r="I197" s="752">
        <v>46157</v>
      </c>
      <c r="J197" s="752">
        <v>46158</v>
      </c>
      <c r="K197" s="752">
        <v>46160</v>
      </c>
      <c r="L197" s="752">
        <v>46160</v>
      </c>
      <c r="M197" s="941" t="s">
        <v>631</v>
      </c>
      <c r="N197" s="1003">
        <v>46160</v>
      </c>
      <c r="O197" s="750" t="s">
        <v>3299</v>
      </c>
      <c r="P197" s="750">
        <v>12</v>
      </c>
      <c r="Q197" s="858"/>
    </row>
    <row r="198" spans="1:17" s="1039" customFormat="1" ht="45" customHeight="1">
      <c r="A198" s="750">
        <f t="shared" si="4"/>
        <v>192</v>
      </c>
      <c r="B198" s="751" t="s">
        <v>401</v>
      </c>
      <c r="C198" s="941" t="s">
        <v>62</v>
      </c>
      <c r="D198" s="750" t="s">
        <v>3495</v>
      </c>
      <c r="E198" s="782"/>
      <c r="F198" s="752">
        <v>46154</v>
      </c>
      <c r="G198" s="752">
        <v>46167</v>
      </c>
      <c r="H198" s="752">
        <v>46167</v>
      </c>
      <c r="I198" s="752">
        <v>46167</v>
      </c>
      <c r="J198" s="752">
        <v>46167</v>
      </c>
      <c r="K198" s="752">
        <v>46168</v>
      </c>
      <c r="L198" s="752">
        <v>46168</v>
      </c>
      <c r="M198" s="941" t="s">
        <v>631</v>
      </c>
      <c r="N198" s="941"/>
      <c r="O198" s="750" t="s">
        <v>3300</v>
      </c>
      <c r="P198" s="750">
        <v>10</v>
      </c>
      <c r="Q198" s="858"/>
    </row>
    <row r="199" spans="1:17" s="1039" customFormat="1" ht="45" customHeight="1">
      <c r="A199" s="750">
        <f t="shared" si="4"/>
        <v>193</v>
      </c>
      <c r="B199" s="751" t="s">
        <v>229</v>
      </c>
      <c r="C199" s="941" t="s">
        <v>76</v>
      </c>
      <c r="D199" s="750" t="s">
        <v>3287</v>
      </c>
      <c r="E199" s="783"/>
      <c r="F199" s="752">
        <v>46155</v>
      </c>
      <c r="G199" s="752">
        <v>46157</v>
      </c>
      <c r="H199" s="752">
        <v>46158</v>
      </c>
      <c r="I199" s="752">
        <v>46158</v>
      </c>
      <c r="J199" s="752">
        <v>46159</v>
      </c>
      <c r="K199" s="752">
        <v>46160</v>
      </c>
      <c r="L199" s="752">
        <v>46160</v>
      </c>
      <c r="M199" s="941" t="s">
        <v>631</v>
      </c>
      <c r="N199" s="1003">
        <v>46173</v>
      </c>
      <c r="O199" s="750" t="s">
        <v>3574</v>
      </c>
      <c r="P199" s="750">
        <v>11</v>
      </c>
      <c r="Q199" s="858"/>
    </row>
    <row r="200" spans="1:17" s="1039" customFormat="1" ht="45" customHeight="1">
      <c r="A200" s="750">
        <f t="shared" si="4"/>
        <v>194</v>
      </c>
      <c r="B200" s="751" t="s">
        <v>2941</v>
      </c>
      <c r="C200" s="941" t="s">
        <v>3573</v>
      </c>
      <c r="D200" s="750" t="s">
        <v>2736</v>
      </c>
      <c r="E200" s="782"/>
      <c r="F200" s="752">
        <v>46154</v>
      </c>
      <c r="G200" s="752">
        <v>46156</v>
      </c>
      <c r="H200" s="752">
        <v>46161</v>
      </c>
      <c r="I200" s="752">
        <v>46161</v>
      </c>
      <c r="J200" s="752">
        <v>46162</v>
      </c>
      <c r="K200" s="752">
        <v>46166</v>
      </c>
      <c r="L200" s="752">
        <v>46166</v>
      </c>
      <c r="M200" s="941" t="s">
        <v>631</v>
      </c>
      <c r="N200" s="1003">
        <v>46168</v>
      </c>
      <c r="O200" s="750" t="s">
        <v>3575</v>
      </c>
      <c r="P200" s="750">
        <v>10</v>
      </c>
      <c r="Q200" s="858"/>
    </row>
    <row r="201" spans="1:17" s="1039" customFormat="1" ht="45" customHeight="1">
      <c r="A201" s="750">
        <f t="shared" si="4"/>
        <v>195</v>
      </c>
      <c r="B201" s="751" t="s">
        <v>2928</v>
      </c>
      <c r="C201" s="941" t="s">
        <v>2197</v>
      </c>
      <c r="D201" s="750" t="s">
        <v>2736</v>
      </c>
      <c r="E201" s="782"/>
      <c r="F201" s="752">
        <v>46156</v>
      </c>
      <c r="G201" s="752">
        <v>46177</v>
      </c>
      <c r="H201" s="752">
        <v>46178</v>
      </c>
      <c r="I201" s="752">
        <v>46178</v>
      </c>
      <c r="J201" s="752">
        <v>46178</v>
      </c>
      <c r="K201" s="752">
        <v>46183</v>
      </c>
      <c r="L201" s="752">
        <v>46183</v>
      </c>
      <c r="M201" s="941" t="s">
        <v>631</v>
      </c>
      <c r="N201" s="1003">
        <v>46180</v>
      </c>
      <c r="O201" s="750" t="s">
        <v>3597</v>
      </c>
      <c r="P201" s="750">
        <v>10</v>
      </c>
      <c r="Q201" s="858"/>
    </row>
    <row r="202" spans="1:17" s="1039" customFormat="1" ht="45" customHeight="1">
      <c r="A202" s="750">
        <f t="shared" si="4"/>
        <v>196</v>
      </c>
      <c r="B202" s="751" t="s">
        <v>2990</v>
      </c>
      <c r="C202" s="941" t="s">
        <v>2023</v>
      </c>
      <c r="D202" s="750" t="s">
        <v>2736</v>
      </c>
      <c r="E202" s="782"/>
      <c r="F202" s="752">
        <v>46156</v>
      </c>
      <c r="G202" s="752">
        <v>46158</v>
      </c>
      <c r="H202" s="752">
        <v>46159</v>
      </c>
      <c r="I202" s="752">
        <v>46159</v>
      </c>
      <c r="J202" s="752">
        <v>46160</v>
      </c>
      <c r="K202" s="752">
        <v>46161</v>
      </c>
      <c r="L202" s="752">
        <v>46161</v>
      </c>
      <c r="M202" s="941" t="s">
        <v>631</v>
      </c>
      <c r="N202" s="941"/>
      <c r="O202" s="750" t="s">
        <v>3571</v>
      </c>
      <c r="P202" s="750">
        <v>10</v>
      </c>
      <c r="Q202" s="858"/>
    </row>
    <row r="203" spans="1:17" s="1039" customFormat="1" ht="45" customHeight="1">
      <c r="A203" s="750">
        <f t="shared" si="4"/>
        <v>197</v>
      </c>
      <c r="B203" s="751" t="s">
        <v>3262</v>
      </c>
      <c r="C203" s="941" t="s">
        <v>76</v>
      </c>
      <c r="D203" s="750" t="s">
        <v>1765</v>
      </c>
      <c r="E203" s="782"/>
      <c r="F203" s="752">
        <v>46156</v>
      </c>
      <c r="G203" s="752">
        <v>46158</v>
      </c>
      <c r="H203" s="752">
        <v>46159</v>
      </c>
      <c r="I203" s="752">
        <v>46159</v>
      </c>
      <c r="J203" s="752">
        <v>46159</v>
      </c>
      <c r="K203" s="752">
        <v>46161</v>
      </c>
      <c r="L203" s="752">
        <v>46161</v>
      </c>
      <c r="M203" s="941" t="s">
        <v>631</v>
      </c>
      <c r="N203" s="1003">
        <v>46162</v>
      </c>
      <c r="O203" s="750" t="s">
        <v>3139</v>
      </c>
      <c r="P203" s="750">
        <v>15</v>
      </c>
      <c r="Q203" s="858"/>
    </row>
    <row r="204" spans="1:17" s="1039" customFormat="1" ht="45" customHeight="1">
      <c r="A204" s="750">
        <f t="shared" si="4"/>
        <v>198</v>
      </c>
      <c r="B204" s="751" t="s">
        <v>2884</v>
      </c>
      <c r="C204" s="941" t="s">
        <v>1995</v>
      </c>
      <c r="D204" s="750" t="s">
        <v>2736</v>
      </c>
      <c r="E204" s="782"/>
      <c r="F204" s="752">
        <v>46158</v>
      </c>
      <c r="G204" s="752">
        <v>46163</v>
      </c>
      <c r="H204" s="752">
        <v>46165</v>
      </c>
      <c r="I204" s="752">
        <v>46165</v>
      </c>
      <c r="J204" s="752">
        <v>46165</v>
      </c>
      <c r="K204" s="752">
        <v>46167</v>
      </c>
      <c r="L204" s="752">
        <v>46167</v>
      </c>
      <c r="M204" s="941" t="s">
        <v>631</v>
      </c>
      <c r="N204" s="1003">
        <v>46168</v>
      </c>
      <c r="O204" s="750" t="s">
        <v>3494</v>
      </c>
      <c r="P204" s="750">
        <v>10</v>
      </c>
      <c r="Q204" s="858"/>
    </row>
    <row r="205" spans="1:17" s="1039" customFormat="1" ht="45" customHeight="1">
      <c r="A205" s="750">
        <f t="shared" si="4"/>
        <v>199</v>
      </c>
      <c r="B205" s="751" t="s">
        <v>125</v>
      </c>
      <c r="C205" s="941" t="s">
        <v>76</v>
      </c>
      <c r="D205" s="750" t="s">
        <v>3287</v>
      </c>
      <c r="E205" s="782"/>
      <c r="F205" s="752">
        <v>46158</v>
      </c>
      <c r="G205" s="752">
        <v>46158</v>
      </c>
      <c r="H205" s="752">
        <v>46160</v>
      </c>
      <c r="I205" s="752">
        <v>46160</v>
      </c>
      <c r="J205" s="752">
        <v>46160</v>
      </c>
      <c r="K205" s="752">
        <v>46161</v>
      </c>
      <c r="L205" s="752">
        <v>46161</v>
      </c>
      <c r="M205" s="941" t="s">
        <v>631</v>
      </c>
      <c r="N205" s="1003">
        <v>46173</v>
      </c>
      <c r="O205" s="750" t="s">
        <v>3252</v>
      </c>
      <c r="P205" s="750">
        <v>10</v>
      </c>
      <c r="Q205" s="858"/>
    </row>
    <row r="206" spans="1:17" s="1039" customFormat="1" ht="45" customHeight="1">
      <c r="A206" s="750">
        <f t="shared" si="4"/>
        <v>200</v>
      </c>
      <c r="B206" s="751" t="s">
        <v>219</v>
      </c>
      <c r="C206" s="941" t="s">
        <v>76</v>
      </c>
      <c r="D206" s="750" t="s">
        <v>3287</v>
      </c>
      <c r="E206" s="782"/>
      <c r="F206" s="752">
        <v>46159</v>
      </c>
      <c r="G206" s="752">
        <v>46162</v>
      </c>
      <c r="H206" s="752">
        <v>46162</v>
      </c>
      <c r="I206" s="752">
        <v>46162</v>
      </c>
      <c r="J206" s="752">
        <v>46163</v>
      </c>
      <c r="K206" s="752">
        <v>46164</v>
      </c>
      <c r="L206" s="752">
        <v>46164</v>
      </c>
      <c r="M206" s="941" t="s">
        <v>631</v>
      </c>
      <c r="N206" s="1003">
        <v>46165</v>
      </c>
      <c r="O206" s="750" t="s">
        <v>3500</v>
      </c>
      <c r="P206" s="750">
        <v>10</v>
      </c>
      <c r="Q206" s="858"/>
    </row>
    <row r="207" spans="1:17" s="1039" customFormat="1" ht="45" customHeight="1">
      <c r="A207" s="750">
        <f t="shared" si="4"/>
        <v>201</v>
      </c>
      <c r="B207" s="751" t="s">
        <v>151</v>
      </c>
      <c r="C207" s="941" t="s">
        <v>62</v>
      </c>
      <c r="D207" s="750" t="s">
        <v>3287</v>
      </c>
      <c r="E207" s="783"/>
      <c r="F207" s="752">
        <v>46159</v>
      </c>
      <c r="G207" s="752">
        <v>46171</v>
      </c>
      <c r="H207" s="752">
        <v>46171</v>
      </c>
      <c r="I207" s="752">
        <v>46171</v>
      </c>
      <c r="J207" s="752">
        <v>46172</v>
      </c>
      <c r="K207" s="752">
        <v>46172</v>
      </c>
      <c r="L207" s="752">
        <v>46172</v>
      </c>
      <c r="M207" s="941" t="s">
        <v>631</v>
      </c>
      <c r="N207" s="1003">
        <v>46171</v>
      </c>
      <c r="O207" s="750" t="s">
        <v>3498</v>
      </c>
      <c r="P207" s="750">
        <v>10</v>
      </c>
      <c r="Q207" s="858"/>
    </row>
    <row r="208" spans="1:17" s="1039" customFormat="1" ht="45" customHeight="1">
      <c r="A208" s="750">
        <f t="shared" si="4"/>
        <v>202</v>
      </c>
      <c r="B208" s="751" t="s">
        <v>2935</v>
      </c>
      <c r="C208" s="941" t="s">
        <v>2212</v>
      </c>
      <c r="D208" s="750" t="s">
        <v>897</v>
      </c>
      <c r="E208" s="782"/>
      <c r="F208" s="752">
        <v>46159</v>
      </c>
      <c r="G208" s="752">
        <v>46170</v>
      </c>
      <c r="H208" s="752">
        <v>46170</v>
      </c>
      <c r="I208" s="752">
        <v>46170</v>
      </c>
      <c r="J208" s="752">
        <v>46171</v>
      </c>
      <c r="K208" s="752">
        <v>46173</v>
      </c>
      <c r="L208" s="752">
        <v>46173</v>
      </c>
      <c r="M208" s="941" t="s">
        <v>631</v>
      </c>
      <c r="N208" s="1003">
        <v>46150</v>
      </c>
      <c r="O208" s="750" t="s">
        <v>3252</v>
      </c>
      <c r="P208" s="750">
        <v>10</v>
      </c>
      <c r="Q208" s="858"/>
    </row>
    <row r="209" spans="1:17" s="1039" customFormat="1" ht="45" customHeight="1">
      <c r="A209" s="750">
        <f t="shared" si="4"/>
        <v>203</v>
      </c>
      <c r="B209" s="751" t="s">
        <v>251</v>
      </c>
      <c r="C209" s="941" t="s">
        <v>76</v>
      </c>
      <c r="D209" s="750" t="s">
        <v>3287</v>
      </c>
      <c r="E209" s="782"/>
      <c r="F209" s="752">
        <v>46160</v>
      </c>
      <c r="G209" s="752">
        <v>46166</v>
      </c>
      <c r="H209" s="752">
        <v>46168</v>
      </c>
      <c r="I209" s="752">
        <v>46168</v>
      </c>
      <c r="J209" s="752">
        <v>46169</v>
      </c>
      <c r="K209" s="752">
        <v>46170</v>
      </c>
      <c r="L209" s="752">
        <v>46170</v>
      </c>
      <c r="M209" s="941" t="s">
        <v>631</v>
      </c>
      <c r="N209" s="1003">
        <v>46173</v>
      </c>
      <c r="O209" s="750" t="s">
        <v>3252</v>
      </c>
      <c r="P209" s="750">
        <v>10</v>
      </c>
      <c r="Q209" s="858"/>
    </row>
    <row r="210" spans="1:17" s="1039" customFormat="1" ht="45" customHeight="1">
      <c r="A210" s="750">
        <f>A209+1</f>
        <v>204</v>
      </c>
      <c r="B210" s="751" t="s">
        <v>2992</v>
      </c>
      <c r="C210" s="941" t="s">
        <v>1988</v>
      </c>
      <c r="D210" s="750" t="s">
        <v>2736</v>
      </c>
      <c r="E210" s="782"/>
      <c r="F210" s="752">
        <v>46160</v>
      </c>
      <c r="G210" s="752">
        <v>46163</v>
      </c>
      <c r="H210" s="752">
        <v>46164</v>
      </c>
      <c r="I210" s="752">
        <v>46164</v>
      </c>
      <c r="J210" s="752">
        <v>46164</v>
      </c>
      <c r="K210" s="752">
        <v>46165</v>
      </c>
      <c r="L210" s="752">
        <v>46165</v>
      </c>
      <c r="M210" s="941" t="s">
        <v>631</v>
      </c>
      <c r="N210" s="1003">
        <v>46166</v>
      </c>
      <c r="O210" s="750" t="s">
        <v>3571</v>
      </c>
      <c r="P210" s="750">
        <v>10</v>
      </c>
      <c r="Q210" s="858"/>
    </row>
    <row r="211" spans="1:17" s="1039" customFormat="1" ht="45" customHeight="1">
      <c r="A211" s="750">
        <f t="shared" si="4"/>
        <v>205</v>
      </c>
      <c r="B211" s="751" t="s">
        <v>3144</v>
      </c>
      <c r="C211" s="941" t="s">
        <v>76</v>
      </c>
      <c r="D211" s="750" t="s">
        <v>3287</v>
      </c>
      <c r="E211" s="782"/>
      <c r="F211" s="752">
        <v>46160</v>
      </c>
      <c r="G211" s="752">
        <v>46163</v>
      </c>
      <c r="H211" s="752">
        <v>46164</v>
      </c>
      <c r="I211" s="752">
        <v>46164</v>
      </c>
      <c r="J211" s="752">
        <v>46164</v>
      </c>
      <c r="K211" s="752">
        <v>46165</v>
      </c>
      <c r="L211" s="752">
        <v>46165</v>
      </c>
      <c r="M211" s="941" t="s">
        <v>631</v>
      </c>
      <c r="N211" s="1003">
        <v>46166</v>
      </c>
      <c r="O211" s="750" t="s">
        <v>3107</v>
      </c>
      <c r="P211" s="750">
        <v>13</v>
      </c>
      <c r="Q211" s="858"/>
    </row>
    <row r="212" spans="1:17" s="1039" customFormat="1" ht="45" customHeight="1">
      <c r="A212" s="750">
        <f t="shared" si="4"/>
        <v>206</v>
      </c>
      <c r="B212" s="751" t="s">
        <v>3196</v>
      </c>
      <c r="C212" s="941" t="s">
        <v>2212</v>
      </c>
      <c r="D212" s="750" t="s">
        <v>897</v>
      </c>
      <c r="E212" s="783"/>
      <c r="F212" s="752">
        <v>46160</v>
      </c>
      <c r="G212" s="752">
        <v>46165</v>
      </c>
      <c r="H212" s="752">
        <v>46168</v>
      </c>
      <c r="I212" s="752">
        <v>46168</v>
      </c>
      <c r="J212" s="752">
        <v>46168</v>
      </c>
      <c r="K212" s="752">
        <v>46172</v>
      </c>
      <c r="L212" s="752">
        <v>46172</v>
      </c>
      <c r="M212" s="941" t="s">
        <v>631</v>
      </c>
      <c r="N212" s="1003">
        <v>46181</v>
      </c>
      <c r="O212" s="750" t="s">
        <v>3578</v>
      </c>
      <c r="P212" s="750">
        <v>10</v>
      </c>
      <c r="Q212" s="858"/>
    </row>
    <row r="213" spans="1:17" s="1039" customFormat="1" ht="45" customHeight="1">
      <c r="A213" s="750">
        <f t="shared" si="4"/>
        <v>207</v>
      </c>
      <c r="B213" s="751" t="s">
        <v>3261</v>
      </c>
      <c r="C213" s="941" t="s">
        <v>76</v>
      </c>
      <c r="D213" s="750" t="s">
        <v>1765</v>
      </c>
      <c r="E213" s="782"/>
      <c r="F213" s="752">
        <v>46161</v>
      </c>
      <c r="G213" s="752">
        <v>46163</v>
      </c>
      <c r="H213" s="752">
        <v>46164</v>
      </c>
      <c r="I213" s="752">
        <v>46164</v>
      </c>
      <c r="J213" s="752">
        <v>46164</v>
      </c>
      <c r="K213" s="752">
        <v>46164</v>
      </c>
      <c r="L213" s="752">
        <v>46164</v>
      </c>
      <c r="M213" s="941" t="s">
        <v>631</v>
      </c>
      <c r="N213" s="1003">
        <v>46165</v>
      </c>
      <c r="O213" s="750" t="s">
        <v>3139</v>
      </c>
      <c r="P213" s="750">
        <v>12</v>
      </c>
      <c r="Q213" s="858"/>
    </row>
    <row r="214" spans="1:17" s="1039" customFormat="1" ht="45" customHeight="1">
      <c r="A214" s="750">
        <f t="shared" si="4"/>
        <v>208</v>
      </c>
      <c r="B214" s="751" t="s">
        <v>2902</v>
      </c>
      <c r="C214" s="941" t="s">
        <v>1277</v>
      </c>
      <c r="D214" s="750" t="s">
        <v>1765</v>
      </c>
      <c r="E214" s="782"/>
      <c r="F214" s="752">
        <v>46163</v>
      </c>
      <c r="G214" s="752">
        <v>46166</v>
      </c>
      <c r="H214" s="752">
        <v>46166</v>
      </c>
      <c r="I214" s="752">
        <v>46166</v>
      </c>
      <c r="J214" s="752">
        <v>46166</v>
      </c>
      <c r="K214" s="752">
        <v>46168</v>
      </c>
      <c r="L214" s="752">
        <v>46168</v>
      </c>
      <c r="M214" s="941" t="s">
        <v>631</v>
      </c>
      <c r="N214" s="1003">
        <v>46168</v>
      </c>
      <c r="O214" s="750" t="s">
        <v>2830</v>
      </c>
      <c r="P214" s="750">
        <v>16</v>
      </c>
      <c r="Q214" s="858"/>
    </row>
    <row r="215" spans="1:17" s="1039" customFormat="1" ht="45" customHeight="1">
      <c r="A215" s="750">
        <f t="shared" si="4"/>
        <v>209</v>
      </c>
      <c r="B215" s="751" t="s">
        <v>3588</v>
      </c>
      <c r="C215" s="941" t="s">
        <v>1319</v>
      </c>
      <c r="D215" s="750" t="s">
        <v>1765</v>
      </c>
      <c r="E215" s="782"/>
      <c r="F215" s="752">
        <v>46164</v>
      </c>
      <c r="G215" s="752">
        <v>46169</v>
      </c>
      <c r="H215" s="752">
        <v>46169</v>
      </c>
      <c r="I215" s="752">
        <v>46171</v>
      </c>
      <c r="J215" s="752">
        <v>46171</v>
      </c>
      <c r="K215" s="752">
        <v>46172</v>
      </c>
      <c r="L215" s="752">
        <v>46172</v>
      </c>
      <c r="M215" s="941" t="s">
        <v>631</v>
      </c>
      <c r="N215" s="1003">
        <v>46174</v>
      </c>
      <c r="O215" s="750" t="s">
        <v>3139</v>
      </c>
      <c r="P215" s="750">
        <v>12</v>
      </c>
      <c r="Q215" s="858"/>
    </row>
    <row r="216" spans="1:17" s="1039" customFormat="1" ht="45" customHeight="1">
      <c r="A216" s="750">
        <f t="shared" si="4"/>
        <v>210</v>
      </c>
      <c r="B216" s="751" t="s">
        <v>2978</v>
      </c>
      <c r="C216" s="941" t="s">
        <v>3589</v>
      </c>
      <c r="D216" s="750" t="s">
        <v>1765</v>
      </c>
      <c r="E216" s="783"/>
      <c r="F216" s="752">
        <v>46165</v>
      </c>
      <c r="G216" s="752">
        <v>46170</v>
      </c>
      <c r="H216" s="752">
        <v>46171</v>
      </c>
      <c r="I216" s="752">
        <v>46171</v>
      </c>
      <c r="J216" s="752">
        <v>46171</v>
      </c>
      <c r="K216" s="752">
        <v>46172</v>
      </c>
      <c r="L216" s="752">
        <v>46172</v>
      </c>
      <c r="M216" s="941" t="s">
        <v>631</v>
      </c>
      <c r="N216" s="1003">
        <v>46172</v>
      </c>
      <c r="O216" s="750" t="s">
        <v>3571</v>
      </c>
      <c r="P216" s="750">
        <v>10</v>
      </c>
      <c r="Q216" s="858"/>
    </row>
    <row r="217" spans="1:17" s="1039" customFormat="1" ht="45" customHeight="1">
      <c r="A217" s="750">
        <f t="shared" si="4"/>
        <v>211</v>
      </c>
      <c r="B217" s="751" t="s">
        <v>2900</v>
      </c>
      <c r="C217" s="941" t="s">
        <v>1269</v>
      </c>
      <c r="D217" s="750" t="s">
        <v>3287</v>
      </c>
      <c r="E217" s="782"/>
      <c r="F217" s="752">
        <v>46165</v>
      </c>
      <c r="G217" s="752">
        <v>46167</v>
      </c>
      <c r="H217" s="752">
        <v>46168</v>
      </c>
      <c r="I217" s="752">
        <v>46168</v>
      </c>
      <c r="J217" s="752">
        <v>46168</v>
      </c>
      <c r="K217" s="752">
        <v>46170</v>
      </c>
      <c r="L217" s="752">
        <v>46170</v>
      </c>
      <c r="M217" s="941" t="s">
        <v>631</v>
      </c>
      <c r="N217" s="1003">
        <v>46174</v>
      </c>
      <c r="O217" s="750" t="s">
        <v>3252</v>
      </c>
      <c r="P217" s="750">
        <v>10</v>
      </c>
      <c r="Q217" s="858"/>
    </row>
    <row r="218" spans="1:17" s="1039" customFormat="1" ht="45" customHeight="1">
      <c r="A218" s="750">
        <f t="shared" si="4"/>
        <v>212</v>
      </c>
      <c r="B218" s="751" t="s">
        <v>3195</v>
      </c>
      <c r="C218" s="941" t="s">
        <v>2212</v>
      </c>
      <c r="D218" s="750" t="s">
        <v>897</v>
      </c>
      <c r="E218" s="782"/>
      <c r="F218" s="752">
        <v>46167</v>
      </c>
      <c r="G218" s="752">
        <v>46170</v>
      </c>
      <c r="H218" s="752">
        <v>46172</v>
      </c>
      <c r="I218" s="752">
        <v>46172</v>
      </c>
      <c r="J218" s="752">
        <v>46173</v>
      </c>
      <c r="K218" s="752">
        <v>46173</v>
      </c>
      <c r="L218" s="752">
        <v>46173</v>
      </c>
      <c r="M218" s="941" t="s">
        <v>631</v>
      </c>
      <c r="N218" s="1003">
        <v>46181</v>
      </c>
      <c r="O218" s="750" t="s">
        <v>3578</v>
      </c>
      <c r="P218" s="750">
        <v>10</v>
      </c>
      <c r="Q218" s="858"/>
    </row>
    <row r="219" spans="1:17" s="1039" customFormat="1" ht="45" customHeight="1">
      <c r="A219" s="750">
        <f t="shared" si="4"/>
        <v>213</v>
      </c>
      <c r="B219" s="751" t="s">
        <v>2882</v>
      </c>
      <c r="C219" s="941" t="s">
        <v>1935</v>
      </c>
      <c r="D219" s="750" t="s">
        <v>3287</v>
      </c>
      <c r="E219" s="782"/>
      <c r="F219" s="752">
        <v>46167</v>
      </c>
      <c r="G219" s="752">
        <v>46173</v>
      </c>
      <c r="H219" s="752">
        <v>46174</v>
      </c>
      <c r="I219" s="752">
        <v>46174</v>
      </c>
      <c r="J219" s="752">
        <v>46177</v>
      </c>
      <c r="K219" s="752">
        <v>46178</v>
      </c>
      <c r="L219" s="752">
        <v>46178</v>
      </c>
      <c r="M219" s="941" t="s">
        <v>631</v>
      </c>
      <c r="N219" s="1003">
        <v>46178</v>
      </c>
      <c r="O219" s="750" t="s">
        <v>3494</v>
      </c>
      <c r="P219" s="750">
        <v>10</v>
      </c>
      <c r="Q219" s="858"/>
    </row>
    <row r="220" spans="1:17" s="1039" customFormat="1" ht="45" customHeight="1">
      <c r="A220" s="750">
        <f t="shared" si="4"/>
        <v>214</v>
      </c>
      <c r="B220" s="751" t="s">
        <v>2889</v>
      </c>
      <c r="C220" s="941" t="s">
        <v>1277</v>
      </c>
      <c r="D220" s="750" t="s">
        <v>1765</v>
      </c>
      <c r="E220" s="782"/>
      <c r="F220" s="752">
        <v>46167</v>
      </c>
      <c r="G220" s="752">
        <v>46174</v>
      </c>
      <c r="H220" s="752">
        <v>46176</v>
      </c>
      <c r="I220" s="752">
        <v>46176</v>
      </c>
      <c r="J220" s="752">
        <v>46177</v>
      </c>
      <c r="K220" s="752">
        <v>46179</v>
      </c>
      <c r="L220" s="752">
        <v>46179</v>
      </c>
      <c r="M220" s="941" t="s">
        <v>631</v>
      </c>
      <c r="N220" s="1003">
        <v>46184</v>
      </c>
      <c r="O220" s="750" t="s">
        <v>3252</v>
      </c>
      <c r="P220" s="750">
        <v>10</v>
      </c>
      <c r="Q220" s="858"/>
    </row>
    <row r="221" spans="1:17" s="1039" customFormat="1" ht="45" customHeight="1">
      <c r="A221" s="750">
        <f t="shared" si="4"/>
        <v>215</v>
      </c>
      <c r="B221" s="751" t="s">
        <v>2926</v>
      </c>
      <c r="C221" s="941" t="s">
        <v>1953</v>
      </c>
      <c r="D221" s="750" t="s">
        <v>2736</v>
      </c>
      <c r="E221" s="782"/>
      <c r="F221" s="752">
        <v>46168</v>
      </c>
      <c r="G221" s="752">
        <v>46175</v>
      </c>
      <c r="H221" s="752">
        <v>46176</v>
      </c>
      <c r="I221" s="752">
        <v>46176</v>
      </c>
      <c r="J221" s="752">
        <v>46177</v>
      </c>
      <c r="K221" s="752">
        <v>46178</v>
      </c>
      <c r="L221" s="752">
        <v>46178</v>
      </c>
      <c r="M221" s="941" t="s">
        <v>631</v>
      </c>
      <c r="N221" s="1003">
        <v>46179</v>
      </c>
      <c r="O221" s="750" t="s">
        <v>2830</v>
      </c>
      <c r="P221" s="750">
        <v>16</v>
      </c>
      <c r="Q221" s="858"/>
    </row>
    <row r="222" spans="1:17" s="1039" customFormat="1" ht="45" customHeight="1">
      <c r="A222" s="750">
        <f t="shared" si="4"/>
        <v>216</v>
      </c>
      <c r="B222" s="751" t="s">
        <v>3147</v>
      </c>
      <c r="C222" s="941" t="s">
        <v>62</v>
      </c>
      <c r="D222" s="750" t="s">
        <v>3287</v>
      </c>
      <c r="E222" s="782"/>
      <c r="F222" s="752">
        <v>46168</v>
      </c>
      <c r="G222" s="752">
        <v>46175</v>
      </c>
      <c r="H222" s="752">
        <v>46176</v>
      </c>
      <c r="I222" s="752">
        <v>46176</v>
      </c>
      <c r="J222" s="752">
        <v>46176</v>
      </c>
      <c r="K222" s="752">
        <v>46177</v>
      </c>
      <c r="L222" s="752">
        <v>46177</v>
      </c>
      <c r="M222" s="941" t="s">
        <v>631</v>
      </c>
      <c r="N222" s="1003">
        <v>46179</v>
      </c>
      <c r="O222" s="750" t="s">
        <v>3421</v>
      </c>
      <c r="P222" s="750">
        <v>11</v>
      </c>
      <c r="Q222" s="858"/>
    </row>
    <row r="223" spans="1:17" s="1039" customFormat="1" ht="45" customHeight="1">
      <c r="A223" s="750">
        <f t="shared" si="4"/>
        <v>217</v>
      </c>
      <c r="B223" s="751" t="s">
        <v>3593</v>
      </c>
      <c r="C223" s="941" t="s">
        <v>1995</v>
      </c>
      <c r="D223" s="750" t="s">
        <v>1765</v>
      </c>
      <c r="E223" s="782"/>
      <c r="F223" s="752">
        <v>46169</v>
      </c>
      <c r="G223" s="752">
        <v>46177</v>
      </c>
      <c r="H223" s="752">
        <v>46178</v>
      </c>
      <c r="I223" s="752">
        <v>46178</v>
      </c>
      <c r="J223" s="752">
        <v>46178</v>
      </c>
      <c r="K223" s="752">
        <v>46179</v>
      </c>
      <c r="L223" s="752">
        <v>46179</v>
      </c>
      <c r="M223" s="941" t="s">
        <v>631</v>
      </c>
      <c r="N223" s="1003">
        <v>46182</v>
      </c>
      <c r="O223" s="750" t="s">
        <v>3304</v>
      </c>
      <c r="P223" s="750">
        <v>13</v>
      </c>
      <c r="Q223" s="858"/>
    </row>
    <row r="224" spans="1:17" s="1039" customFormat="1" ht="45" customHeight="1">
      <c r="A224" s="750">
        <f t="shared" si="4"/>
        <v>218</v>
      </c>
      <c r="B224" s="751" t="s">
        <v>3594</v>
      </c>
      <c r="C224" s="941" t="s">
        <v>1269</v>
      </c>
      <c r="D224" s="750" t="s">
        <v>1765</v>
      </c>
      <c r="E224" s="782"/>
      <c r="F224" s="752">
        <v>46169</v>
      </c>
      <c r="G224" s="752">
        <v>46171</v>
      </c>
      <c r="H224" s="752">
        <v>46179</v>
      </c>
      <c r="I224" s="752">
        <v>46179</v>
      </c>
      <c r="J224" s="752">
        <v>46181</v>
      </c>
      <c r="K224" s="752">
        <v>46183</v>
      </c>
      <c r="L224" s="752">
        <v>46183</v>
      </c>
      <c r="M224" s="941" t="s">
        <v>631</v>
      </c>
      <c r="N224" s="1003">
        <v>46184</v>
      </c>
      <c r="O224" s="750" t="s">
        <v>3305</v>
      </c>
      <c r="P224" s="750">
        <v>8</v>
      </c>
      <c r="Q224" s="858"/>
    </row>
    <row r="225" spans="1:17" s="1039" customFormat="1" ht="45" customHeight="1">
      <c r="A225" s="750">
        <f t="shared" si="4"/>
        <v>219</v>
      </c>
      <c r="B225" s="751" t="s">
        <v>2208</v>
      </c>
      <c r="C225" s="941" t="s">
        <v>3595</v>
      </c>
      <c r="D225" s="750" t="s">
        <v>1765</v>
      </c>
      <c r="E225" s="782"/>
      <c r="F225" s="752">
        <v>46169</v>
      </c>
      <c r="G225" s="752">
        <v>46173</v>
      </c>
      <c r="H225" s="752">
        <v>46174</v>
      </c>
      <c r="I225" s="752">
        <v>46174</v>
      </c>
      <c r="J225" s="752">
        <v>46178</v>
      </c>
      <c r="K225" s="752">
        <v>46185</v>
      </c>
      <c r="L225" s="752">
        <v>46185</v>
      </c>
      <c r="M225" s="941" t="s">
        <v>631</v>
      </c>
      <c r="N225" s="941"/>
      <c r="O225" s="750" t="s">
        <v>3498</v>
      </c>
      <c r="P225" s="750">
        <v>8</v>
      </c>
      <c r="Q225" s="858" t="s">
        <v>3626</v>
      </c>
    </row>
    <row r="226" spans="1:17" s="1039" customFormat="1" ht="45" customHeight="1">
      <c r="A226" s="750">
        <f t="shared" si="4"/>
        <v>220</v>
      </c>
      <c r="B226" s="751" t="s">
        <v>134</v>
      </c>
      <c r="C226" s="941" t="s">
        <v>76</v>
      </c>
      <c r="D226" s="750" t="s">
        <v>3287</v>
      </c>
      <c r="E226" s="783"/>
      <c r="F226" s="752">
        <v>46171</v>
      </c>
      <c r="G226" s="752">
        <v>46173</v>
      </c>
      <c r="H226" s="752">
        <v>46174</v>
      </c>
      <c r="I226" s="752">
        <v>46174</v>
      </c>
      <c r="J226" s="752">
        <v>46175</v>
      </c>
      <c r="K226" s="752">
        <v>46176</v>
      </c>
      <c r="L226" s="752">
        <v>46176</v>
      </c>
      <c r="M226" s="941" t="s">
        <v>631</v>
      </c>
      <c r="N226" s="1003">
        <v>46177</v>
      </c>
      <c r="O226" s="750" t="s">
        <v>3252</v>
      </c>
      <c r="P226" s="750">
        <v>10</v>
      </c>
      <c r="Q226" s="858"/>
    </row>
    <row r="227" spans="1:17" s="1039" customFormat="1" ht="45" customHeight="1">
      <c r="A227" s="750">
        <f t="shared" si="4"/>
        <v>221</v>
      </c>
      <c r="B227" s="751" t="s">
        <v>2951</v>
      </c>
      <c r="C227" s="941" t="s">
        <v>1988</v>
      </c>
      <c r="D227" s="750" t="s">
        <v>2736</v>
      </c>
      <c r="E227" s="782"/>
      <c r="F227" s="752">
        <v>46173</v>
      </c>
      <c r="G227" s="752">
        <v>46176</v>
      </c>
      <c r="H227" s="752">
        <v>46177</v>
      </c>
      <c r="I227" s="752">
        <v>46177</v>
      </c>
      <c r="J227" s="752">
        <v>46177</v>
      </c>
      <c r="K227" s="752">
        <v>46178</v>
      </c>
      <c r="L227" s="752">
        <v>46178</v>
      </c>
      <c r="M227" s="941" t="s">
        <v>631</v>
      </c>
      <c r="N227" s="1003">
        <v>46174</v>
      </c>
      <c r="O227" s="750" t="s">
        <v>3571</v>
      </c>
      <c r="P227" s="750">
        <v>16</v>
      </c>
      <c r="Q227" s="858"/>
    </row>
    <row r="228" spans="1:17" s="1039" customFormat="1" ht="45" customHeight="1">
      <c r="A228" s="750">
        <f t="shared" si="4"/>
        <v>222</v>
      </c>
      <c r="B228" s="751" t="s">
        <v>3145</v>
      </c>
      <c r="C228" s="941" t="s">
        <v>76</v>
      </c>
      <c r="D228" s="750" t="s">
        <v>3287</v>
      </c>
      <c r="E228" s="782"/>
      <c r="F228" s="752">
        <v>46176</v>
      </c>
      <c r="G228" s="752">
        <v>46181</v>
      </c>
      <c r="H228" s="752">
        <v>46181</v>
      </c>
      <c r="I228" s="752">
        <v>46181</v>
      </c>
      <c r="J228" s="752">
        <v>46181</v>
      </c>
      <c r="K228" s="752">
        <v>46182</v>
      </c>
      <c r="L228" s="752">
        <v>46182</v>
      </c>
      <c r="M228" s="941" t="s">
        <v>631</v>
      </c>
      <c r="N228" s="1003">
        <v>46183</v>
      </c>
      <c r="O228" s="750" t="s">
        <v>3613</v>
      </c>
      <c r="P228" s="750">
        <v>11</v>
      </c>
      <c r="Q228" s="858" t="s">
        <v>3618</v>
      </c>
    </row>
    <row r="229" spans="1:17" s="1039" customFormat="1" ht="45" customHeight="1">
      <c r="A229" s="750">
        <f t="shared" si="4"/>
        <v>223</v>
      </c>
      <c r="B229" s="751" t="s">
        <v>2948</v>
      </c>
      <c r="C229" s="941" t="s">
        <v>2197</v>
      </c>
      <c r="D229" s="750" t="s">
        <v>2736</v>
      </c>
      <c r="E229" s="782"/>
      <c r="F229" s="752">
        <v>46176</v>
      </c>
      <c r="G229" s="752">
        <v>46179</v>
      </c>
      <c r="H229" s="752">
        <v>46180</v>
      </c>
      <c r="I229" s="752">
        <v>46180</v>
      </c>
      <c r="J229" s="752">
        <v>46181</v>
      </c>
      <c r="K229" s="752">
        <v>46182</v>
      </c>
      <c r="L229" s="752">
        <v>46182</v>
      </c>
      <c r="M229" s="941" t="s">
        <v>631</v>
      </c>
      <c r="N229" s="941"/>
      <c r="O229" s="750" t="s">
        <v>3571</v>
      </c>
      <c r="P229" s="750">
        <v>16</v>
      </c>
      <c r="Q229" s="858"/>
    </row>
    <row r="230" spans="1:17" s="1039" customFormat="1" ht="45" customHeight="1">
      <c r="A230" s="750">
        <f t="shared" si="4"/>
        <v>224</v>
      </c>
      <c r="B230" s="751" t="s">
        <v>3148</v>
      </c>
      <c r="C230" s="941" t="s">
        <v>76</v>
      </c>
      <c r="D230" s="750" t="s">
        <v>3287</v>
      </c>
      <c r="E230" s="782"/>
      <c r="F230" s="752">
        <v>46178</v>
      </c>
      <c r="G230" s="752">
        <v>46183</v>
      </c>
      <c r="H230" s="752">
        <v>46184</v>
      </c>
      <c r="I230" s="752">
        <v>46184</v>
      </c>
      <c r="J230" s="752">
        <v>46184</v>
      </c>
      <c r="K230" s="752">
        <v>46185</v>
      </c>
      <c r="L230" s="752">
        <v>46185</v>
      </c>
      <c r="M230" s="941" t="s">
        <v>631</v>
      </c>
      <c r="N230" s="1003">
        <v>46186</v>
      </c>
      <c r="O230" s="750" t="s">
        <v>3615</v>
      </c>
      <c r="P230" s="750">
        <v>10</v>
      </c>
      <c r="Q230" s="858"/>
    </row>
    <row r="231" spans="1:17" s="1039" customFormat="1" ht="45" customHeight="1">
      <c r="A231" s="750">
        <f t="shared" si="4"/>
        <v>225</v>
      </c>
      <c r="B231" s="751" t="s">
        <v>2880</v>
      </c>
      <c r="C231" s="941" t="s">
        <v>915</v>
      </c>
      <c r="D231" s="750" t="s">
        <v>3287</v>
      </c>
      <c r="E231" s="782"/>
      <c r="F231" s="752">
        <v>46183</v>
      </c>
      <c r="G231" s="752">
        <v>46186</v>
      </c>
      <c r="H231" s="752">
        <v>46189</v>
      </c>
      <c r="I231" s="752">
        <v>46189</v>
      </c>
      <c r="J231" s="752">
        <v>46189</v>
      </c>
      <c r="K231" s="752">
        <v>46190</v>
      </c>
      <c r="L231" s="752">
        <v>46190</v>
      </c>
      <c r="M231" s="941" t="s">
        <v>631</v>
      </c>
      <c r="N231" s="1003">
        <v>46190</v>
      </c>
      <c r="O231" s="750" t="s">
        <v>3571</v>
      </c>
      <c r="P231" s="750">
        <v>16</v>
      </c>
      <c r="Q231" s="858"/>
    </row>
    <row r="232" spans="1:17" s="1039" customFormat="1" ht="45" customHeight="1">
      <c r="A232" s="750">
        <f t="shared" si="4"/>
        <v>226</v>
      </c>
      <c r="B232" s="751" t="s">
        <v>2895</v>
      </c>
      <c r="C232" s="941" t="s">
        <v>1269</v>
      </c>
      <c r="D232" s="750" t="s">
        <v>3287</v>
      </c>
      <c r="E232" s="782"/>
      <c r="F232" s="752">
        <v>46182</v>
      </c>
      <c r="G232" s="752">
        <v>46186</v>
      </c>
      <c r="H232" s="752">
        <v>46193</v>
      </c>
      <c r="I232" s="752">
        <v>46193</v>
      </c>
      <c r="J232" s="752">
        <v>46193</v>
      </c>
      <c r="K232" s="752">
        <v>46195</v>
      </c>
      <c r="L232" s="752">
        <v>46195</v>
      </c>
      <c r="M232" s="941" t="s">
        <v>631</v>
      </c>
      <c r="N232" s="1003">
        <v>46196</v>
      </c>
      <c r="O232" s="750" t="s">
        <v>3498</v>
      </c>
      <c r="P232" s="750">
        <v>10</v>
      </c>
      <c r="Q232" s="858"/>
    </row>
    <row r="233" spans="1:17" s="1039" customFormat="1" ht="45" customHeight="1">
      <c r="A233" s="750">
        <f t="shared" si="4"/>
        <v>227</v>
      </c>
      <c r="B233" s="751" t="s">
        <v>3619</v>
      </c>
      <c r="C233" s="941" t="s">
        <v>53</v>
      </c>
      <c r="D233" s="750" t="s">
        <v>1765</v>
      </c>
      <c r="E233" s="782"/>
      <c r="F233" s="752">
        <v>46182</v>
      </c>
      <c r="G233" s="752">
        <v>46186</v>
      </c>
      <c r="H233" s="752">
        <v>46187</v>
      </c>
      <c r="I233" s="752">
        <v>46187</v>
      </c>
      <c r="J233" s="752">
        <v>46197</v>
      </c>
      <c r="K233" s="752">
        <v>46198</v>
      </c>
      <c r="L233" s="752">
        <v>46198</v>
      </c>
      <c r="M233" s="941" t="s">
        <v>631</v>
      </c>
      <c r="N233" s="941"/>
      <c r="O233" s="750" t="s">
        <v>3578</v>
      </c>
      <c r="P233" s="1045">
        <v>10</v>
      </c>
      <c r="Q233" s="858"/>
    </row>
    <row r="234" spans="1:17" s="1039" customFormat="1" ht="45" customHeight="1">
      <c r="A234" s="750">
        <f t="shared" si="4"/>
        <v>228</v>
      </c>
      <c r="B234" s="751" t="s">
        <v>3621</v>
      </c>
      <c r="C234" s="941" t="s">
        <v>1995</v>
      </c>
      <c r="D234" s="750" t="s">
        <v>1765</v>
      </c>
      <c r="E234" s="782"/>
      <c r="F234" s="752">
        <v>46184</v>
      </c>
      <c r="G234" s="752">
        <v>46186</v>
      </c>
      <c r="H234" s="752">
        <v>46192</v>
      </c>
      <c r="I234" s="752">
        <v>46192</v>
      </c>
      <c r="J234" s="752">
        <v>46193</v>
      </c>
      <c r="K234" s="752">
        <v>46195</v>
      </c>
      <c r="L234" s="752">
        <v>46195</v>
      </c>
      <c r="M234" s="941" t="s">
        <v>631</v>
      </c>
      <c r="N234" s="941"/>
      <c r="O234" s="750" t="s">
        <v>3578</v>
      </c>
      <c r="P234" s="1326">
        <v>10</v>
      </c>
      <c r="Q234" s="858"/>
    </row>
    <row r="235" spans="1:17" s="1039" customFormat="1" ht="45" customHeight="1">
      <c r="A235" s="750">
        <f t="shared" si="4"/>
        <v>229</v>
      </c>
      <c r="B235" s="751" t="s">
        <v>3622</v>
      </c>
      <c r="C235" s="941" t="s">
        <v>76</v>
      </c>
      <c r="D235" s="750" t="s">
        <v>1765</v>
      </c>
      <c r="E235" s="782"/>
      <c r="F235" s="752">
        <v>46185</v>
      </c>
      <c r="G235" s="752">
        <v>46188</v>
      </c>
      <c r="H235" s="752">
        <v>46189</v>
      </c>
      <c r="I235" s="752">
        <v>46189</v>
      </c>
      <c r="J235" s="752">
        <v>46190</v>
      </c>
      <c r="K235" s="752">
        <v>46192</v>
      </c>
      <c r="L235" s="752">
        <v>46192</v>
      </c>
      <c r="M235" s="941" t="s">
        <v>631</v>
      </c>
      <c r="N235" s="941"/>
      <c r="O235" s="750" t="s">
        <v>3139</v>
      </c>
      <c r="P235" s="750">
        <v>10</v>
      </c>
      <c r="Q235" s="858"/>
    </row>
    <row r="236" spans="1:17" s="1039" customFormat="1" ht="45" customHeight="1">
      <c r="A236" s="750">
        <f t="shared" si="4"/>
        <v>230</v>
      </c>
      <c r="B236" s="751" t="s">
        <v>3013</v>
      </c>
      <c r="C236" s="941" t="s">
        <v>2023</v>
      </c>
      <c r="D236" s="750" t="s">
        <v>897</v>
      </c>
      <c r="E236" s="782"/>
      <c r="F236" s="752">
        <v>46185</v>
      </c>
      <c r="G236" s="752">
        <v>46193</v>
      </c>
      <c r="H236" s="752">
        <v>46193</v>
      </c>
      <c r="I236" s="752">
        <v>46194</v>
      </c>
      <c r="J236" s="752">
        <v>46194</v>
      </c>
      <c r="K236" s="752">
        <v>46197</v>
      </c>
      <c r="L236" s="752">
        <v>46197</v>
      </c>
      <c r="M236" s="941" t="s">
        <v>631</v>
      </c>
      <c r="N236" s="941"/>
      <c r="O236" s="750" t="s">
        <v>3613</v>
      </c>
      <c r="P236" s="750">
        <v>13</v>
      </c>
      <c r="Q236" s="858"/>
    </row>
    <row r="237" spans="1:17" s="1039" customFormat="1" ht="45" customHeight="1">
      <c r="A237" s="750">
        <f t="shared" si="4"/>
        <v>231</v>
      </c>
      <c r="B237" s="751" t="s">
        <v>468</v>
      </c>
      <c r="C237" s="941" t="s">
        <v>249</v>
      </c>
      <c r="D237" s="750" t="s">
        <v>3287</v>
      </c>
      <c r="E237" s="782"/>
      <c r="F237" s="752">
        <v>46189</v>
      </c>
      <c r="G237" s="752">
        <v>46191</v>
      </c>
      <c r="H237" s="752">
        <v>46192</v>
      </c>
      <c r="I237" s="752">
        <v>46192</v>
      </c>
      <c r="J237" s="752">
        <v>46192</v>
      </c>
      <c r="K237" s="752">
        <v>46193</v>
      </c>
      <c r="L237" s="752">
        <v>46193</v>
      </c>
      <c r="M237" s="941" t="s">
        <v>631</v>
      </c>
      <c r="N237" s="941"/>
      <c r="O237" s="750" t="s">
        <v>3571</v>
      </c>
      <c r="P237" s="750">
        <v>16</v>
      </c>
      <c r="Q237" s="858"/>
    </row>
    <row r="238" spans="1:17" s="1039" customFormat="1" ht="45" customHeight="1">
      <c r="A238" s="750">
        <f t="shared" si="4"/>
        <v>232</v>
      </c>
      <c r="B238" s="751" t="s">
        <v>3637</v>
      </c>
      <c r="C238" s="941" t="s">
        <v>1977</v>
      </c>
      <c r="D238" s="750" t="s">
        <v>1765</v>
      </c>
      <c r="E238" s="782"/>
      <c r="F238" s="752">
        <v>46189</v>
      </c>
      <c r="G238" s="752">
        <v>46194</v>
      </c>
      <c r="H238" s="752">
        <v>46197</v>
      </c>
      <c r="I238" s="752">
        <v>46197</v>
      </c>
      <c r="J238" s="752">
        <v>46198</v>
      </c>
      <c r="K238" s="752">
        <v>46200</v>
      </c>
      <c r="L238" s="752">
        <v>46200</v>
      </c>
      <c r="M238" s="941" t="s">
        <v>631</v>
      </c>
      <c r="N238" s="1003">
        <v>46200</v>
      </c>
      <c r="O238" s="750" t="s">
        <v>3139</v>
      </c>
      <c r="P238" s="750">
        <v>8</v>
      </c>
      <c r="Q238" s="858"/>
    </row>
    <row r="239" spans="1:17" s="1039" customFormat="1" ht="45" customHeight="1">
      <c r="A239" s="750">
        <f t="shared" si="4"/>
        <v>233</v>
      </c>
      <c r="B239" s="751" t="s">
        <v>3020</v>
      </c>
      <c r="C239" s="941" t="s">
        <v>1277</v>
      </c>
      <c r="D239" s="750" t="s">
        <v>1765</v>
      </c>
      <c r="E239" s="782"/>
      <c r="F239" s="752">
        <v>46190</v>
      </c>
      <c r="G239" s="752">
        <v>46196</v>
      </c>
      <c r="H239" s="752">
        <v>46197</v>
      </c>
      <c r="I239" s="752">
        <v>46197</v>
      </c>
      <c r="J239" s="752">
        <v>46197</v>
      </c>
      <c r="K239" s="752">
        <v>46198</v>
      </c>
      <c r="L239" s="752">
        <v>46198</v>
      </c>
      <c r="M239" s="941" t="s">
        <v>631</v>
      </c>
      <c r="N239" s="941"/>
      <c r="O239" s="750" t="s">
        <v>3139</v>
      </c>
      <c r="P239" s="750">
        <v>10</v>
      </c>
      <c r="Q239" s="858"/>
    </row>
    <row r="240" spans="1:17" s="1039" customFormat="1" ht="45" customHeight="1">
      <c r="A240" s="750">
        <f t="shared" si="4"/>
        <v>234</v>
      </c>
      <c r="B240" s="751" t="s">
        <v>3239</v>
      </c>
      <c r="C240" s="941" t="s">
        <v>3643</v>
      </c>
      <c r="D240" s="750" t="s">
        <v>897</v>
      </c>
      <c r="E240" s="782"/>
      <c r="F240" s="752">
        <v>46194</v>
      </c>
      <c r="G240" s="752">
        <v>46201</v>
      </c>
      <c r="H240" s="752">
        <v>46202</v>
      </c>
      <c r="I240" s="752">
        <v>46202</v>
      </c>
      <c r="J240" s="752">
        <v>46202</v>
      </c>
      <c r="K240" s="752">
        <v>46206</v>
      </c>
      <c r="L240" s="752">
        <v>46206</v>
      </c>
      <c r="M240" s="941" t="s">
        <v>631</v>
      </c>
      <c r="N240" s="941"/>
      <c r="O240" s="750" t="s">
        <v>3571</v>
      </c>
      <c r="P240" s="750">
        <v>16</v>
      </c>
      <c r="Q240" s="858"/>
    </row>
    <row r="241" spans="1:17" s="1039" customFormat="1" ht="45" customHeight="1">
      <c r="A241" s="750">
        <f t="shared" si="4"/>
        <v>235</v>
      </c>
      <c r="B241" s="751" t="s">
        <v>753</v>
      </c>
      <c r="C241" s="941" t="s">
        <v>53</v>
      </c>
      <c r="D241" s="750" t="s">
        <v>3287</v>
      </c>
      <c r="E241" s="782"/>
      <c r="F241" s="752">
        <v>46196</v>
      </c>
      <c r="G241" s="752">
        <v>46198</v>
      </c>
      <c r="H241" s="752">
        <v>46198</v>
      </c>
      <c r="I241" s="752">
        <v>46198</v>
      </c>
      <c r="J241" s="752">
        <v>46198</v>
      </c>
      <c r="K241" s="752">
        <v>46199</v>
      </c>
      <c r="L241" s="752">
        <v>46199</v>
      </c>
      <c r="M241" s="941" t="s">
        <v>631</v>
      </c>
      <c r="N241" s="941"/>
      <c r="O241" s="750" t="s">
        <v>3571</v>
      </c>
      <c r="P241" s="750">
        <v>16</v>
      </c>
      <c r="Q241" s="858"/>
    </row>
    <row r="242" spans="1:17" s="1039" customFormat="1" ht="45" customHeight="1">
      <c r="A242" s="750">
        <f t="shared" si="4"/>
        <v>236</v>
      </c>
      <c r="B242" s="751" t="s">
        <v>3655</v>
      </c>
      <c r="C242" s="941" t="s">
        <v>3313</v>
      </c>
      <c r="D242" s="750" t="s">
        <v>2736</v>
      </c>
      <c r="E242" s="782"/>
      <c r="F242" s="752">
        <v>46198</v>
      </c>
      <c r="G242" s="752">
        <v>46203</v>
      </c>
      <c r="H242" s="752">
        <v>46204</v>
      </c>
      <c r="I242" s="752">
        <v>46204</v>
      </c>
      <c r="J242" s="752">
        <v>46205</v>
      </c>
      <c r="K242" s="752">
        <v>46209</v>
      </c>
      <c r="L242" s="752">
        <v>46209</v>
      </c>
      <c r="M242" s="941" t="s">
        <v>631</v>
      </c>
      <c r="N242" s="1003">
        <v>46209</v>
      </c>
      <c r="O242" s="750" t="s">
        <v>3139</v>
      </c>
      <c r="P242" s="750">
        <v>10</v>
      </c>
      <c r="Q242" s="858"/>
    </row>
    <row r="243" spans="1:17" s="1039" customFormat="1" ht="55.5" customHeight="1">
      <c r="A243" s="927">
        <f t="shared" si="4"/>
        <v>237</v>
      </c>
      <c r="B243" s="1347" t="s">
        <v>3658</v>
      </c>
      <c r="C243" s="929" t="s">
        <v>2197</v>
      </c>
      <c r="D243" s="927" t="s">
        <v>2736</v>
      </c>
      <c r="E243" s="1348"/>
      <c r="F243" s="928">
        <v>46200</v>
      </c>
      <c r="G243" s="928"/>
      <c r="H243" s="928"/>
      <c r="I243" s="928"/>
      <c r="J243" s="928"/>
      <c r="K243" s="928"/>
      <c r="L243" s="928"/>
      <c r="M243" s="929"/>
      <c r="N243" s="1085">
        <v>46212</v>
      </c>
      <c r="O243" s="927" t="s">
        <v>3139</v>
      </c>
      <c r="P243" s="927">
        <v>18</v>
      </c>
      <c r="Q243" s="1349" t="s">
        <v>3690</v>
      </c>
    </row>
    <row r="244" spans="1:17" s="1039" customFormat="1" ht="55.5" customHeight="1">
      <c r="A244" s="1012">
        <f t="shared" si="4"/>
        <v>238</v>
      </c>
      <c r="B244" s="1013" t="s">
        <v>2969</v>
      </c>
      <c r="C244" s="811" t="s">
        <v>1402</v>
      </c>
      <c r="D244" s="1012" t="s">
        <v>1765</v>
      </c>
      <c r="E244" s="1014"/>
      <c r="F244" s="1015"/>
      <c r="G244" s="1015"/>
      <c r="H244" s="1015"/>
      <c r="I244" s="1015"/>
      <c r="J244" s="1015"/>
      <c r="K244" s="1015"/>
      <c r="L244" s="1015"/>
      <c r="M244" s="811"/>
      <c r="N244" s="1360"/>
      <c r="O244" s="1012" t="s">
        <v>3498</v>
      </c>
      <c r="P244" s="1012">
        <v>5</v>
      </c>
      <c r="Q244" s="794" t="s">
        <v>3714</v>
      </c>
    </row>
  </sheetData>
  <autoFilter ref="A5:Q243"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80" priority="1"/>
  </conditionalFormatting>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037D-D0C2-46AA-B7AD-2BD561DDFDA6}">
  <sheetPr>
    <tabColor rgb="FF0070C0"/>
  </sheetPr>
  <dimension ref="A1:L17"/>
  <sheetViews>
    <sheetView zoomScaleNormal="100" workbookViewId="0">
      <pane ySplit="6" topLeftCell="A7" activePane="bottomLeft" state="frozen"/>
      <selection activeCell="K121" sqref="K121"/>
      <selection pane="bottomLeft" activeCell="G7" sqref="G7:G1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9.1796875" style="648" customWidth="1"/>
    <col min="6" max="6" width="19.08984375" style="650" bestFit="1" customWidth="1"/>
    <col min="7" max="7" width="17" style="650" bestFit="1" customWidth="1"/>
    <col min="8" max="8" width="12.08984375" style="648" bestFit="1" customWidth="1"/>
    <col min="9" max="9" width="7.36328125" style="648" customWidth="1"/>
    <col min="10" max="10" width="9.453125" style="1064" customWidth="1"/>
    <col min="11" max="11" width="10.36328125" style="1064" customWidth="1"/>
    <col min="12" max="12" width="13.7265625" style="1064" bestFit="1" customWidth="1"/>
    <col min="13" max="16384" width="7.90625" style="1064"/>
  </cols>
  <sheetData>
    <row r="1" spans="1:12" ht="12.5">
      <c r="A1" s="1572" t="s">
        <v>3310</v>
      </c>
      <c r="B1" s="1572"/>
      <c r="C1" s="1572"/>
      <c r="D1" s="1572"/>
      <c r="E1" s="1572"/>
      <c r="F1" s="698" t="s">
        <v>38</v>
      </c>
      <c r="G1" s="699">
        <f>'TB-605'!E1</f>
        <v>46219</v>
      </c>
    </row>
    <row r="2" spans="1:12" ht="12.5">
      <c r="A2" s="651" t="s">
        <v>2740</v>
      </c>
      <c r="B2" s="652"/>
      <c r="C2" s="653"/>
      <c r="D2" s="653"/>
      <c r="E2" s="653"/>
    </row>
    <row r="3" spans="1:12" ht="12.5">
      <c r="A3" s="651" t="s">
        <v>3598</v>
      </c>
      <c r="B3" s="651"/>
      <c r="C3" s="654"/>
      <c r="D3" s="654"/>
      <c r="E3" s="654"/>
    </row>
    <row r="5" spans="1:12" s="1065" customFormat="1" ht="17.5" customHeight="1">
      <c r="A5" s="1577" t="s">
        <v>1782</v>
      </c>
      <c r="B5" s="1577" t="s">
        <v>998</v>
      </c>
      <c r="C5" s="1577" t="s">
        <v>44</v>
      </c>
      <c r="D5" s="1577" t="s">
        <v>2698</v>
      </c>
      <c r="E5" s="1577" t="s">
        <v>1441</v>
      </c>
      <c r="F5" s="659" t="s">
        <v>1762</v>
      </c>
      <c r="G5" s="660" t="s">
        <v>1763</v>
      </c>
      <c r="H5" s="1578" t="s">
        <v>1764</v>
      </c>
      <c r="I5" s="1578"/>
      <c r="J5" s="1578"/>
      <c r="K5" s="1578"/>
      <c r="L5" s="1578"/>
    </row>
    <row r="6" spans="1:12" s="1065" customFormat="1" ht="17.5" customHeight="1">
      <c r="A6" s="1577"/>
      <c r="B6" s="1577"/>
      <c r="C6" s="1577"/>
      <c r="D6" s="1577"/>
      <c r="E6" s="1577"/>
      <c r="F6" s="659"/>
      <c r="G6" s="660"/>
      <c r="H6" s="1578"/>
      <c r="I6" s="1578"/>
      <c r="J6" s="1578"/>
      <c r="K6" s="1578"/>
      <c r="L6" s="659"/>
    </row>
    <row r="7" spans="1:12" s="1039" customFormat="1" ht="37.5">
      <c r="A7" s="1579">
        <f t="shared" ref="A7" si="0">A6+1</f>
        <v>1</v>
      </c>
      <c r="B7" s="1580" t="s">
        <v>3599</v>
      </c>
      <c r="C7" s="1581" t="s">
        <v>3600</v>
      </c>
      <c r="D7" s="1579" t="s">
        <v>3601</v>
      </c>
      <c r="E7" s="1582">
        <v>46187</v>
      </c>
      <c r="F7" s="1581" t="s">
        <v>3602</v>
      </c>
      <c r="G7" s="1579">
        <v>20</v>
      </c>
      <c r="H7" s="1354" t="s">
        <v>3703</v>
      </c>
      <c r="I7" s="1355" t="s">
        <v>3601</v>
      </c>
      <c r="J7" s="1356" t="s">
        <v>3702</v>
      </c>
      <c r="K7" s="1356" t="s">
        <v>3701</v>
      </c>
      <c r="L7" s="1356" t="s">
        <v>3715</v>
      </c>
    </row>
    <row r="8" spans="1:12" ht="12.5">
      <c r="A8" s="1579"/>
      <c r="B8" s="1580"/>
      <c r="C8" s="1581"/>
      <c r="D8" s="1579"/>
      <c r="E8" s="1582"/>
      <c r="F8" s="1581"/>
      <c r="G8" s="1579"/>
      <c r="H8" s="1583" t="s">
        <v>3704</v>
      </c>
      <c r="I8" s="1353" t="s">
        <v>3691</v>
      </c>
      <c r="J8" s="1357">
        <v>39.700000000000003</v>
      </c>
      <c r="K8" s="1357">
        <v>14.7</v>
      </c>
      <c r="L8" s="1358"/>
    </row>
    <row r="9" spans="1:12" ht="12.9" customHeight="1">
      <c r="A9" s="1579"/>
      <c r="B9" s="1580"/>
      <c r="C9" s="1581"/>
      <c r="D9" s="1579"/>
      <c r="E9" s="1582"/>
      <c r="F9" s="1581"/>
      <c r="G9" s="1579"/>
      <c r="H9" s="1583"/>
      <c r="I9" s="1353" t="s">
        <v>3692</v>
      </c>
      <c r="J9" s="1357">
        <v>39.15</v>
      </c>
      <c r="K9" s="1357">
        <v>39.15</v>
      </c>
      <c r="L9" s="1358"/>
    </row>
    <row r="10" spans="1:12" ht="12.9" customHeight="1">
      <c r="A10" s="1579"/>
      <c r="B10" s="1580"/>
      <c r="C10" s="1581"/>
      <c r="D10" s="1579"/>
      <c r="E10" s="1582"/>
      <c r="F10" s="1581"/>
      <c r="G10" s="1579"/>
      <c r="H10" s="1583"/>
      <c r="I10" s="1353" t="s">
        <v>3693</v>
      </c>
      <c r="J10" s="1357">
        <v>30.1</v>
      </c>
      <c r="K10" s="1357">
        <v>30.1</v>
      </c>
      <c r="L10" s="1358"/>
    </row>
    <row r="11" spans="1:12" ht="12.9" customHeight="1">
      <c r="A11" s="1579"/>
      <c r="B11" s="1580"/>
      <c r="C11" s="1581"/>
      <c r="D11" s="1579"/>
      <c r="E11" s="1582"/>
      <c r="F11" s="1581"/>
      <c r="G11" s="1579"/>
      <c r="H11" s="1583"/>
      <c r="I11" s="1353" t="s">
        <v>3694</v>
      </c>
      <c r="J11" s="1357">
        <v>14.7</v>
      </c>
      <c r="K11" s="1357">
        <v>14.7</v>
      </c>
      <c r="L11" s="1358"/>
    </row>
    <row r="12" spans="1:12" ht="12.9" customHeight="1">
      <c r="A12" s="1579"/>
      <c r="B12" s="1580"/>
      <c r="C12" s="1581"/>
      <c r="D12" s="1579"/>
      <c r="E12" s="1582"/>
      <c r="F12" s="1581"/>
      <c r="G12" s="1579"/>
      <c r="H12" s="1583"/>
      <c r="I12" s="1353" t="s">
        <v>3695</v>
      </c>
      <c r="J12" s="1357">
        <v>14.5</v>
      </c>
      <c r="K12" s="1357">
        <v>14.5</v>
      </c>
      <c r="L12" s="1358"/>
    </row>
    <row r="13" spans="1:12" ht="12.9" customHeight="1">
      <c r="A13" s="1579"/>
      <c r="B13" s="1580"/>
      <c r="C13" s="1581"/>
      <c r="D13" s="1579"/>
      <c r="E13" s="1582"/>
      <c r="F13" s="1581"/>
      <c r="G13" s="1579"/>
      <c r="H13" s="1583" t="s">
        <v>3705</v>
      </c>
      <c r="I13" s="1353" t="s">
        <v>3696</v>
      </c>
      <c r="J13" s="1357">
        <v>14.5</v>
      </c>
      <c r="K13" s="1357">
        <v>14.5</v>
      </c>
      <c r="L13" s="1358"/>
    </row>
    <row r="14" spans="1:12" ht="12.9" customHeight="1">
      <c r="A14" s="1579"/>
      <c r="B14" s="1580"/>
      <c r="C14" s="1581"/>
      <c r="D14" s="1579"/>
      <c r="E14" s="1582"/>
      <c r="F14" s="1581"/>
      <c r="G14" s="1579"/>
      <c r="H14" s="1583"/>
      <c r="I14" s="1353" t="s">
        <v>3697</v>
      </c>
      <c r="J14" s="1357">
        <v>14.5</v>
      </c>
      <c r="K14" s="1357">
        <v>14.5</v>
      </c>
      <c r="L14" s="1358"/>
    </row>
    <row r="15" spans="1:12" ht="12.9" customHeight="1">
      <c r="A15" s="1579"/>
      <c r="B15" s="1580"/>
      <c r="C15" s="1581"/>
      <c r="D15" s="1579"/>
      <c r="E15" s="1582"/>
      <c r="F15" s="1581"/>
      <c r="G15" s="1579"/>
      <c r="H15" s="1583"/>
      <c r="I15" s="1353" t="s">
        <v>3698</v>
      </c>
      <c r="J15" s="1357">
        <v>40</v>
      </c>
      <c r="K15" s="1357">
        <v>26.06</v>
      </c>
      <c r="L15" s="1361">
        <v>46218</v>
      </c>
    </row>
    <row r="16" spans="1:12" ht="12.9" customHeight="1">
      <c r="A16" s="1579"/>
      <c r="B16" s="1580"/>
      <c r="C16" s="1581"/>
      <c r="D16" s="1579"/>
      <c r="E16" s="1582"/>
      <c r="F16" s="1581"/>
      <c r="G16" s="1579"/>
      <c r="H16" s="1583"/>
      <c r="I16" s="1353" t="s">
        <v>3699</v>
      </c>
      <c r="J16" s="1357">
        <v>21.87</v>
      </c>
      <c r="K16" s="1357">
        <v>21.87</v>
      </c>
      <c r="L16" s="1358"/>
    </row>
    <row r="17" spans="1:12" ht="12.9" customHeight="1">
      <c r="A17" s="1579"/>
      <c r="B17" s="1580"/>
      <c r="C17" s="1581"/>
      <c r="D17" s="1579"/>
      <c r="E17" s="1582"/>
      <c r="F17" s="1581"/>
      <c r="G17" s="1579"/>
      <c r="H17" s="1583"/>
      <c r="I17" s="1353" t="s">
        <v>3700</v>
      </c>
      <c r="J17" s="1357">
        <v>14.7</v>
      </c>
      <c r="K17" s="1357">
        <v>14.7</v>
      </c>
      <c r="L17" s="1358"/>
    </row>
  </sheetData>
  <autoFilter ref="A5:H6" xr:uid="{25B1D0EB-708F-4A06-9C00-687ACFD68158}"/>
  <mergeCells count="17">
    <mergeCell ref="H5:L5"/>
    <mergeCell ref="H6:K6"/>
    <mergeCell ref="A7:A17"/>
    <mergeCell ref="B7:B17"/>
    <mergeCell ref="C7:C17"/>
    <mergeCell ref="D7:D17"/>
    <mergeCell ref="E7:E17"/>
    <mergeCell ref="F7:F17"/>
    <mergeCell ref="G7:G17"/>
    <mergeCell ref="H8:H12"/>
    <mergeCell ref="H13:H17"/>
    <mergeCell ref="A1:E1"/>
    <mergeCell ref="A5:A6"/>
    <mergeCell ref="B5:B6"/>
    <mergeCell ref="C5:C6"/>
    <mergeCell ref="D5:D6"/>
    <mergeCell ref="E5:E6"/>
  </mergeCells>
  <conditionalFormatting sqref="B1:B6 B18:B1048576">
    <cfRule type="duplicateValues" dxfId="3579" priority="2"/>
  </conditionalFormatting>
  <conditionalFormatting sqref="B7">
    <cfRule type="duplicateValues" dxfId="3578" priority="1"/>
  </conditionalFormatting>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70C0"/>
  </sheetPr>
  <dimension ref="A1:K51"/>
  <sheetViews>
    <sheetView topLeftCell="C1" zoomScale="95" zoomScaleNormal="90" workbookViewId="0">
      <pane ySplit="2" topLeftCell="A45" activePane="bottomLeft" state="frozen"/>
      <selection activeCell="E25" sqref="E25"/>
      <selection pane="bottomLeft" activeCell="A50" sqref="A50:I50"/>
    </sheetView>
  </sheetViews>
  <sheetFormatPr defaultRowHeight="14.5"/>
  <cols>
    <col min="1" max="1" width="7.81640625" style="780" customWidth="1"/>
    <col min="2" max="2" width="28.36328125" style="780" customWidth="1"/>
    <col min="3" max="3" width="9" style="780" bestFit="1" customWidth="1"/>
    <col min="4" max="4" width="15.36328125" style="780" bestFit="1" customWidth="1"/>
    <col min="5" max="5" width="10.6328125" style="780" bestFit="1" customWidth="1"/>
    <col min="6" max="6" width="10.6328125" style="780" customWidth="1"/>
    <col min="7" max="7" width="60.6328125" style="780" bestFit="1" customWidth="1"/>
    <col min="8" max="8" width="38.08984375" style="780" customWidth="1"/>
    <col min="9" max="16384" width="8.7265625" style="780"/>
  </cols>
  <sheetData>
    <row r="1" spans="1:11" s="778" customFormat="1" ht="15.5">
      <c r="A1" s="1584" t="s">
        <v>2178</v>
      </c>
      <c r="B1" s="1584"/>
      <c r="C1" s="1584"/>
      <c r="D1" s="1584"/>
      <c r="E1" s="1584"/>
      <c r="F1" s="1584"/>
      <c r="G1" s="1584"/>
      <c r="H1" s="1584"/>
      <c r="I1" s="1584"/>
    </row>
    <row r="2" spans="1:11" s="778" customFormat="1" ht="18.5" customHeight="1">
      <c r="A2" s="779" t="s">
        <v>1782</v>
      </c>
      <c r="B2" s="779" t="s">
        <v>2401</v>
      </c>
      <c r="C2" s="779" t="s">
        <v>2399</v>
      </c>
      <c r="D2" s="779" t="s">
        <v>1438</v>
      </c>
      <c r="E2" s="779" t="s">
        <v>2400</v>
      </c>
      <c r="F2" s="779" t="s">
        <v>627</v>
      </c>
      <c r="G2" s="779" t="s">
        <v>2408</v>
      </c>
      <c r="H2" s="779" t="s">
        <v>2406</v>
      </c>
      <c r="I2" s="812" t="s">
        <v>19</v>
      </c>
    </row>
    <row r="3" spans="1:11" s="778" customFormat="1" ht="43.5">
      <c r="A3" s="1068">
        <v>1</v>
      </c>
      <c r="B3" s="1068" t="s">
        <v>2402</v>
      </c>
      <c r="C3" s="1070">
        <v>45867</v>
      </c>
      <c r="D3" s="1070">
        <v>45868</v>
      </c>
      <c r="E3" s="1068">
        <v>2</v>
      </c>
      <c r="F3" s="1220" t="s">
        <v>3233</v>
      </c>
      <c r="G3" s="1068" t="s">
        <v>2413</v>
      </c>
      <c r="H3" s="1221" t="s">
        <v>2403</v>
      </c>
      <c r="I3" s="1074"/>
    </row>
    <row r="4" spans="1:11" s="778" customFormat="1" ht="29">
      <c r="A4" s="1068">
        <f>A3+1</f>
        <v>2</v>
      </c>
      <c r="B4" s="1068" t="s">
        <v>2402</v>
      </c>
      <c r="C4" s="1070">
        <v>45870</v>
      </c>
      <c r="D4" s="1070">
        <v>45870</v>
      </c>
      <c r="E4" s="1068">
        <v>1</v>
      </c>
      <c r="F4" s="1220" t="s">
        <v>3233</v>
      </c>
      <c r="G4" s="1068" t="s">
        <v>2413</v>
      </c>
      <c r="H4" s="1221" t="s">
        <v>2405</v>
      </c>
      <c r="I4" s="1074"/>
    </row>
    <row r="5" spans="1:11" s="778" customFormat="1" ht="29">
      <c r="A5" s="1068">
        <f t="shared" ref="A5:A29" si="0">A4+1</f>
        <v>3</v>
      </c>
      <c r="B5" s="1068" t="s">
        <v>2407</v>
      </c>
      <c r="C5" s="1070">
        <v>45875</v>
      </c>
      <c r="D5" s="1070">
        <v>45875</v>
      </c>
      <c r="E5" s="1068">
        <v>1</v>
      </c>
      <c r="F5" s="1220" t="s">
        <v>3233</v>
      </c>
      <c r="G5" s="1068" t="s">
        <v>2409</v>
      </c>
      <c r="H5" s="1221" t="s">
        <v>2410</v>
      </c>
      <c r="I5" s="1074"/>
    </row>
    <row r="6" spans="1:11" s="778" customFormat="1" ht="29">
      <c r="A6" s="1068">
        <f t="shared" si="0"/>
        <v>4</v>
      </c>
      <c r="B6" s="1068" t="s">
        <v>2402</v>
      </c>
      <c r="C6" s="1070">
        <v>45876</v>
      </c>
      <c r="D6" s="1070">
        <v>45876</v>
      </c>
      <c r="E6" s="1068">
        <v>1</v>
      </c>
      <c r="F6" s="1220" t="s">
        <v>3233</v>
      </c>
      <c r="G6" s="1068" t="s">
        <v>2413</v>
      </c>
      <c r="H6" s="1221" t="s">
        <v>2411</v>
      </c>
      <c r="I6" s="1074"/>
    </row>
    <row r="7" spans="1:11" s="778" customFormat="1" ht="29">
      <c r="A7" s="1068">
        <f t="shared" si="0"/>
        <v>5</v>
      </c>
      <c r="B7" s="1068" t="s">
        <v>2402</v>
      </c>
      <c r="C7" s="1070">
        <v>45878</v>
      </c>
      <c r="D7" s="1070">
        <v>45878</v>
      </c>
      <c r="E7" s="1068">
        <v>1</v>
      </c>
      <c r="F7" s="1220" t="s">
        <v>3233</v>
      </c>
      <c r="G7" s="1068" t="s">
        <v>2413</v>
      </c>
      <c r="H7" s="1221" t="s">
        <v>2412</v>
      </c>
      <c r="I7" s="1074"/>
    </row>
    <row r="8" spans="1:11" s="778" customFormat="1" ht="36.5" customHeight="1">
      <c r="A8" s="1068">
        <f t="shared" si="0"/>
        <v>6</v>
      </c>
      <c r="B8" s="1068" t="s">
        <v>2402</v>
      </c>
      <c r="C8" s="1070">
        <v>45881</v>
      </c>
      <c r="D8" s="1070">
        <v>45883</v>
      </c>
      <c r="E8" s="1068">
        <v>3</v>
      </c>
      <c r="F8" s="1220" t="s">
        <v>3233</v>
      </c>
      <c r="G8" s="1068" t="s">
        <v>2404</v>
      </c>
      <c r="H8" s="1221" t="s">
        <v>2414</v>
      </c>
      <c r="I8" s="1074"/>
    </row>
    <row r="9" spans="1:11" s="778" customFormat="1" ht="36.5" customHeight="1">
      <c r="A9" s="1068">
        <f t="shared" si="0"/>
        <v>7</v>
      </c>
      <c r="B9" s="1068" t="s">
        <v>2407</v>
      </c>
      <c r="C9" s="1070">
        <v>45881</v>
      </c>
      <c r="D9" s="1070">
        <v>45881</v>
      </c>
      <c r="E9" s="1068">
        <v>1</v>
      </c>
      <c r="F9" s="1220" t="s">
        <v>3233</v>
      </c>
      <c r="G9" s="1068" t="s">
        <v>2409</v>
      </c>
      <c r="H9" s="1221" t="s">
        <v>2415</v>
      </c>
      <c r="I9" s="1074"/>
    </row>
    <row r="10" spans="1:11" s="778" customFormat="1" ht="36.5" customHeight="1">
      <c r="A10" s="1068">
        <f t="shared" si="0"/>
        <v>8</v>
      </c>
      <c r="B10" s="1068" t="s">
        <v>2407</v>
      </c>
      <c r="C10" s="1070">
        <v>45885</v>
      </c>
      <c r="D10" s="1070">
        <v>45887</v>
      </c>
      <c r="E10" s="1068">
        <v>3</v>
      </c>
      <c r="F10" s="1220" t="s">
        <v>3233</v>
      </c>
      <c r="G10" s="1068" t="s">
        <v>2409</v>
      </c>
      <c r="H10" s="1221" t="s">
        <v>2417</v>
      </c>
      <c r="I10" s="1074"/>
    </row>
    <row r="11" spans="1:11" s="778" customFormat="1" ht="36.5" customHeight="1">
      <c r="A11" s="1068">
        <f t="shared" si="0"/>
        <v>9</v>
      </c>
      <c r="B11" s="1068" t="s">
        <v>2402</v>
      </c>
      <c r="C11" s="1070">
        <v>45886</v>
      </c>
      <c r="D11" s="1070">
        <v>45887</v>
      </c>
      <c r="E11" s="1068">
        <v>2</v>
      </c>
      <c r="F11" s="1220" t="s">
        <v>3233</v>
      </c>
      <c r="G11" s="1068" t="s">
        <v>2404</v>
      </c>
      <c r="H11" s="1221" t="s">
        <v>2416</v>
      </c>
      <c r="I11" s="1074"/>
    </row>
    <row r="12" spans="1:11" s="778" customFormat="1" ht="36.5" customHeight="1">
      <c r="A12" s="1068">
        <f t="shared" si="0"/>
        <v>10</v>
      </c>
      <c r="B12" s="1068" t="s">
        <v>2402</v>
      </c>
      <c r="C12" s="1070">
        <v>45889</v>
      </c>
      <c r="D12" s="1070" t="s">
        <v>3337</v>
      </c>
      <c r="E12" s="1068">
        <v>0.5</v>
      </c>
      <c r="F12" s="1220" t="s">
        <v>3233</v>
      </c>
      <c r="G12" s="1068">
        <v>38</v>
      </c>
      <c r="H12" s="1221" t="s">
        <v>2418</v>
      </c>
      <c r="I12" s="1074"/>
    </row>
    <row r="13" spans="1:11" s="778" customFormat="1" ht="36.5" customHeight="1">
      <c r="A13" s="1068">
        <f t="shared" si="0"/>
        <v>11</v>
      </c>
      <c r="B13" s="1068" t="s">
        <v>2402</v>
      </c>
      <c r="C13" s="1070">
        <v>45892</v>
      </c>
      <c r="D13" s="1070">
        <v>11</v>
      </c>
      <c r="E13" s="1068">
        <v>6</v>
      </c>
      <c r="F13" s="1220" t="s">
        <v>3233</v>
      </c>
      <c r="G13" s="1068" t="s">
        <v>2420</v>
      </c>
      <c r="H13" s="1221" t="s">
        <v>2418</v>
      </c>
      <c r="I13" s="1074"/>
      <c r="J13" s="778">
        <v>1</v>
      </c>
    </row>
    <row r="14" spans="1:11" s="778" customFormat="1" ht="36.5" customHeight="1">
      <c r="A14" s="1068">
        <f t="shared" si="0"/>
        <v>12</v>
      </c>
      <c r="B14" s="1068" t="s">
        <v>2407</v>
      </c>
      <c r="C14" s="1070">
        <v>45892</v>
      </c>
      <c r="D14" s="1070">
        <v>45897</v>
      </c>
      <c r="E14" s="1068">
        <v>6</v>
      </c>
      <c r="F14" s="1220" t="s">
        <v>3233</v>
      </c>
      <c r="G14" s="1068"/>
      <c r="H14" s="1222" t="s">
        <v>2419</v>
      </c>
      <c r="I14" s="1223"/>
    </row>
    <row r="15" spans="1:11" s="778" customFormat="1" ht="36.5" customHeight="1">
      <c r="A15" s="1068">
        <f t="shared" si="0"/>
        <v>13</v>
      </c>
      <c r="B15" s="1068" t="s">
        <v>2402</v>
      </c>
      <c r="C15" s="1070">
        <v>45899</v>
      </c>
      <c r="D15" s="1070">
        <v>45903</v>
      </c>
      <c r="E15" s="1068">
        <v>5</v>
      </c>
      <c r="F15" s="1220" t="s">
        <v>3233</v>
      </c>
      <c r="G15" s="1068" t="s">
        <v>2421</v>
      </c>
      <c r="H15" s="1221" t="s">
        <v>2422</v>
      </c>
      <c r="I15" s="1074"/>
      <c r="J15" s="1162"/>
      <c r="K15" s="1162"/>
    </row>
    <row r="16" spans="1:11" s="778" customFormat="1" ht="36.5" customHeight="1">
      <c r="A16" s="1068">
        <f t="shared" si="0"/>
        <v>14</v>
      </c>
      <c r="B16" s="1068" t="s">
        <v>2407</v>
      </c>
      <c r="C16" s="1070">
        <v>45898</v>
      </c>
      <c r="D16" s="1070">
        <v>45911</v>
      </c>
      <c r="E16" s="1068">
        <v>14</v>
      </c>
      <c r="F16" s="1220" t="s">
        <v>3233</v>
      </c>
      <c r="G16" s="1068" t="s">
        <v>2409</v>
      </c>
      <c r="H16" s="1224"/>
      <c r="I16" s="1224"/>
      <c r="J16" s="1162"/>
      <c r="K16" s="1162"/>
    </row>
    <row r="17" spans="1:10" s="778" customFormat="1" ht="36.5" customHeight="1">
      <c r="A17" s="1068">
        <f t="shared" si="0"/>
        <v>15</v>
      </c>
      <c r="B17" s="1068" t="s">
        <v>2701</v>
      </c>
      <c r="C17" s="1070">
        <v>45897</v>
      </c>
      <c r="D17" s="1070">
        <v>45917</v>
      </c>
      <c r="E17" s="1068">
        <f>D17-C17</f>
        <v>20</v>
      </c>
      <c r="F17" s="1220" t="s">
        <v>3233</v>
      </c>
      <c r="G17" s="1068" t="s">
        <v>2722</v>
      </c>
      <c r="H17" s="1225" t="s">
        <v>2721</v>
      </c>
      <c r="I17" s="1226"/>
    </row>
    <row r="18" spans="1:10" s="778" customFormat="1" ht="36.5" customHeight="1">
      <c r="A18" s="1068">
        <f t="shared" si="0"/>
        <v>16</v>
      </c>
      <c r="B18" s="1068" t="s">
        <v>2402</v>
      </c>
      <c r="C18" s="1070">
        <v>45928</v>
      </c>
      <c r="D18" s="1070">
        <v>45929</v>
      </c>
      <c r="E18" s="1068">
        <v>2</v>
      </c>
      <c r="F18" s="1220" t="s">
        <v>3233</v>
      </c>
      <c r="G18" s="1068" t="s">
        <v>2845</v>
      </c>
      <c r="H18" s="1221" t="s">
        <v>2846</v>
      </c>
      <c r="I18" s="1074"/>
    </row>
    <row r="19" spans="1:10" s="778" customFormat="1" ht="36.5" customHeight="1">
      <c r="A19" s="1068">
        <f t="shared" si="0"/>
        <v>17</v>
      </c>
      <c r="B19" s="1068" t="s">
        <v>2402</v>
      </c>
      <c r="C19" s="1070">
        <v>45935</v>
      </c>
      <c r="D19" s="1070">
        <v>45937</v>
      </c>
      <c r="E19" s="1068">
        <v>3</v>
      </c>
      <c r="F19" s="1220" t="s">
        <v>3233</v>
      </c>
      <c r="G19" s="1068" t="s">
        <v>2722</v>
      </c>
      <c r="H19" s="1221" t="s">
        <v>2827</v>
      </c>
      <c r="I19" s="1074"/>
      <c r="J19" s="778">
        <f>J13+1</f>
        <v>2</v>
      </c>
    </row>
    <row r="20" spans="1:10" s="778" customFormat="1" ht="36.5" customHeight="1">
      <c r="A20" s="1068">
        <f t="shared" si="0"/>
        <v>18</v>
      </c>
      <c r="B20" s="1068" t="s">
        <v>2407</v>
      </c>
      <c r="C20" s="1070">
        <v>45935</v>
      </c>
      <c r="D20" s="1070">
        <v>45939</v>
      </c>
      <c r="E20" s="1068">
        <f>D20-C20</f>
        <v>4</v>
      </c>
      <c r="F20" s="1220" t="s">
        <v>3233</v>
      </c>
      <c r="G20" s="1068" t="s">
        <v>2722</v>
      </c>
      <c r="H20" s="1221" t="s">
        <v>2829</v>
      </c>
      <c r="I20" s="1074"/>
    </row>
    <row r="21" spans="1:10" s="778" customFormat="1" ht="36.5" customHeight="1">
      <c r="A21" s="1068">
        <f t="shared" si="0"/>
        <v>19</v>
      </c>
      <c r="B21" s="1068" t="s">
        <v>2701</v>
      </c>
      <c r="C21" s="1070">
        <v>45935</v>
      </c>
      <c r="D21" s="1070" t="s">
        <v>3338</v>
      </c>
      <c r="E21" s="1068">
        <v>3</v>
      </c>
      <c r="F21" s="1220" t="s">
        <v>3233</v>
      </c>
      <c r="G21" s="1068" t="s">
        <v>2722</v>
      </c>
      <c r="H21" s="1221" t="s">
        <v>2827</v>
      </c>
      <c r="I21" s="1074"/>
    </row>
    <row r="22" spans="1:10" s="778" customFormat="1" ht="36.5" hidden="1" customHeight="1">
      <c r="A22" s="1068">
        <f t="shared" si="0"/>
        <v>20</v>
      </c>
      <c r="B22" s="1068" t="s">
        <v>2402</v>
      </c>
      <c r="C22" s="1070">
        <v>45943</v>
      </c>
      <c r="D22" s="1070">
        <v>21</v>
      </c>
      <c r="E22" s="1068">
        <v>3</v>
      </c>
      <c r="F22" s="1220" t="s">
        <v>3233</v>
      </c>
      <c r="G22" s="1068" t="s">
        <v>2845</v>
      </c>
      <c r="H22" s="1221" t="s">
        <v>2844</v>
      </c>
      <c r="I22" s="1074"/>
    </row>
    <row r="23" spans="1:10" s="778" customFormat="1" ht="36.5" hidden="1" customHeight="1">
      <c r="A23" s="1068">
        <f t="shared" si="0"/>
        <v>21</v>
      </c>
      <c r="B23" s="1068" t="s">
        <v>2402</v>
      </c>
      <c r="C23" s="1070">
        <v>45948</v>
      </c>
      <c r="D23" s="1070">
        <v>22</v>
      </c>
      <c r="E23" s="1068">
        <v>1</v>
      </c>
      <c r="F23" s="1220" t="s">
        <v>3233</v>
      </c>
      <c r="G23" s="1068" t="s">
        <v>2845</v>
      </c>
      <c r="H23" s="1221" t="s">
        <v>2846</v>
      </c>
      <c r="I23" s="1074"/>
    </row>
    <row r="24" spans="1:10" s="778" customFormat="1" ht="36.5" hidden="1" customHeight="1">
      <c r="A24" s="1068">
        <f t="shared" si="0"/>
        <v>22</v>
      </c>
      <c r="B24" s="1068" t="s">
        <v>2402</v>
      </c>
      <c r="C24" s="1070">
        <v>45954</v>
      </c>
      <c r="D24" s="1070">
        <v>45981</v>
      </c>
      <c r="E24" s="1068">
        <f>D24-C24</f>
        <v>27</v>
      </c>
      <c r="F24" s="1220" t="s">
        <v>3233</v>
      </c>
      <c r="G24" s="1227" t="s">
        <v>3090</v>
      </c>
      <c r="H24" s="1221" t="s">
        <v>2846</v>
      </c>
      <c r="I24" s="1074"/>
    </row>
    <row r="25" spans="1:10" s="778" customFormat="1" ht="36.5" customHeight="1">
      <c r="A25" s="1068">
        <f t="shared" si="0"/>
        <v>23</v>
      </c>
      <c r="B25" s="1068" t="s">
        <v>2402</v>
      </c>
      <c r="C25" s="1070">
        <v>45995</v>
      </c>
      <c r="D25" s="1070">
        <v>45997</v>
      </c>
      <c r="E25" s="1068">
        <v>3</v>
      </c>
      <c r="F25" s="1220" t="s">
        <v>3233</v>
      </c>
      <c r="G25" s="1228" t="s">
        <v>3142</v>
      </c>
      <c r="H25" s="1229" t="s">
        <v>3141</v>
      </c>
      <c r="I25" s="1074"/>
    </row>
    <row r="26" spans="1:10" s="778" customFormat="1" ht="36.5" customHeight="1">
      <c r="A26" s="1068">
        <f t="shared" si="0"/>
        <v>24</v>
      </c>
      <c r="B26" s="1068" t="s">
        <v>2402</v>
      </c>
      <c r="C26" s="1070">
        <v>46002</v>
      </c>
      <c r="D26" s="1070">
        <v>46005</v>
      </c>
      <c r="E26" s="1068">
        <f>D26-C26</f>
        <v>3</v>
      </c>
      <c r="F26" s="1220" t="s">
        <v>3233</v>
      </c>
      <c r="G26" s="1230" t="s">
        <v>3205</v>
      </c>
      <c r="H26" s="1229" t="s">
        <v>3141</v>
      </c>
      <c r="I26" s="1074"/>
    </row>
    <row r="27" spans="1:10" s="778" customFormat="1" ht="36.5" customHeight="1">
      <c r="A27" s="1068">
        <f t="shared" si="0"/>
        <v>25</v>
      </c>
      <c r="B27" s="1068" t="s">
        <v>2402</v>
      </c>
      <c r="C27" s="1070">
        <v>46005</v>
      </c>
      <c r="D27" s="1070">
        <v>46007</v>
      </c>
      <c r="E27" s="1068">
        <f>D27-C27</f>
        <v>2</v>
      </c>
      <c r="F27" s="1220" t="s">
        <v>3233</v>
      </c>
      <c r="G27" s="1231" t="s">
        <v>3207</v>
      </c>
      <c r="H27" s="1229" t="s">
        <v>3141</v>
      </c>
      <c r="I27" s="1074"/>
    </row>
    <row r="28" spans="1:10" s="778" customFormat="1" ht="36.5" customHeight="1">
      <c r="A28" s="1068">
        <f t="shared" si="0"/>
        <v>26</v>
      </c>
      <c r="B28" s="1068" t="s">
        <v>2407</v>
      </c>
      <c r="C28" s="1070">
        <v>46003</v>
      </c>
      <c r="D28" s="1070">
        <v>46005</v>
      </c>
      <c r="E28" s="1068">
        <v>2</v>
      </c>
      <c r="F28" s="1220" t="s">
        <v>3233</v>
      </c>
      <c r="G28" s="1231" t="s">
        <v>3208</v>
      </c>
      <c r="H28" s="1229" t="s">
        <v>3141</v>
      </c>
      <c r="I28" s="1074"/>
    </row>
    <row r="29" spans="1:10" s="778" customFormat="1" ht="36.5" customHeight="1">
      <c r="A29" s="1068">
        <f t="shared" si="0"/>
        <v>27</v>
      </c>
      <c r="B29" s="1068" t="s">
        <v>2402</v>
      </c>
      <c r="C29" s="1070">
        <v>46010</v>
      </c>
      <c r="D29" s="1070">
        <v>46011</v>
      </c>
      <c r="E29" s="1068">
        <v>2</v>
      </c>
      <c r="F29" s="1220" t="s">
        <v>3233</v>
      </c>
      <c r="G29" s="1232" t="s">
        <v>3232</v>
      </c>
      <c r="H29" s="1229" t="s">
        <v>3141</v>
      </c>
      <c r="I29" s="1074"/>
    </row>
    <row r="30" spans="1:10" s="1061" customFormat="1" ht="36.5" customHeight="1">
      <c r="A30" s="1068">
        <f t="shared" ref="A30:A38" si="1">A29+1</f>
        <v>28</v>
      </c>
      <c r="B30" s="1068" t="s">
        <v>2407</v>
      </c>
      <c r="C30" s="1070">
        <v>46013</v>
      </c>
      <c r="D30" s="1070">
        <v>46014</v>
      </c>
      <c r="E30" s="1068">
        <v>2</v>
      </c>
      <c r="F30" s="1220" t="s">
        <v>3233</v>
      </c>
      <c r="G30" s="1233" t="s">
        <v>3235</v>
      </c>
      <c r="H30" s="1229" t="s">
        <v>3141</v>
      </c>
      <c r="I30" s="1074"/>
    </row>
    <row r="31" spans="1:10" s="1061" customFormat="1" ht="43.5">
      <c r="A31" s="1068">
        <f t="shared" si="1"/>
        <v>29</v>
      </c>
      <c r="B31" s="1079" t="s">
        <v>2701</v>
      </c>
      <c r="C31" s="1070">
        <v>46021</v>
      </c>
      <c r="D31" s="1070">
        <v>46038</v>
      </c>
      <c r="E31" s="1068">
        <f>D31-C31</f>
        <v>17</v>
      </c>
      <c r="F31" s="1080" t="s">
        <v>3233</v>
      </c>
      <c r="G31" s="1081" t="s">
        <v>3249</v>
      </c>
      <c r="H31" s="1082" t="s">
        <v>3257</v>
      </c>
      <c r="I31" s="1074"/>
    </row>
    <row r="32" spans="1:10" s="1061" customFormat="1" ht="43.5">
      <c r="A32" s="1068">
        <f t="shared" si="1"/>
        <v>30</v>
      </c>
      <c r="B32" s="1069" t="s">
        <v>2402</v>
      </c>
      <c r="C32" s="1070">
        <v>46024</v>
      </c>
      <c r="D32" s="1070">
        <v>46026</v>
      </c>
      <c r="E32" s="1068">
        <f>D32-C32</f>
        <v>2</v>
      </c>
      <c r="F32" s="1071" t="s">
        <v>3233</v>
      </c>
      <c r="G32" s="1072" t="s">
        <v>3244</v>
      </c>
      <c r="H32" s="1073" t="s">
        <v>3245</v>
      </c>
      <c r="I32" s="1074"/>
    </row>
    <row r="33" spans="1:9" s="1061" customFormat="1" ht="43" customHeight="1">
      <c r="A33" s="1068">
        <f t="shared" si="1"/>
        <v>31</v>
      </c>
      <c r="B33" s="1106" t="s">
        <v>2402</v>
      </c>
      <c r="C33" s="1070">
        <v>46045</v>
      </c>
      <c r="D33" s="1070">
        <v>46054</v>
      </c>
      <c r="E33" s="1068">
        <f>D33-C33</f>
        <v>9</v>
      </c>
      <c r="F33" s="1107" t="s">
        <v>3233</v>
      </c>
      <c r="G33" s="1108" t="s">
        <v>2722</v>
      </c>
      <c r="H33" s="1109" t="s">
        <v>3260</v>
      </c>
      <c r="I33" s="1074"/>
    </row>
    <row r="34" spans="1:9" s="1061" customFormat="1" ht="43" customHeight="1">
      <c r="A34" s="1068">
        <f t="shared" si="1"/>
        <v>32</v>
      </c>
      <c r="B34" s="1110" t="s">
        <v>3281</v>
      </c>
      <c r="C34" s="1070">
        <v>46054</v>
      </c>
      <c r="D34" s="1070">
        <v>46057</v>
      </c>
      <c r="E34" s="1068">
        <f>D34-C34</f>
        <v>3</v>
      </c>
      <c r="F34" s="1111" t="s">
        <v>3233</v>
      </c>
      <c r="G34" s="1110" t="s">
        <v>3282</v>
      </c>
      <c r="H34" s="1112" t="s">
        <v>3283</v>
      </c>
      <c r="I34" s="1074"/>
    </row>
    <row r="35" spans="1:9" s="1061" customFormat="1" ht="43" customHeight="1">
      <c r="A35" s="1068">
        <f t="shared" si="1"/>
        <v>33</v>
      </c>
      <c r="B35" s="1114" t="s">
        <v>3289</v>
      </c>
      <c r="C35" s="1070">
        <v>46060</v>
      </c>
      <c r="D35" s="1070">
        <v>46061</v>
      </c>
      <c r="E35" s="1068">
        <v>2</v>
      </c>
      <c r="F35" s="1115" t="s">
        <v>3233</v>
      </c>
      <c r="G35" s="1114" t="s">
        <v>3290</v>
      </c>
      <c r="H35" s="1116" t="s">
        <v>3245</v>
      </c>
      <c r="I35" s="1074"/>
    </row>
    <row r="36" spans="1:9" s="1061" customFormat="1" ht="43" customHeight="1">
      <c r="A36" s="1068">
        <f t="shared" si="1"/>
        <v>34</v>
      </c>
      <c r="B36" s="1150" t="s">
        <v>3328</v>
      </c>
      <c r="C36" s="1070">
        <v>46087</v>
      </c>
      <c r="D36" s="1070">
        <v>46088</v>
      </c>
      <c r="E36" s="1068">
        <v>2</v>
      </c>
      <c r="F36" s="1151" t="s">
        <v>3233</v>
      </c>
      <c r="G36" s="1150" t="s">
        <v>3329</v>
      </c>
      <c r="H36" s="1116" t="s">
        <v>3245</v>
      </c>
      <c r="I36" s="1074"/>
    </row>
    <row r="37" spans="1:9" s="1061" customFormat="1" ht="43" customHeight="1">
      <c r="A37" s="1068">
        <f t="shared" si="1"/>
        <v>35</v>
      </c>
      <c r="B37" s="1152" t="s">
        <v>3331</v>
      </c>
      <c r="C37" s="1070">
        <v>46090</v>
      </c>
      <c r="D37" s="1070">
        <f>C37</f>
        <v>46090</v>
      </c>
      <c r="E37" s="1068">
        <v>1</v>
      </c>
      <c r="F37" s="1151" t="s">
        <v>3233</v>
      </c>
      <c r="G37" s="1152" t="s">
        <v>3332</v>
      </c>
      <c r="H37" s="1116" t="s">
        <v>3245</v>
      </c>
      <c r="I37" s="1074"/>
    </row>
    <row r="38" spans="1:9" s="1061" customFormat="1" ht="43" customHeight="1">
      <c r="A38" s="1068">
        <f t="shared" si="1"/>
        <v>36</v>
      </c>
      <c r="B38" s="1191" t="s">
        <v>3340</v>
      </c>
      <c r="C38" s="1070">
        <v>46096</v>
      </c>
      <c r="D38" s="1070">
        <v>46103</v>
      </c>
      <c r="E38" s="1068">
        <v>8</v>
      </c>
      <c r="F38" s="1192" t="s">
        <v>3233</v>
      </c>
      <c r="G38" s="1191" t="s">
        <v>3341</v>
      </c>
      <c r="H38" s="1193" t="s">
        <v>3342</v>
      </c>
      <c r="I38" s="1074"/>
    </row>
    <row r="39" spans="1:9" s="1061" customFormat="1" ht="43" customHeight="1">
      <c r="A39" s="1068">
        <f>A38+1</f>
        <v>37</v>
      </c>
      <c r="B39" s="1194" t="s">
        <v>3410</v>
      </c>
      <c r="C39" s="1070">
        <v>46103</v>
      </c>
      <c r="D39" s="1070">
        <v>46121</v>
      </c>
      <c r="E39" s="1068">
        <f>D39-C39</f>
        <v>18</v>
      </c>
      <c r="F39" s="1192" t="s">
        <v>3233</v>
      </c>
      <c r="G39" s="1194" t="s">
        <v>3411</v>
      </c>
      <c r="H39" s="1195" t="s">
        <v>1658</v>
      </c>
      <c r="I39" s="1074"/>
    </row>
    <row r="40" spans="1:9" s="1061" customFormat="1" ht="43" customHeight="1">
      <c r="A40" s="1068">
        <f>A39+1</f>
        <v>38</v>
      </c>
      <c r="B40" s="1234" t="s">
        <v>3418</v>
      </c>
      <c r="C40" s="1070">
        <v>46116</v>
      </c>
      <c r="D40" s="1070">
        <v>46119</v>
      </c>
      <c r="E40" s="1068">
        <v>3</v>
      </c>
      <c r="F40" s="1192" t="s">
        <v>3233</v>
      </c>
      <c r="G40" s="1196" t="s">
        <v>3427</v>
      </c>
      <c r="H40" s="1195" t="s">
        <v>1658</v>
      </c>
      <c r="I40" s="1074"/>
    </row>
    <row r="41" spans="1:9" s="1061" customFormat="1" ht="43" customHeight="1">
      <c r="A41" s="1068">
        <f t="shared" ref="A41" si="2">A40+1</f>
        <v>39</v>
      </c>
      <c r="B41" s="1191" t="s">
        <v>3340</v>
      </c>
      <c r="C41" s="1070">
        <v>46119</v>
      </c>
      <c r="D41" s="1070">
        <v>46121</v>
      </c>
      <c r="E41" s="1068">
        <v>3</v>
      </c>
      <c r="F41" s="1192" t="s">
        <v>3233</v>
      </c>
      <c r="G41" s="1191" t="s">
        <v>3341</v>
      </c>
      <c r="H41" s="1193" t="s">
        <v>3342</v>
      </c>
      <c r="I41" s="1074"/>
    </row>
    <row r="42" spans="1:9" s="1061" customFormat="1" ht="43" customHeight="1">
      <c r="A42" s="1068">
        <f t="shared" ref="A42:A51" si="3">A41+1</f>
        <v>40</v>
      </c>
      <c r="B42" s="1194" t="s">
        <v>3410</v>
      </c>
      <c r="C42" s="1070">
        <v>46118</v>
      </c>
      <c r="D42" s="1070">
        <v>46121</v>
      </c>
      <c r="E42" s="1068">
        <v>4</v>
      </c>
      <c r="F42" s="1192" t="s">
        <v>3233</v>
      </c>
      <c r="G42" s="1196" t="s">
        <v>3425</v>
      </c>
      <c r="H42" s="1195" t="s">
        <v>1658</v>
      </c>
      <c r="I42" s="1074"/>
    </row>
    <row r="43" spans="1:9" s="1061" customFormat="1" ht="43" customHeight="1">
      <c r="A43" s="1068">
        <f t="shared" si="3"/>
        <v>41</v>
      </c>
      <c r="B43" s="1217" t="s">
        <v>3428</v>
      </c>
      <c r="C43" s="1070">
        <v>46120</v>
      </c>
      <c r="D43" s="1070">
        <v>46122</v>
      </c>
      <c r="E43" s="1068">
        <v>3</v>
      </c>
      <c r="F43" s="1218" t="s">
        <v>3233</v>
      </c>
      <c r="G43" s="1217" t="s">
        <v>3429</v>
      </c>
      <c r="H43" s="1195" t="s">
        <v>1658</v>
      </c>
      <c r="I43" s="1074"/>
    </row>
    <row r="44" spans="1:9" s="1061" customFormat="1" ht="43" customHeight="1">
      <c r="A44" s="1068">
        <f t="shared" si="3"/>
        <v>42</v>
      </c>
      <c r="B44" s="1217" t="s">
        <v>3428</v>
      </c>
      <c r="C44" s="1070">
        <v>46114</v>
      </c>
      <c r="D44" s="1070">
        <v>46122</v>
      </c>
      <c r="E44" s="1068">
        <f>D44-C44</f>
        <v>8</v>
      </c>
      <c r="F44" s="1218" t="s">
        <v>3233</v>
      </c>
      <c r="G44" s="1219" t="s">
        <v>3485</v>
      </c>
      <c r="H44" s="1195" t="s">
        <v>1658</v>
      </c>
      <c r="I44" s="1074"/>
    </row>
    <row r="45" spans="1:9" s="1061" customFormat="1" ht="43" customHeight="1">
      <c r="A45" s="1068">
        <f t="shared" si="3"/>
        <v>43</v>
      </c>
      <c r="B45" s="1258" t="s">
        <v>3399</v>
      </c>
      <c r="C45" s="1070">
        <v>46141</v>
      </c>
      <c r="D45" s="1070">
        <v>46143</v>
      </c>
      <c r="E45" s="1068">
        <v>3</v>
      </c>
      <c r="F45" s="1259" t="s">
        <v>3233</v>
      </c>
      <c r="G45" s="1258" t="s">
        <v>3341</v>
      </c>
      <c r="H45" s="1260" t="s">
        <v>3342</v>
      </c>
      <c r="I45" s="1074"/>
    </row>
    <row r="46" spans="1:9" s="1061" customFormat="1" ht="43" customHeight="1">
      <c r="A46" s="1068">
        <f t="shared" si="3"/>
        <v>44</v>
      </c>
      <c r="B46" s="1258" t="s">
        <v>3399</v>
      </c>
      <c r="C46" s="1070">
        <v>46150</v>
      </c>
      <c r="D46" s="1070">
        <v>46151</v>
      </c>
      <c r="E46" s="1068">
        <v>2</v>
      </c>
      <c r="F46" s="1259" t="s">
        <v>3233</v>
      </c>
      <c r="G46" s="1263" t="s">
        <v>3572</v>
      </c>
      <c r="H46" s="1264" t="s">
        <v>1658</v>
      </c>
      <c r="I46" s="1074"/>
    </row>
    <row r="47" spans="1:9" s="1061" customFormat="1" ht="43" customHeight="1">
      <c r="A47" s="1068">
        <f t="shared" si="3"/>
        <v>45</v>
      </c>
      <c r="B47" s="1258" t="s">
        <v>3428</v>
      </c>
      <c r="C47" s="1070">
        <v>46162</v>
      </c>
      <c r="D47" s="1070">
        <v>46163</v>
      </c>
      <c r="E47" s="1068">
        <v>2</v>
      </c>
      <c r="F47" s="1272" t="s">
        <v>3233</v>
      </c>
      <c r="G47" s="1273" t="s">
        <v>3579</v>
      </c>
      <c r="H47" s="1264" t="s">
        <v>1658</v>
      </c>
      <c r="I47" s="1074"/>
    </row>
    <row r="48" spans="1:9" s="1061" customFormat="1" ht="43" customHeight="1">
      <c r="A48" s="1277">
        <f t="shared" si="3"/>
        <v>46</v>
      </c>
      <c r="B48" s="1278" t="s">
        <v>3428</v>
      </c>
      <c r="C48" s="1279">
        <v>46167</v>
      </c>
      <c r="D48" s="1279">
        <v>46170</v>
      </c>
      <c r="E48" s="1277">
        <v>4</v>
      </c>
      <c r="F48" s="1280" t="s">
        <v>3233</v>
      </c>
      <c r="G48" s="1281" t="s">
        <v>3596</v>
      </c>
      <c r="H48" s="1282" t="s">
        <v>1658</v>
      </c>
      <c r="I48" s="1283"/>
    </row>
    <row r="49" spans="1:9" s="1061" customFormat="1" ht="43" customHeight="1">
      <c r="A49" s="1277">
        <f t="shared" si="3"/>
        <v>47</v>
      </c>
      <c r="B49" s="1278" t="s">
        <v>3428</v>
      </c>
      <c r="C49" s="1279">
        <v>46193</v>
      </c>
      <c r="D49" s="1279">
        <v>46195</v>
      </c>
      <c r="E49" s="1277">
        <v>3</v>
      </c>
      <c r="F49" s="1323" t="s">
        <v>3233</v>
      </c>
      <c r="G49" s="1327" t="s">
        <v>3654</v>
      </c>
      <c r="H49" s="1282" t="s">
        <v>1658</v>
      </c>
      <c r="I49" s="1283"/>
    </row>
    <row r="50" spans="1:9" s="1061" customFormat="1" ht="43" customHeight="1">
      <c r="A50" s="1068">
        <f t="shared" si="3"/>
        <v>48</v>
      </c>
      <c r="B50" s="1258" t="s">
        <v>3428</v>
      </c>
      <c r="C50" s="1070">
        <v>46211</v>
      </c>
      <c r="D50" s="1070">
        <v>46212</v>
      </c>
      <c r="E50" s="1068">
        <v>2</v>
      </c>
      <c r="F50" s="1350" t="s">
        <v>3233</v>
      </c>
      <c r="G50" s="1351" t="s">
        <v>3686</v>
      </c>
      <c r="H50" s="1352" t="s">
        <v>1658</v>
      </c>
      <c r="I50" s="1074"/>
    </row>
    <row r="51" spans="1:9" s="1061" customFormat="1" ht="43" customHeight="1">
      <c r="A51" s="1068">
        <f t="shared" si="3"/>
        <v>49</v>
      </c>
      <c r="B51" s="1258" t="s">
        <v>3428</v>
      </c>
      <c r="C51" s="1070">
        <v>46212</v>
      </c>
      <c r="D51" s="1070">
        <v>46213</v>
      </c>
      <c r="E51" s="1068">
        <v>2</v>
      </c>
      <c r="F51" s="1350" t="s">
        <v>3233</v>
      </c>
      <c r="G51" s="1351" t="s">
        <v>3685</v>
      </c>
      <c r="H51" s="1264" t="s">
        <v>1658</v>
      </c>
      <c r="I51" s="1074"/>
    </row>
  </sheetData>
  <autoFilter ref="A2:I16" xr:uid="{C0BDF18F-0F0B-4CD7-AF81-80578F87A294}"/>
  <mergeCells count="1">
    <mergeCell ref="A1:I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70C0"/>
  </sheetPr>
  <dimension ref="A1:R84"/>
  <sheetViews>
    <sheetView workbookViewId="0">
      <pane ySplit="6" topLeftCell="A77" activePane="bottomLeft" state="frozen"/>
      <selection activeCell="P69" sqref="P69"/>
      <selection pane="bottomLeft" activeCell="A84" sqref="A84"/>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customWidth="1"/>
    <col min="6" max="6" width="9.1796875" style="648" customWidth="1"/>
    <col min="7" max="7" width="10.08984375" style="648" bestFit="1" customWidth="1"/>
    <col min="8" max="8" width="11.08984375" style="648" bestFit="1" customWidth="1"/>
    <col min="9" max="9" width="9.36328125" style="648" bestFit="1" customWidth="1"/>
    <col min="10" max="10" width="12.6328125" style="648" bestFit="1" customWidth="1"/>
    <col min="11" max="11" width="9.1796875" style="648" customWidth="1"/>
    <col min="12" max="12" width="12.08984375" style="649" customWidth="1"/>
    <col min="13" max="13" width="9.26953125" style="648" bestFit="1" customWidth="1"/>
    <col min="14" max="14" width="9.26953125" style="648" customWidth="1"/>
    <col min="15" max="15" width="19.08984375" style="650" bestFit="1" customWidth="1"/>
    <col min="16" max="16" width="12.6328125" style="650" bestFit="1" customWidth="1"/>
    <col min="17" max="17" width="38.6328125" style="648" customWidth="1"/>
    <col min="18" max="18" width="7.90625" style="648"/>
    <col min="19" max="19" width="12.453125" style="648" customWidth="1"/>
    <col min="20" max="16384" width="7.90625" style="648"/>
  </cols>
  <sheetData>
    <row r="1" spans="1:17" ht="12.5">
      <c r="A1" s="645" t="s">
        <v>37</v>
      </c>
      <c r="B1" s="646"/>
      <c r="C1" s="647"/>
      <c r="D1" s="647"/>
      <c r="E1" s="647"/>
      <c r="F1" s="647"/>
      <c r="G1" s="647"/>
      <c r="H1" s="647"/>
      <c r="I1" s="647"/>
      <c r="J1" s="647"/>
      <c r="K1" s="647"/>
      <c r="M1" s="647"/>
      <c r="N1" s="647"/>
      <c r="O1" s="698" t="s">
        <v>38</v>
      </c>
      <c r="P1" s="699">
        <f>'TB-605'!E1</f>
        <v>46219</v>
      </c>
    </row>
    <row r="2" spans="1:17" ht="12.5">
      <c r="A2" s="651" t="s">
        <v>2823</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661" customFormat="1" ht="17.5" customHeight="1">
      <c r="A5" s="1368" t="s">
        <v>1782</v>
      </c>
      <c r="B5" s="1368" t="s">
        <v>998</v>
      </c>
      <c r="C5" s="1368" t="s">
        <v>44</v>
      </c>
      <c r="D5" s="1368" t="s">
        <v>45</v>
      </c>
      <c r="E5" s="1562" t="s">
        <v>3632</v>
      </c>
      <c r="F5" s="1368" t="s">
        <v>1441</v>
      </c>
      <c r="G5" s="1370" t="s">
        <v>28</v>
      </c>
      <c r="H5" s="1371"/>
      <c r="I5" s="1371"/>
      <c r="J5" s="1371"/>
      <c r="K5" s="1372"/>
      <c r="L5" s="1585" t="s">
        <v>2396</v>
      </c>
      <c r="M5" s="1368" t="s">
        <v>627</v>
      </c>
      <c r="N5" s="1368" t="s">
        <v>609</v>
      </c>
      <c r="O5" s="659" t="s">
        <v>1762</v>
      </c>
      <c r="P5" s="660" t="s">
        <v>1763</v>
      </c>
      <c r="Q5" s="660" t="s">
        <v>1764</v>
      </c>
    </row>
    <row r="6" spans="1:17" s="661" customFormat="1" ht="17.5" customHeight="1">
      <c r="A6" s="1369"/>
      <c r="B6" s="1369"/>
      <c r="C6" s="1369"/>
      <c r="D6" s="1369"/>
      <c r="E6" s="1563"/>
      <c r="F6" s="1369"/>
      <c r="G6" s="659" t="s">
        <v>1416</v>
      </c>
      <c r="H6" s="659" t="s">
        <v>2394</v>
      </c>
      <c r="I6" s="659" t="s">
        <v>2368</v>
      </c>
      <c r="J6" s="659" t="s">
        <v>2395</v>
      </c>
      <c r="K6" s="659" t="s">
        <v>2386</v>
      </c>
      <c r="L6" s="1586"/>
      <c r="M6" s="1369"/>
      <c r="N6" s="1369"/>
      <c r="O6" s="659"/>
      <c r="P6" s="660"/>
      <c r="Q6" s="660"/>
    </row>
    <row r="7" spans="1:17" s="658" customFormat="1" ht="29.5" customHeight="1">
      <c r="A7" s="750">
        <v>1</v>
      </c>
      <c r="B7" s="751" t="s">
        <v>2824</v>
      </c>
      <c r="C7" s="750" t="s">
        <v>1277</v>
      </c>
      <c r="D7" s="750" t="s">
        <v>92</v>
      </c>
      <c r="E7" s="750" t="s">
        <v>3633</v>
      </c>
      <c r="F7" s="752">
        <v>45931</v>
      </c>
      <c r="G7" s="752">
        <v>45945</v>
      </c>
      <c r="H7" s="752">
        <v>45953</v>
      </c>
      <c r="I7" s="752">
        <v>45953</v>
      </c>
      <c r="J7" s="752">
        <v>45954</v>
      </c>
      <c r="K7" s="752">
        <v>45956</v>
      </c>
      <c r="L7" s="752">
        <v>45956</v>
      </c>
      <c r="M7" s="941" t="s">
        <v>631</v>
      </c>
      <c r="N7" s="1003">
        <v>45970</v>
      </c>
      <c r="O7" s="750" t="s">
        <v>3092</v>
      </c>
      <c r="P7" s="750">
        <v>8</v>
      </c>
      <c r="Q7" s="858"/>
    </row>
    <row r="8" spans="1:17" s="658" customFormat="1" ht="29.5" customHeight="1">
      <c r="A8" s="750">
        <v>2</v>
      </c>
      <c r="B8" s="751" t="s">
        <v>2850</v>
      </c>
      <c r="C8" s="750" t="s">
        <v>1319</v>
      </c>
      <c r="D8" s="750" t="s">
        <v>92</v>
      </c>
      <c r="E8" s="750" t="s">
        <v>3633</v>
      </c>
      <c r="F8" s="752">
        <v>45954</v>
      </c>
      <c r="G8" s="752">
        <v>45967</v>
      </c>
      <c r="H8" s="752">
        <v>45968</v>
      </c>
      <c r="I8" s="752">
        <v>45970</v>
      </c>
      <c r="J8" s="752">
        <v>45970</v>
      </c>
      <c r="K8" s="752">
        <v>45971</v>
      </c>
      <c r="L8" s="752">
        <v>45971</v>
      </c>
      <c r="M8" s="941" t="s">
        <v>631</v>
      </c>
      <c r="N8" s="1003">
        <v>45972</v>
      </c>
      <c r="O8" s="750" t="s">
        <v>3092</v>
      </c>
      <c r="P8" s="750">
        <v>13</v>
      </c>
      <c r="Q8" s="858"/>
    </row>
    <row r="9" spans="1:17" s="658" customFormat="1" ht="29.5" customHeight="1">
      <c r="A9" s="750">
        <v>3</v>
      </c>
      <c r="B9" s="751" t="s">
        <v>2839</v>
      </c>
      <c r="C9" s="750" t="s">
        <v>1269</v>
      </c>
      <c r="D9" s="750" t="s">
        <v>92</v>
      </c>
      <c r="E9" s="750" t="s">
        <v>3633</v>
      </c>
      <c r="F9" s="752">
        <v>45944</v>
      </c>
      <c r="G9" s="752">
        <v>45953</v>
      </c>
      <c r="H9" s="752">
        <v>45960</v>
      </c>
      <c r="I9" s="752">
        <v>45960</v>
      </c>
      <c r="J9" s="752">
        <v>45961</v>
      </c>
      <c r="K9" s="752">
        <v>45961</v>
      </c>
      <c r="L9" s="752">
        <v>45961</v>
      </c>
      <c r="M9" s="941" t="s">
        <v>631</v>
      </c>
      <c r="N9" s="1003">
        <v>45981</v>
      </c>
      <c r="O9" s="750" t="s">
        <v>2840</v>
      </c>
      <c r="P9" s="750">
        <v>8</v>
      </c>
      <c r="Q9" s="858"/>
    </row>
    <row r="10" spans="1:17" s="658" customFormat="1" ht="29.5" customHeight="1">
      <c r="A10" s="750">
        <v>4</v>
      </c>
      <c r="B10" s="751" t="s">
        <v>1650</v>
      </c>
      <c r="C10" s="750" t="s">
        <v>1361</v>
      </c>
      <c r="D10" s="750" t="s">
        <v>92</v>
      </c>
      <c r="E10" s="750" t="s">
        <v>3633</v>
      </c>
      <c r="F10" s="752">
        <v>45954</v>
      </c>
      <c r="G10" s="752">
        <v>45960</v>
      </c>
      <c r="H10" s="752">
        <v>45967</v>
      </c>
      <c r="I10" s="752">
        <v>45967</v>
      </c>
      <c r="J10" s="752">
        <v>45968</v>
      </c>
      <c r="K10" s="752">
        <v>45969</v>
      </c>
      <c r="L10" s="752">
        <v>45969</v>
      </c>
      <c r="M10" s="941" t="s">
        <v>631</v>
      </c>
      <c r="N10" s="1003">
        <v>45975</v>
      </c>
      <c r="O10" s="750" t="s">
        <v>2849</v>
      </c>
      <c r="P10" s="750">
        <v>9</v>
      </c>
      <c r="Q10" s="858"/>
    </row>
    <row r="11" spans="1:17" s="658" customFormat="1" ht="29.5" customHeight="1">
      <c r="A11" s="750">
        <v>5</v>
      </c>
      <c r="B11" s="751" t="s">
        <v>1138</v>
      </c>
      <c r="C11" s="750" t="s">
        <v>90</v>
      </c>
      <c r="D11" s="750" t="s">
        <v>92</v>
      </c>
      <c r="E11" s="750" t="s">
        <v>3633</v>
      </c>
      <c r="F11" s="752">
        <v>45968</v>
      </c>
      <c r="G11" s="752">
        <v>45990</v>
      </c>
      <c r="H11" s="752">
        <v>45991</v>
      </c>
      <c r="I11" s="752">
        <v>45991</v>
      </c>
      <c r="J11" s="752">
        <v>45991</v>
      </c>
      <c r="K11" s="752">
        <v>45991</v>
      </c>
      <c r="L11" s="752">
        <v>45991</v>
      </c>
      <c r="M11" s="941" t="s">
        <v>631</v>
      </c>
      <c r="N11" s="1003">
        <v>45995</v>
      </c>
      <c r="O11" s="1366" t="s">
        <v>2849</v>
      </c>
      <c r="P11" s="1366">
        <v>10</v>
      </c>
      <c r="Q11" s="858"/>
    </row>
    <row r="12" spans="1:17" s="658" customFormat="1" ht="29.5" customHeight="1">
      <c r="A12" s="750">
        <v>6</v>
      </c>
      <c r="B12" s="751" t="s">
        <v>1124</v>
      </c>
      <c r="C12" s="750" t="s">
        <v>1269</v>
      </c>
      <c r="D12" s="750" t="s">
        <v>92</v>
      </c>
      <c r="E12" s="750" t="s">
        <v>3633</v>
      </c>
      <c r="F12" s="752">
        <v>45975</v>
      </c>
      <c r="G12" s="752">
        <v>45979</v>
      </c>
      <c r="H12" s="752">
        <v>45981</v>
      </c>
      <c r="I12" s="752">
        <v>45982</v>
      </c>
      <c r="J12" s="752" t="s">
        <v>3110</v>
      </c>
      <c r="K12" s="752">
        <v>45983</v>
      </c>
      <c r="L12" s="752">
        <v>45983</v>
      </c>
      <c r="M12" s="941" t="s">
        <v>631</v>
      </c>
      <c r="N12" s="1003">
        <v>45995</v>
      </c>
      <c r="O12" s="1367"/>
      <c r="P12" s="1367"/>
      <c r="Q12" s="858"/>
    </row>
    <row r="13" spans="1:17" s="658" customFormat="1" ht="29.5" customHeight="1">
      <c r="A13" s="750">
        <v>7</v>
      </c>
      <c r="B13" s="751" t="s">
        <v>2857</v>
      </c>
      <c r="C13" s="750" t="s">
        <v>2662</v>
      </c>
      <c r="D13" s="750" t="s">
        <v>92</v>
      </c>
      <c r="E13" s="750" t="s">
        <v>3633</v>
      </c>
      <c r="F13" s="752">
        <v>45958</v>
      </c>
      <c r="G13" s="752">
        <v>45965</v>
      </c>
      <c r="H13" s="752">
        <v>45988</v>
      </c>
      <c r="I13" s="752">
        <v>45989</v>
      </c>
      <c r="J13" s="752">
        <v>45990</v>
      </c>
      <c r="K13" s="752">
        <v>45990</v>
      </c>
      <c r="L13" s="752">
        <v>45990</v>
      </c>
      <c r="M13" s="941" t="s">
        <v>631</v>
      </c>
      <c r="N13" s="1003">
        <v>45995</v>
      </c>
      <c r="O13" s="750" t="s">
        <v>3493</v>
      </c>
      <c r="P13" s="750">
        <v>10</v>
      </c>
      <c r="Q13" s="858"/>
    </row>
    <row r="14" spans="1:17" s="658" customFormat="1" ht="29.5" customHeight="1">
      <c r="A14" s="750">
        <v>8</v>
      </c>
      <c r="B14" s="751" t="s">
        <v>2388</v>
      </c>
      <c r="C14" s="750" t="s">
        <v>1277</v>
      </c>
      <c r="D14" s="750" t="s">
        <v>92</v>
      </c>
      <c r="E14" s="750" t="s">
        <v>3633</v>
      </c>
      <c r="F14" s="752">
        <v>45963</v>
      </c>
      <c r="G14" s="752">
        <v>45979</v>
      </c>
      <c r="H14" s="752">
        <v>45981</v>
      </c>
      <c r="I14" s="752">
        <v>45982</v>
      </c>
      <c r="J14" s="752" t="s">
        <v>3110</v>
      </c>
      <c r="K14" s="752">
        <v>45983</v>
      </c>
      <c r="L14" s="752">
        <v>45983</v>
      </c>
      <c r="M14" s="941" t="s">
        <v>631</v>
      </c>
      <c r="N14" s="1003">
        <v>45994</v>
      </c>
      <c r="O14" s="750" t="s">
        <v>2840</v>
      </c>
      <c r="P14" s="750">
        <v>12</v>
      </c>
      <c r="Q14" s="858"/>
    </row>
    <row r="15" spans="1:17" s="658" customFormat="1" ht="29.5" customHeight="1">
      <c r="A15" s="750">
        <v>9</v>
      </c>
      <c r="B15" s="751" t="s">
        <v>2930</v>
      </c>
      <c r="C15" s="750" t="s">
        <v>2212</v>
      </c>
      <c r="D15" s="750" t="s">
        <v>92</v>
      </c>
      <c r="E15" s="750" t="s">
        <v>3633</v>
      </c>
      <c r="F15" s="752">
        <v>45971</v>
      </c>
      <c r="G15" s="752">
        <v>45988</v>
      </c>
      <c r="H15" s="752">
        <v>45988</v>
      </c>
      <c r="I15" s="752">
        <v>45988</v>
      </c>
      <c r="J15" s="752">
        <v>45988</v>
      </c>
      <c r="K15" s="752">
        <v>45988</v>
      </c>
      <c r="L15" s="752">
        <v>45988</v>
      </c>
      <c r="M15" s="941" t="s">
        <v>631</v>
      </c>
      <c r="N15" s="1003">
        <v>45999</v>
      </c>
      <c r="O15" s="750" t="s">
        <v>3092</v>
      </c>
      <c r="P15" s="750">
        <v>13</v>
      </c>
      <c r="Q15" s="858"/>
    </row>
    <row r="16" spans="1:17" s="658" customFormat="1" ht="29.5" customHeight="1">
      <c r="A16" s="750">
        <v>10</v>
      </c>
      <c r="B16" s="751" t="s">
        <v>3053</v>
      </c>
      <c r="C16" s="750" t="s">
        <v>1934</v>
      </c>
      <c r="D16" s="750" t="s">
        <v>92</v>
      </c>
      <c r="E16" s="750" t="s">
        <v>3633</v>
      </c>
      <c r="F16" s="752">
        <v>45975</v>
      </c>
      <c r="G16" s="752">
        <v>45979</v>
      </c>
      <c r="H16" s="752">
        <v>45989</v>
      </c>
      <c r="I16" s="752">
        <v>45989</v>
      </c>
      <c r="J16" s="752">
        <v>45990</v>
      </c>
      <c r="K16" s="752">
        <v>45990</v>
      </c>
      <c r="L16" s="752">
        <v>45990</v>
      </c>
      <c r="M16" s="941" t="s">
        <v>631</v>
      </c>
      <c r="N16" s="1003">
        <v>45994</v>
      </c>
      <c r="O16" s="750" t="s">
        <v>3102</v>
      </c>
      <c r="P16" s="750">
        <v>10</v>
      </c>
      <c r="Q16" s="858"/>
    </row>
    <row r="17" spans="1:17" s="658" customFormat="1" ht="29.5" customHeight="1">
      <c r="A17" s="750">
        <f t="shared" ref="A17:A22" si="0">A16+1</f>
        <v>11</v>
      </c>
      <c r="B17" s="751" t="s">
        <v>3049</v>
      </c>
      <c r="C17" s="750" t="s">
        <v>3113</v>
      </c>
      <c r="D17" s="750" t="s">
        <v>1765</v>
      </c>
      <c r="E17" s="750" t="s">
        <v>3633</v>
      </c>
      <c r="F17" s="752">
        <v>45984</v>
      </c>
      <c r="G17" s="752">
        <v>45997</v>
      </c>
      <c r="H17" s="752">
        <v>45997</v>
      </c>
      <c r="I17" s="752">
        <v>45997</v>
      </c>
      <c r="J17" s="752">
        <v>45998</v>
      </c>
      <c r="K17" s="752">
        <v>45999</v>
      </c>
      <c r="L17" s="752">
        <v>45999</v>
      </c>
      <c r="M17" s="941" t="s">
        <v>631</v>
      </c>
      <c r="N17" s="1085">
        <v>46024</v>
      </c>
      <c r="O17" s="750" t="s">
        <v>2849</v>
      </c>
      <c r="P17" s="750">
        <v>10</v>
      </c>
      <c r="Q17" s="858"/>
    </row>
    <row r="18" spans="1:17" s="658" customFormat="1" ht="30" customHeight="1">
      <c r="A18" s="750">
        <f t="shared" si="0"/>
        <v>12</v>
      </c>
      <c r="B18" s="751" t="s">
        <v>3052</v>
      </c>
      <c r="C18" s="750" t="s">
        <v>2662</v>
      </c>
      <c r="D18" s="750" t="s">
        <v>1765</v>
      </c>
      <c r="E18" s="750" t="s">
        <v>3633</v>
      </c>
      <c r="F18" s="752">
        <v>45987</v>
      </c>
      <c r="G18" s="752">
        <v>46008</v>
      </c>
      <c r="H18" s="752">
        <v>46009</v>
      </c>
      <c r="I18" s="752">
        <v>46009</v>
      </c>
      <c r="J18" s="752">
        <v>46009</v>
      </c>
      <c r="K18" s="752">
        <v>46010</v>
      </c>
      <c r="L18" s="752">
        <v>46010</v>
      </c>
      <c r="M18" s="941" t="s">
        <v>631</v>
      </c>
      <c r="N18" s="1003">
        <v>46012</v>
      </c>
      <c r="O18" s="750" t="s">
        <v>3102</v>
      </c>
      <c r="P18" s="750">
        <v>10</v>
      </c>
      <c r="Q18" s="858"/>
    </row>
    <row r="19" spans="1:17" s="658" customFormat="1" ht="36.5" customHeight="1">
      <c r="A19" s="750">
        <f t="shared" si="0"/>
        <v>13</v>
      </c>
      <c r="B19" s="751" t="s">
        <v>2933</v>
      </c>
      <c r="C19" s="750" t="s">
        <v>1995</v>
      </c>
      <c r="D19" s="750" t="s">
        <v>92</v>
      </c>
      <c r="E19" s="750" t="s">
        <v>3633</v>
      </c>
      <c r="F19" s="752">
        <v>45989</v>
      </c>
      <c r="G19" s="752">
        <v>46009</v>
      </c>
      <c r="H19" s="752">
        <v>46010</v>
      </c>
      <c r="I19" s="752">
        <v>46011</v>
      </c>
      <c r="J19" s="752">
        <v>46012</v>
      </c>
      <c r="K19" s="752">
        <v>46012</v>
      </c>
      <c r="L19" s="752">
        <v>46012</v>
      </c>
      <c r="M19" s="941" t="s">
        <v>631</v>
      </c>
      <c r="N19" s="1003">
        <v>46014</v>
      </c>
      <c r="O19" s="750" t="s">
        <v>3092</v>
      </c>
      <c r="P19" s="750">
        <v>13</v>
      </c>
      <c r="Q19" s="858"/>
    </row>
    <row r="20" spans="1:17" s="658" customFormat="1" ht="30" customHeight="1">
      <c r="A20" s="750">
        <f t="shared" si="0"/>
        <v>14</v>
      </c>
      <c r="B20" s="751" t="s">
        <v>2978</v>
      </c>
      <c r="C20" s="750" t="s">
        <v>1319</v>
      </c>
      <c r="D20" s="750" t="s">
        <v>92</v>
      </c>
      <c r="E20" s="750" t="s">
        <v>3633</v>
      </c>
      <c r="F20" s="752">
        <v>45993</v>
      </c>
      <c r="G20" s="752">
        <v>46000</v>
      </c>
      <c r="H20" s="752">
        <v>46006</v>
      </c>
      <c r="I20" s="752">
        <v>46006</v>
      </c>
      <c r="J20" s="752">
        <v>46007</v>
      </c>
      <c r="K20" s="752">
        <v>46008</v>
      </c>
      <c r="L20" s="752">
        <v>46008</v>
      </c>
      <c r="M20" s="941" t="s">
        <v>631</v>
      </c>
      <c r="N20" s="1003">
        <v>46009</v>
      </c>
      <c r="O20" s="750" t="s">
        <v>2840</v>
      </c>
      <c r="P20" s="750">
        <v>12</v>
      </c>
      <c r="Q20" s="858"/>
    </row>
    <row r="21" spans="1:17" s="658" customFormat="1" ht="36.5" customHeight="1">
      <c r="A21" s="750">
        <f t="shared" si="0"/>
        <v>15</v>
      </c>
      <c r="B21" s="751" t="s">
        <v>2960</v>
      </c>
      <c r="C21" s="750" t="s">
        <v>2662</v>
      </c>
      <c r="D21" s="750" t="s">
        <v>92</v>
      </c>
      <c r="E21" s="750" t="s">
        <v>3633</v>
      </c>
      <c r="F21" s="752">
        <v>45994</v>
      </c>
      <c r="G21" s="752">
        <v>46009</v>
      </c>
      <c r="H21" s="752">
        <v>46009</v>
      </c>
      <c r="I21" s="752">
        <v>46009</v>
      </c>
      <c r="J21" s="752">
        <v>46012</v>
      </c>
      <c r="K21" s="752">
        <v>46012</v>
      </c>
      <c r="L21" s="752">
        <v>46012</v>
      </c>
      <c r="M21" s="941" t="s">
        <v>631</v>
      </c>
      <c r="N21" s="1003">
        <v>46017</v>
      </c>
      <c r="O21" s="750" t="s">
        <v>3493</v>
      </c>
      <c r="P21" s="750">
        <v>10</v>
      </c>
      <c r="Q21" s="858"/>
    </row>
    <row r="22" spans="1:17" s="658" customFormat="1" ht="30" customHeight="1">
      <c r="A22" s="750">
        <f t="shared" si="0"/>
        <v>16</v>
      </c>
      <c r="B22" s="751" t="s">
        <v>1659</v>
      </c>
      <c r="C22" s="750" t="s">
        <v>76</v>
      </c>
      <c r="D22" s="750" t="s">
        <v>1765</v>
      </c>
      <c r="E22" s="750" t="s">
        <v>3633</v>
      </c>
      <c r="F22" s="752">
        <v>45999</v>
      </c>
      <c r="G22" s="752">
        <v>46007</v>
      </c>
      <c r="H22" s="752">
        <v>46007</v>
      </c>
      <c r="I22" s="752">
        <v>46007</v>
      </c>
      <c r="J22" s="752">
        <v>46007</v>
      </c>
      <c r="K22" s="752">
        <v>46008</v>
      </c>
      <c r="L22" s="752">
        <v>46008</v>
      </c>
      <c r="M22" s="941" t="s">
        <v>631</v>
      </c>
      <c r="N22" s="1085">
        <v>46025</v>
      </c>
      <c r="O22" s="750" t="s">
        <v>2849</v>
      </c>
      <c r="P22" s="750">
        <v>10</v>
      </c>
      <c r="Q22" s="858"/>
    </row>
    <row r="23" spans="1:17" s="1039" customFormat="1" ht="27.5" customHeight="1">
      <c r="A23" s="750">
        <f t="shared" ref="A23:A64" si="1">A22+1</f>
        <v>17</v>
      </c>
      <c r="B23" s="751" t="s">
        <v>3063</v>
      </c>
      <c r="C23" s="750" t="s">
        <v>2662</v>
      </c>
      <c r="D23" s="750" t="s">
        <v>92</v>
      </c>
      <c r="E23" s="750" t="s">
        <v>3633</v>
      </c>
      <c r="F23" s="752">
        <v>46012</v>
      </c>
      <c r="G23" s="752">
        <v>46019</v>
      </c>
      <c r="H23" s="752">
        <v>46021</v>
      </c>
      <c r="I23" s="752">
        <v>46022</v>
      </c>
      <c r="J23" s="752">
        <v>46022</v>
      </c>
      <c r="K23" s="752">
        <v>46022</v>
      </c>
      <c r="L23" s="752">
        <v>46022</v>
      </c>
      <c r="M23" s="941" t="s">
        <v>631</v>
      </c>
      <c r="N23" s="1003">
        <v>46024</v>
      </c>
      <c r="O23" s="750" t="s">
        <v>3102</v>
      </c>
      <c r="P23" s="750">
        <v>10</v>
      </c>
      <c r="Q23" s="858"/>
    </row>
    <row r="24" spans="1:17" s="1039" customFormat="1" ht="30" customHeight="1">
      <c r="A24" s="750">
        <f t="shared" si="1"/>
        <v>18</v>
      </c>
      <c r="B24" s="751" t="s">
        <v>3051</v>
      </c>
      <c r="C24" s="750" t="s">
        <v>1977</v>
      </c>
      <c r="D24" s="750" t="s">
        <v>1765</v>
      </c>
      <c r="E24" s="750" t="s">
        <v>3633</v>
      </c>
      <c r="F24" s="752">
        <v>46012</v>
      </c>
      <c r="G24" s="752">
        <v>46016</v>
      </c>
      <c r="H24" s="752">
        <v>46017</v>
      </c>
      <c r="I24" s="752">
        <v>46017</v>
      </c>
      <c r="J24" s="752">
        <v>46018</v>
      </c>
      <c r="K24" s="752">
        <v>46019</v>
      </c>
      <c r="L24" s="752">
        <v>46019</v>
      </c>
      <c r="M24" s="941" t="s">
        <v>631</v>
      </c>
      <c r="N24" s="1085">
        <v>46032</v>
      </c>
      <c r="O24" s="750" t="s">
        <v>2849</v>
      </c>
      <c r="P24" s="750">
        <v>10</v>
      </c>
      <c r="Q24" s="858"/>
    </row>
    <row r="25" spans="1:17" s="1039" customFormat="1" ht="32" customHeight="1">
      <c r="A25" s="750">
        <f t="shared" si="1"/>
        <v>19</v>
      </c>
      <c r="B25" s="751" t="s">
        <v>3072</v>
      </c>
      <c r="C25" s="750" t="s">
        <v>1269</v>
      </c>
      <c r="D25" s="750" t="s">
        <v>92</v>
      </c>
      <c r="E25" s="750" t="s">
        <v>3633</v>
      </c>
      <c r="F25" s="752">
        <v>46016</v>
      </c>
      <c r="G25" s="752">
        <v>46019</v>
      </c>
      <c r="H25" s="752">
        <v>46025</v>
      </c>
      <c r="I25" s="752">
        <v>46026</v>
      </c>
      <c r="J25" s="752">
        <v>46026</v>
      </c>
      <c r="K25" s="752">
        <v>46027</v>
      </c>
      <c r="L25" s="752">
        <v>46027</v>
      </c>
      <c r="M25" s="941" t="s">
        <v>631</v>
      </c>
      <c r="N25" s="1003">
        <v>46030</v>
      </c>
      <c r="O25" s="750" t="s">
        <v>3493</v>
      </c>
      <c r="P25" s="750">
        <v>10</v>
      </c>
      <c r="Q25" s="858"/>
    </row>
    <row r="26" spans="1:17" s="1039" customFormat="1" ht="30" customHeight="1">
      <c r="A26" s="750">
        <f t="shared" si="1"/>
        <v>20</v>
      </c>
      <c r="B26" s="751" t="s">
        <v>3239</v>
      </c>
      <c r="C26" s="750" t="s">
        <v>2662</v>
      </c>
      <c r="D26" s="750" t="s">
        <v>92</v>
      </c>
      <c r="E26" s="750" t="s">
        <v>3633</v>
      </c>
      <c r="F26" s="752">
        <v>46016</v>
      </c>
      <c r="G26" s="752">
        <v>46019</v>
      </c>
      <c r="H26" s="752">
        <v>46021</v>
      </c>
      <c r="I26" s="752">
        <v>46021</v>
      </c>
      <c r="J26" s="752">
        <v>46021</v>
      </c>
      <c r="K26" s="752">
        <v>46025</v>
      </c>
      <c r="L26" s="752">
        <v>46025</v>
      </c>
      <c r="M26" s="941" t="s">
        <v>631</v>
      </c>
      <c r="N26" s="1003">
        <v>46026</v>
      </c>
      <c r="O26" s="750" t="s">
        <v>2840</v>
      </c>
      <c r="P26" s="750">
        <v>12</v>
      </c>
      <c r="Q26" s="858"/>
    </row>
    <row r="27" spans="1:17" s="1039" customFormat="1" ht="32" customHeight="1">
      <c r="A27" s="750">
        <f t="shared" si="1"/>
        <v>21</v>
      </c>
      <c r="B27" s="751" t="s">
        <v>2882</v>
      </c>
      <c r="C27" s="750" t="s">
        <v>2212</v>
      </c>
      <c r="D27" s="750" t="s">
        <v>92</v>
      </c>
      <c r="E27" s="750" t="s">
        <v>3633</v>
      </c>
      <c r="F27" s="752">
        <v>46016</v>
      </c>
      <c r="G27" s="752">
        <v>46022</v>
      </c>
      <c r="H27" s="752">
        <v>46025</v>
      </c>
      <c r="I27" s="752">
        <v>46026</v>
      </c>
      <c r="J27" s="752">
        <v>46027</v>
      </c>
      <c r="K27" s="752">
        <v>46029</v>
      </c>
      <c r="L27" s="752">
        <v>46029</v>
      </c>
      <c r="M27" s="941" t="s">
        <v>631</v>
      </c>
      <c r="N27" s="1003">
        <v>46034</v>
      </c>
      <c r="O27" s="750" t="s">
        <v>3092</v>
      </c>
      <c r="P27" s="750">
        <v>13</v>
      </c>
      <c r="Q27" s="858"/>
    </row>
    <row r="28" spans="1:17" s="1039" customFormat="1" ht="30" customHeight="1">
      <c r="A28" s="750">
        <f t="shared" si="1"/>
        <v>22</v>
      </c>
      <c r="B28" s="751" t="s">
        <v>3050</v>
      </c>
      <c r="C28" s="750" t="s">
        <v>1319</v>
      </c>
      <c r="D28" s="750" t="s">
        <v>1765</v>
      </c>
      <c r="E28" s="750" t="s">
        <v>3633</v>
      </c>
      <c r="F28" s="752">
        <v>46019</v>
      </c>
      <c r="G28" s="752">
        <v>46031</v>
      </c>
      <c r="H28" s="752">
        <v>46033</v>
      </c>
      <c r="I28" s="752">
        <v>46033</v>
      </c>
      <c r="J28" s="752">
        <v>46033</v>
      </c>
      <c r="K28" s="752">
        <v>46034</v>
      </c>
      <c r="L28" s="752">
        <v>46034</v>
      </c>
      <c r="M28" s="941" t="s">
        <v>631</v>
      </c>
      <c r="N28" s="941" t="s">
        <v>631</v>
      </c>
      <c r="O28" s="750" t="s">
        <v>2849</v>
      </c>
      <c r="P28" s="750">
        <v>10</v>
      </c>
      <c r="Q28" s="858"/>
    </row>
    <row r="29" spans="1:17" s="1039" customFormat="1" ht="30" customHeight="1">
      <c r="A29" s="750">
        <f t="shared" si="1"/>
        <v>23</v>
      </c>
      <c r="B29" s="751" t="s">
        <v>3064</v>
      </c>
      <c r="C29" s="750" t="s">
        <v>3113</v>
      </c>
      <c r="D29" s="750" t="s">
        <v>92</v>
      </c>
      <c r="E29" s="750" t="s">
        <v>3633</v>
      </c>
      <c r="F29" s="752">
        <v>46020</v>
      </c>
      <c r="G29" s="752">
        <v>46034</v>
      </c>
      <c r="H29" s="752">
        <v>46038</v>
      </c>
      <c r="I29" s="752">
        <v>46039</v>
      </c>
      <c r="J29" s="752">
        <v>46039</v>
      </c>
      <c r="K29" s="752">
        <v>46041</v>
      </c>
      <c r="L29" s="752">
        <v>46041</v>
      </c>
      <c r="M29" s="941" t="s">
        <v>631</v>
      </c>
      <c r="N29" s="1003">
        <v>46043</v>
      </c>
      <c r="O29" s="750" t="s">
        <v>3102</v>
      </c>
      <c r="P29" s="750">
        <v>10</v>
      </c>
      <c r="Q29" s="858"/>
    </row>
    <row r="30" spans="1:17" s="1039" customFormat="1" ht="30" customHeight="1">
      <c r="A30" s="750">
        <f t="shared" si="1"/>
        <v>24</v>
      </c>
      <c r="B30" s="751" t="s">
        <v>3047</v>
      </c>
      <c r="C30" s="750" t="s">
        <v>3251</v>
      </c>
      <c r="D30" s="750" t="s">
        <v>92</v>
      </c>
      <c r="E30" s="750" t="s">
        <v>3633</v>
      </c>
      <c r="F30" s="752">
        <v>46033</v>
      </c>
      <c r="G30" s="752">
        <v>46041</v>
      </c>
      <c r="H30" s="752">
        <v>46041</v>
      </c>
      <c r="I30" s="752">
        <v>46042</v>
      </c>
      <c r="J30" s="752">
        <v>46042</v>
      </c>
      <c r="K30" s="752">
        <v>46043</v>
      </c>
      <c r="L30" s="752">
        <v>46043</v>
      </c>
      <c r="M30" s="941" t="s">
        <v>631</v>
      </c>
      <c r="N30" s="1003">
        <v>46044</v>
      </c>
      <c r="O30" s="750" t="s">
        <v>2849</v>
      </c>
      <c r="P30" s="750">
        <v>10</v>
      </c>
      <c r="Q30" s="858"/>
    </row>
    <row r="31" spans="1:17" s="1039" customFormat="1" ht="30" customHeight="1">
      <c r="A31" s="750">
        <f t="shared" si="1"/>
        <v>25</v>
      </c>
      <c r="B31" s="751" t="s">
        <v>2935</v>
      </c>
      <c r="C31" s="750" t="s">
        <v>2197</v>
      </c>
      <c r="D31" s="750" t="s">
        <v>1765</v>
      </c>
      <c r="E31" s="750" t="s">
        <v>3633</v>
      </c>
      <c r="F31" s="752">
        <v>46034</v>
      </c>
      <c r="G31" s="752">
        <v>46076</v>
      </c>
      <c r="H31" s="752">
        <v>46078</v>
      </c>
      <c r="I31" s="752">
        <v>46079</v>
      </c>
      <c r="J31" s="752">
        <v>46079</v>
      </c>
      <c r="K31" s="752">
        <v>46079</v>
      </c>
      <c r="L31" s="752">
        <v>46079</v>
      </c>
      <c r="M31" s="941" t="s">
        <v>631</v>
      </c>
      <c r="N31" s="941" t="s">
        <v>631</v>
      </c>
      <c r="O31" s="750" t="s">
        <v>3092</v>
      </c>
      <c r="P31" s="750">
        <v>13</v>
      </c>
      <c r="Q31" s="858"/>
    </row>
    <row r="32" spans="1:17" s="1039" customFormat="1" ht="30" customHeight="1">
      <c r="A32" s="750">
        <f t="shared" si="1"/>
        <v>26</v>
      </c>
      <c r="B32" s="751" t="s">
        <v>2392</v>
      </c>
      <c r="C32" s="750" t="s">
        <v>1319</v>
      </c>
      <c r="D32" s="750" t="s">
        <v>54</v>
      </c>
      <c r="E32" s="750" t="s">
        <v>3633</v>
      </c>
      <c r="F32" s="752">
        <v>46037</v>
      </c>
      <c r="G32" s="752">
        <v>46056</v>
      </c>
      <c r="H32" s="752">
        <v>46060</v>
      </c>
      <c r="I32" s="752">
        <v>46060</v>
      </c>
      <c r="J32" s="752">
        <v>46060</v>
      </c>
      <c r="K32" s="752">
        <v>46063</v>
      </c>
      <c r="L32" s="752">
        <v>46063</v>
      </c>
      <c r="M32" s="941" t="s">
        <v>631</v>
      </c>
      <c r="N32" s="1003">
        <v>46064</v>
      </c>
      <c r="O32" s="750" t="s">
        <v>3253</v>
      </c>
      <c r="P32" s="750">
        <v>6</v>
      </c>
      <c r="Q32" s="858"/>
    </row>
    <row r="33" spans="1:17" s="1039" customFormat="1" ht="30" customHeight="1">
      <c r="A33" s="750">
        <f t="shared" si="1"/>
        <v>27</v>
      </c>
      <c r="B33" s="751" t="s">
        <v>2981</v>
      </c>
      <c r="C33" s="750" t="s">
        <v>1277</v>
      </c>
      <c r="D33" s="750" t="s">
        <v>92</v>
      </c>
      <c r="E33" s="750" t="s">
        <v>3633</v>
      </c>
      <c r="F33" s="752">
        <v>46039</v>
      </c>
      <c r="G33" s="752">
        <v>46053</v>
      </c>
      <c r="H33" s="752">
        <v>46053</v>
      </c>
      <c r="I33" s="752">
        <v>46053</v>
      </c>
      <c r="J33" s="752">
        <v>46053</v>
      </c>
      <c r="K33" s="752">
        <v>46053</v>
      </c>
      <c r="L33" s="752">
        <v>46053</v>
      </c>
      <c r="M33" s="941" t="s">
        <v>631</v>
      </c>
      <c r="N33" s="941" t="s">
        <v>631</v>
      </c>
      <c r="O33" s="750" t="s">
        <v>2840</v>
      </c>
      <c r="P33" s="750">
        <v>12</v>
      </c>
      <c r="Q33" s="858"/>
    </row>
    <row r="34" spans="1:17" s="1039" customFormat="1" ht="30" customHeight="1">
      <c r="A34" s="750">
        <f t="shared" si="1"/>
        <v>28</v>
      </c>
      <c r="B34" s="751" t="s">
        <v>3256</v>
      </c>
      <c r="C34" s="750" t="s">
        <v>1934</v>
      </c>
      <c r="D34" s="750" t="s">
        <v>897</v>
      </c>
      <c r="E34" s="750" t="s">
        <v>3633</v>
      </c>
      <c r="F34" s="752">
        <v>46040</v>
      </c>
      <c r="G34" s="752">
        <v>46053</v>
      </c>
      <c r="H34" s="752">
        <v>46053</v>
      </c>
      <c r="I34" s="752">
        <v>46053</v>
      </c>
      <c r="J34" s="752">
        <v>46053</v>
      </c>
      <c r="K34" s="752">
        <v>46053</v>
      </c>
      <c r="L34" s="752">
        <v>46053</v>
      </c>
      <c r="M34" s="941" t="s">
        <v>631</v>
      </c>
      <c r="N34" s="941" t="s">
        <v>631</v>
      </c>
      <c r="O34" s="750" t="s">
        <v>2849</v>
      </c>
      <c r="P34" s="750">
        <v>10</v>
      </c>
      <c r="Q34" s="858"/>
    </row>
    <row r="35" spans="1:17" s="1039" customFormat="1" ht="30" customHeight="1">
      <c r="A35" s="750">
        <f t="shared" si="1"/>
        <v>29</v>
      </c>
      <c r="B35" s="751" t="s">
        <v>3259</v>
      </c>
      <c r="C35" s="750" t="s">
        <v>90</v>
      </c>
      <c r="D35" s="750" t="s">
        <v>92</v>
      </c>
      <c r="E35" s="750" t="s">
        <v>3633</v>
      </c>
      <c r="F35" s="752">
        <v>46044</v>
      </c>
      <c r="G35" s="752">
        <v>46053</v>
      </c>
      <c r="H35" s="752">
        <v>46053</v>
      </c>
      <c r="I35" s="752">
        <v>46053</v>
      </c>
      <c r="J35" s="752">
        <v>46053</v>
      </c>
      <c r="K35" s="752">
        <v>46053</v>
      </c>
      <c r="L35" s="752">
        <v>46053</v>
      </c>
      <c r="M35" s="941" t="s">
        <v>631</v>
      </c>
      <c r="N35" s="941" t="s">
        <v>631</v>
      </c>
      <c r="O35" s="750" t="s">
        <v>3100</v>
      </c>
      <c r="P35" s="750">
        <v>6</v>
      </c>
      <c r="Q35" s="858"/>
    </row>
    <row r="36" spans="1:17" s="1039" customFormat="1" ht="30" customHeight="1">
      <c r="A36" s="750">
        <f t="shared" si="1"/>
        <v>30</v>
      </c>
      <c r="B36" s="1048" t="s">
        <v>3027</v>
      </c>
      <c r="C36" s="1047" t="s">
        <v>1977</v>
      </c>
      <c r="D36" s="1047" t="s">
        <v>92</v>
      </c>
      <c r="E36" s="750" t="s">
        <v>3633</v>
      </c>
      <c r="F36" s="1049">
        <v>46056</v>
      </c>
      <c r="G36" s="1049">
        <v>46079</v>
      </c>
      <c r="H36" s="1049">
        <v>46080</v>
      </c>
      <c r="I36" s="1049">
        <v>46080</v>
      </c>
      <c r="J36" s="1049">
        <v>46080</v>
      </c>
      <c r="K36" s="1049">
        <v>46080</v>
      </c>
      <c r="L36" s="1049">
        <v>46080</v>
      </c>
      <c r="M36" s="1050" t="s">
        <v>631</v>
      </c>
      <c r="N36" s="941" t="s">
        <v>631</v>
      </c>
      <c r="O36" s="1047" t="s">
        <v>2849</v>
      </c>
      <c r="P36" s="1047">
        <v>10</v>
      </c>
      <c r="Q36" s="1051"/>
    </row>
    <row r="37" spans="1:17" s="1039" customFormat="1" ht="30" customHeight="1">
      <c r="A37" s="750">
        <f t="shared" si="1"/>
        <v>31</v>
      </c>
      <c r="B37" s="751" t="s">
        <v>3030</v>
      </c>
      <c r="C37" s="750" t="s">
        <v>2197</v>
      </c>
      <c r="D37" s="750" t="s">
        <v>92</v>
      </c>
      <c r="E37" s="750" t="s">
        <v>3633</v>
      </c>
      <c r="F37" s="752">
        <v>46056</v>
      </c>
      <c r="G37" s="752">
        <v>46076</v>
      </c>
      <c r="H37" s="752">
        <v>46077</v>
      </c>
      <c r="I37" s="752">
        <v>46077</v>
      </c>
      <c r="J37" s="752">
        <v>46077</v>
      </c>
      <c r="K37" s="752">
        <v>46077</v>
      </c>
      <c r="L37" s="752">
        <v>46077</v>
      </c>
      <c r="M37" s="941" t="s">
        <v>631</v>
      </c>
      <c r="N37" s="941" t="s">
        <v>631</v>
      </c>
      <c r="O37" s="750" t="s">
        <v>3102</v>
      </c>
      <c r="P37" s="750">
        <v>10</v>
      </c>
      <c r="Q37" s="858"/>
    </row>
    <row r="38" spans="1:17" s="1039" customFormat="1" ht="30" customHeight="1">
      <c r="A38" s="750">
        <f t="shared" si="1"/>
        <v>32</v>
      </c>
      <c r="B38" s="751" t="s">
        <v>3285</v>
      </c>
      <c r="C38" s="750" t="s">
        <v>90</v>
      </c>
      <c r="D38" s="750" t="s">
        <v>92</v>
      </c>
      <c r="E38" s="750" t="s">
        <v>3633</v>
      </c>
      <c r="F38" s="752">
        <v>46058</v>
      </c>
      <c r="G38" s="752">
        <v>46071</v>
      </c>
      <c r="H38" s="752">
        <v>46071</v>
      </c>
      <c r="I38" s="752">
        <v>46071</v>
      </c>
      <c r="J38" s="752">
        <v>46071</v>
      </c>
      <c r="K38" s="752">
        <v>46071</v>
      </c>
      <c r="L38" s="752">
        <v>46071</v>
      </c>
      <c r="M38" s="941" t="s">
        <v>631</v>
      </c>
      <c r="N38" s="941" t="s">
        <v>631</v>
      </c>
      <c r="O38" s="750" t="s">
        <v>3253</v>
      </c>
      <c r="P38" s="750">
        <v>6</v>
      </c>
      <c r="Q38" s="858"/>
    </row>
    <row r="39" spans="1:17" s="1039" customFormat="1" ht="30" customHeight="1">
      <c r="A39" s="750">
        <f t="shared" si="1"/>
        <v>33</v>
      </c>
      <c r="B39" s="1048" t="s">
        <v>1131</v>
      </c>
      <c r="C39" s="1047" t="s">
        <v>2397</v>
      </c>
      <c r="D39" s="1047" t="s">
        <v>92</v>
      </c>
      <c r="E39" s="750" t="s">
        <v>3633</v>
      </c>
      <c r="F39" s="1049">
        <v>46060</v>
      </c>
      <c r="G39" s="1049">
        <v>46077</v>
      </c>
      <c r="H39" s="1049">
        <v>46080</v>
      </c>
      <c r="I39" s="1049">
        <v>46080</v>
      </c>
      <c r="J39" s="1049">
        <v>46080</v>
      </c>
      <c r="K39" s="1049">
        <v>46080</v>
      </c>
      <c r="L39" s="1049">
        <v>46080</v>
      </c>
      <c r="M39" s="1050" t="s">
        <v>631</v>
      </c>
      <c r="N39" s="941" t="s">
        <v>631</v>
      </c>
      <c r="O39" s="1047" t="s">
        <v>2849</v>
      </c>
      <c r="P39" s="1047">
        <v>10</v>
      </c>
      <c r="Q39" s="1051"/>
    </row>
    <row r="40" spans="1:17" s="1039" customFormat="1" ht="30" customHeight="1">
      <c r="A40" s="750">
        <f t="shared" si="1"/>
        <v>34</v>
      </c>
      <c r="B40" s="751" t="s">
        <v>3295</v>
      </c>
      <c r="C40" s="1126" t="s">
        <v>2197</v>
      </c>
      <c r="D40" s="750" t="s">
        <v>92</v>
      </c>
      <c r="E40" s="750" t="s">
        <v>3633</v>
      </c>
      <c r="F40" s="752">
        <v>46063</v>
      </c>
      <c r="G40" s="752">
        <v>46079</v>
      </c>
      <c r="H40" s="752">
        <v>46081</v>
      </c>
      <c r="I40" s="752">
        <v>46081</v>
      </c>
      <c r="J40" s="752">
        <v>46081</v>
      </c>
      <c r="K40" s="752">
        <v>46081</v>
      </c>
      <c r="L40" s="752">
        <v>46081</v>
      </c>
      <c r="M40" s="941" t="s">
        <v>631</v>
      </c>
      <c r="N40" s="941" t="s">
        <v>631</v>
      </c>
      <c r="O40" s="750" t="s">
        <v>2849</v>
      </c>
      <c r="P40" s="750">
        <v>10</v>
      </c>
      <c r="Q40" s="858"/>
    </row>
    <row r="41" spans="1:17" s="1039" customFormat="1" ht="35" customHeight="1">
      <c r="A41" s="750">
        <f t="shared" si="1"/>
        <v>35</v>
      </c>
      <c r="B41" s="751" t="s">
        <v>2880</v>
      </c>
      <c r="C41" s="1126" t="s">
        <v>1361</v>
      </c>
      <c r="D41" s="750" t="s">
        <v>92</v>
      </c>
      <c r="E41" s="750" t="s">
        <v>3633</v>
      </c>
      <c r="F41" s="752">
        <v>46064</v>
      </c>
      <c r="G41" s="752">
        <v>46072</v>
      </c>
      <c r="H41" s="752">
        <v>46077</v>
      </c>
      <c r="I41" s="752">
        <v>46077</v>
      </c>
      <c r="J41" s="752">
        <v>46079</v>
      </c>
      <c r="K41" s="752">
        <v>46079</v>
      </c>
      <c r="L41" s="752">
        <v>46079</v>
      </c>
      <c r="M41" s="941" t="s">
        <v>631</v>
      </c>
      <c r="N41" s="941" t="s">
        <v>631</v>
      </c>
      <c r="O41" s="750" t="s">
        <v>3493</v>
      </c>
      <c r="P41" s="750">
        <v>10</v>
      </c>
      <c r="Q41" s="858"/>
    </row>
    <row r="42" spans="1:17" s="1039" customFormat="1" ht="30" customHeight="1">
      <c r="A42" s="750">
        <f t="shared" si="1"/>
        <v>36</v>
      </c>
      <c r="B42" s="751" t="s">
        <v>2941</v>
      </c>
      <c r="C42" s="1126" t="s">
        <v>1953</v>
      </c>
      <c r="D42" s="750" t="s">
        <v>92</v>
      </c>
      <c r="E42" s="750" t="s">
        <v>3633</v>
      </c>
      <c r="F42" s="752">
        <v>46071</v>
      </c>
      <c r="G42" s="752">
        <v>46076</v>
      </c>
      <c r="H42" s="752">
        <v>46077</v>
      </c>
      <c r="I42" s="752">
        <v>46080</v>
      </c>
      <c r="J42" s="752">
        <v>46080</v>
      </c>
      <c r="K42" s="752">
        <v>46081</v>
      </c>
      <c r="L42" s="752">
        <v>46081</v>
      </c>
      <c r="M42" s="941" t="s">
        <v>631</v>
      </c>
      <c r="N42" s="941" t="s">
        <v>631</v>
      </c>
      <c r="O42" s="750" t="s">
        <v>2840</v>
      </c>
      <c r="P42" s="750">
        <v>10</v>
      </c>
      <c r="Q42" s="858"/>
    </row>
    <row r="43" spans="1:17" s="1039" customFormat="1" ht="30" customHeight="1">
      <c r="A43" s="750">
        <f t="shared" si="1"/>
        <v>37</v>
      </c>
      <c r="B43" s="751" t="s">
        <v>2939</v>
      </c>
      <c r="C43" s="1126" t="s">
        <v>1988</v>
      </c>
      <c r="D43" s="750" t="s">
        <v>92</v>
      </c>
      <c r="E43" s="750" t="s">
        <v>3633</v>
      </c>
      <c r="F43" s="752">
        <v>46071</v>
      </c>
      <c r="G43" s="752">
        <v>46105</v>
      </c>
      <c r="H43" s="752">
        <v>46106</v>
      </c>
      <c r="I43" s="752">
        <v>46107</v>
      </c>
      <c r="J43" s="752">
        <v>46107</v>
      </c>
      <c r="K43" s="752">
        <v>46107</v>
      </c>
      <c r="L43" s="752">
        <v>46107</v>
      </c>
      <c r="M43" s="941" t="s">
        <v>631</v>
      </c>
      <c r="N43" s="941" t="s">
        <v>631</v>
      </c>
      <c r="O43" s="750" t="s">
        <v>3092</v>
      </c>
      <c r="P43" s="750">
        <v>10</v>
      </c>
      <c r="Q43" s="858"/>
    </row>
    <row r="44" spans="1:17" s="1039" customFormat="1" ht="30" customHeight="1">
      <c r="A44" s="750">
        <f t="shared" si="1"/>
        <v>38</v>
      </c>
      <c r="B44" s="751" t="s">
        <v>3025</v>
      </c>
      <c r="C44" s="1126" t="s">
        <v>1953</v>
      </c>
      <c r="D44" s="750" t="s">
        <v>92</v>
      </c>
      <c r="E44" s="750" t="s">
        <v>3633</v>
      </c>
      <c r="F44" s="752">
        <v>46073</v>
      </c>
      <c r="G44" s="752">
        <v>46079</v>
      </c>
      <c r="H44" s="752">
        <v>46080</v>
      </c>
      <c r="I44" s="752">
        <v>46080</v>
      </c>
      <c r="J44" s="752">
        <v>46080</v>
      </c>
      <c r="K44" s="752">
        <v>46080</v>
      </c>
      <c r="L44" s="752">
        <v>46080</v>
      </c>
      <c r="M44" s="941" t="s">
        <v>631</v>
      </c>
      <c r="N44" s="941" t="s">
        <v>631</v>
      </c>
      <c r="O44" s="750" t="s">
        <v>3253</v>
      </c>
      <c r="P44" s="750">
        <v>12</v>
      </c>
      <c r="Q44" s="858"/>
    </row>
    <row r="45" spans="1:17" s="1039" customFormat="1" ht="30" customHeight="1">
      <c r="A45" s="750">
        <f t="shared" si="1"/>
        <v>39</v>
      </c>
      <c r="B45" s="751" t="s">
        <v>3029</v>
      </c>
      <c r="C45" s="1126" t="s">
        <v>1977</v>
      </c>
      <c r="D45" s="750" t="s">
        <v>92</v>
      </c>
      <c r="E45" s="750" t="s">
        <v>3633</v>
      </c>
      <c r="F45" s="752">
        <v>46081</v>
      </c>
      <c r="G45" s="752">
        <v>46088</v>
      </c>
      <c r="H45" s="752">
        <v>46089</v>
      </c>
      <c r="I45" s="752">
        <v>46089</v>
      </c>
      <c r="J45" s="752">
        <v>46089</v>
      </c>
      <c r="K45" s="752">
        <v>46089</v>
      </c>
      <c r="L45" s="752">
        <v>46089</v>
      </c>
      <c r="M45" s="941" t="s">
        <v>631</v>
      </c>
      <c r="N45" s="941" t="s">
        <v>631</v>
      </c>
      <c r="O45" s="750" t="s">
        <v>3102</v>
      </c>
      <c r="P45" s="750">
        <v>10</v>
      </c>
      <c r="Q45" s="858"/>
    </row>
    <row r="46" spans="1:17" s="1039" customFormat="1" ht="30" customHeight="1">
      <c r="A46" s="750">
        <f t="shared" si="1"/>
        <v>40</v>
      </c>
      <c r="B46" s="751" t="s">
        <v>3045</v>
      </c>
      <c r="C46" s="1126" t="s">
        <v>1277</v>
      </c>
      <c r="D46" s="750" t="s">
        <v>92</v>
      </c>
      <c r="E46" s="750" t="s">
        <v>3633</v>
      </c>
      <c r="F46" s="752">
        <v>46089</v>
      </c>
      <c r="G46" s="752">
        <v>46106</v>
      </c>
      <c r="H46" s="752">
        <v>46108</v>
      </c>
      <c r="I46" s="752">
        <v>46108</v>
      </c>
      <c r="J46" s="752">
        <v>46110</v>
      </c>
      <c r="K46" s="752">
        <v>46111</v>
      </c>
      <c r="L46" s="752">
        <v>46111</v>
      </c>
      <c r="M46" s="941" t="s">
        <v>631</v>
      </c>
      <c r="N46" s="941" t="s">
        <v>631</v>
      </c>
      <c r="O46" s="750" t="s">
        <v>86</v>
      </c>
      <c r="P46" s="750">
        <v>10</v>
      </c>
      <c r="Q46" s="858"/>
    </row>
    <row r="47" spans="1:17" s="1039" customFormat="1" ht="30" customHeight="1">
      <c r="A47" s="750">
        <f t="shared" si="1"/>
        <v>41</v>
      </c>
      <c r="B47" s="751" t="s">
        <v>3024</v>
      </c>
      <c r="C47" s="1126" t="s">
        <v>1953</v>
      </c>
      <c r="D47" s="750" t="s">
        <v>92</v>
      </c>
      <c r="E47" s="750" t="s">
        <v>3633</v>
      </c>
      <c r="F47" s="752">
        <v>46089</v>
      </c>
      <c r="G47" s="752">
        <v>46106</v>
      </c>
      <c r="H47" s="752">
        <v>46107</v>
      </c>
      <c r="I47" s="752">
        <v>46107</v>
      </c>
      <c r="J47" s="752">
        <v>46108</v>
      </c>
      <c r="K47" s="752">
        <v>46109</v>
      </c>
      <c r="L47" s="752">
        <v>46109</v>
      </c>
      <c r="M47" s="941" t="s">
        <v>631</v>
      </c>
      <c r="N47" s="941" t="s">
        <v>631</v>
      </c>
      <c r="O47" s="750" t="s">
        <v>3253</v>
      </c>
      <c r="P47" s="750">
        <v>12</v>
      </c>
      <c r="Q47" s="858"/>
    </row>
    <row r="48" spans="1:17" s="1039" customFormat="1" ht="30" customHeight="1">
      <c r="A48" s="750">
        <f t="shared" si="1"/>
        <v>42</v>
      </c>
      <c r="B48" s="751" t="s">
        <v>2958</v>
      </c>
      <c r="C48" s="1126" t="s">
        <v>1319</v>
      </c>
      <c r="D48" s="750" t="s">
        <v>92</v>
      </c>
      <c r="E48" s="750" t="s">
        <v>3633</v>
      </c>
      <c r="F48" s="752">
        <v>46089</v>
      </c>
      <c r="G48" s="752">
        <v>46108</v>
      </c>
      <c r="H48" s="752">
        <v>46109</v>
      </c>
      <c r="I48" s="752">
        <v>46110</v>
      </c>
      <c r="J48" s="752">
        <v>46111</v>
      </c>
      <c r="K48" s="752">
        <v>46112</v>
      </c>
      <c r="L48" s="752">
        <v>46112</v>
      </c>
      <c r="M48" s="941" t="s">
        <v>631</v>
      </c>
      <c r="N48" s="941" t="s">
        <v>631</v>
      </c>
      <c r="O48" s="750" t="s">
        <v>3493</v>
      </c>
      <c r="P48" s="750">
        <v>10</v>
      </c>
      <c r="Q48" s="858"/>
    </row>
    <row r="49" spans="1:18" s="1039" customFormat="1" ht="30" customHeight="1">
      <c r="A49" s="750">
        <f t="shared" si="1"/>
        <v>43</v>
      </c>
      <c r="B49" s="751" t="s">
        <v>3060</v>
      </c>
      <c r="C49" s="1126" t="s">
        <v>3251</v>
      </c>
      <c r="D49" s="750" t="s">
        <v>92</v>
      </c>
      <c r="E49" s="750" t="s">
        <v>3633</v>
      </c>
      <c r="F49" s="752">
        <v>46092</v>
      </c>
      <c r="G49" s="752">
        <v>46108</v>
      </c>
      <c r="H49" s="752">
        <v>46109</v>
      </c>
      <c r="I49" s="752">
        <v>46109</v>
      </c>
      <c r="J49" s="752">
        <v>46109</v>
      </c>
      <c r="K49" s="752">
        <v>46110</v>
      </c>
      <c r="L49" s="752">
        <v>46110</v>
      </c>
      <c r="M49" s="941" t="s">
        <v>631</v>
      </c>
      <c r="N49" s="941" t="s">
        <v>631</v>
      </c>
      <c r="O49" s="750" t="s">
        <v>86</v>
      </c>
      <c r="P49" s="750">
        <v>10</v>
      </c>
      <c r="Q49" s="858"/>
    </row>
    <row r="50" spans="1:18" s="1039" customFormat="1" ht="30" customHeight="1">
      <c r="A50" s="750">
        <f t="shared" si="1"/>
        <v>44</v>
      </c>
      <c r="B50" s="751" t="s">
        <v>2938</v>
      </c>
      <c r="C50" s="1126" t="s">
        <v>2197</v>
      </c>
      <c r="D50" s="750" t="s">
        <v>92</v>
      </c>
      <c r="E50" s="750" t="s">
        <v>3633</v>
      </c>
      <c r="F50" s="752">
        <v>46093</v>
      </c>
      <c r="G50" s="752">
        <v>46106</v>
      </c>
      <c r="H50" s="752">
        <v>46107</v>
      </c>
      <c r="I50" s="752">
        <v>46107</v>
      </c>
      <c r="J50" s="752">
        <v>46107</v>
      </c>
      <c r="K50" s="752">
        <v>46108</v>
      </c>
      <c r="L50" s="752">
        <v>46108</v>
      </c>
      <c r="M50" s="941" t="s">
        <v>631</v>
      </c>
      <c r="N50" s="941" t="s">
        <v>631</v>
      </c>
      <c r="O50" s="750" t="s">
        <v>2840</v>
      </c>
      <c r="P50" s="750">
        <v>13</v>
      </c>
      <c r="Q50" s="858"/>
    </row>
    <row r="51" spans="1:18" s="1039" customFormat="1" ht="30" customHeight="1">
      <c r="A51" s="750">
        <f t="shared" si="1"/>
        <v>45</v>
      </c>
      <c r="B51" s="751" t="s">
        <v>2946</v>
      </c>
      <c r="C51" s="1126" t="s">
        <v>1953</v>
      </c>
      <c r="D51" s="750" t="s">
        <v>92</v>
      </c>
      <c r="E51" s="750" t="s">
        <v>3633</v>
      </c>
      <c r="F51" s="752">
        <v>46103</v>
      </c>
      <c r="G51" s="752">
        <v>46123</v>
      </c>
      <c r="H51" s="752">
        <v>46123</v>
      </c>
      <c r="I51" s="752">
        <v>46125</v>
      </c>
      <c r="J51" s="752">
        <v>46125</v>
      </c>
      <c r="K51" s="752">
        <v>46127</v>
      </c>
      <c r="L51" s="752">
        <v>46127</v>
      </c>
      <c r="M51" s="941" t="s">
        <v>631</v>
      </c>
      <c r="N51" s="941" t="s">
        <v>631</v>
      </c>
      <c r="O51" s="750" t="s">
        <v>3092</v>
      </c>
      <c r="P51" s="750">
        <v>10</v>
      </c>
      <c r="Q51" s="858"/>
    </row>
    <row r="52" spans="1:18" s="1039" customFormat="1" ht="30" customHeight="1">
      <c r="A52" s="750">
        <f t="shared" si="1"/>
        <v>46</v>
      </c>
      <c r="B52" s="751" t="s">
        <v>3023</v>
      </c>
      <c r="C52" s="1126" t="s">
        <v>1995</v>
      </c>
      <c r="D52" s="750" t="s">
        <v>92</v>
      </c>
      <c r="E52" s="750" t="s">
        <v>3633</v>
      </c>
      <c r="F52" s="752">
        <v>46111</v>
      </c>
      <c r="G52" s="752">
        <v>46134</v>
      </c>
      <c r="H52" s="752">
        <v>46136</v>
      </c>
      <c r="I52" s="752">
        <v>46136</v>
      </c>
      <c r="J52" s="752">
        <v>46138</v>
      </c>
      <c r="K52" s="752">
        <v>46139</v>
      </c>
      <c r="L52" s="752">
        <v>46139</v>
      </c>
      <c r="M52" s="941" t="s">
        <v>631</v>
      </c>
      <c r="N52" s="941" t="s">
        <v>631</v>
      </c>
      <c r="O52" s="750" t="s">
        <v>3253</v>
      </c>
      <c r="P52" s="750">
        <v>12</v>
      </c>
      <c r="Q52" s="858"/>
    </row>
    <row r="53" spans="1:18" s="1039" customFormat="1" ht="30" customHeight="1">
      <c r="A53" s="750">
        <f t="shared" si="1"/>
        <v>47</v>
      </c>
      <c r="B53" s="751" t="s">
        <v>2984</v>
      </c>
      <c r="C53" s="1126" t="s">
        <v>1319</v>
      </c>
      <c r="D53" s="750" t="s">
        <v>92</v>
      </c>
      <c r="E53" s="750" t="s">
        <v>3633</v>
      </c>
      <c r="F53" s="752">
        <v>46116</v>
      </c>
      <c r="G53" s="752">
        <v>46121</v>
      </c>
      <c r="H53" s="752">
        <v>46127</v>
      </c>
      <c r="I53" s="752">
        <v>46127</v>
      </c>
      <c r="J53" s="752">
        <v>46127</v>
      </c>
      <c r="K53" s="752">
        <v>46128</v>
      </c>
      <c r="L53" s="752">
        <v>46132</v>
      </c>
      <c r="M53" s="941" t="s">
        <v>631</v>
      </c>
      <c r="N53" s="941" t="s">
        <v>631</v>
      </c>
      <c r="O53" s="750" t="s">
        <v>2840</v>
      </c>
      <c r="P53" s="750">
        <v>13</v>
      </c>
      <c r="Q53" s="858"/>
    </row>
    <row r="54" spans="1:18" s="1039" customFormat="1" ht="30" customHeight="1">
      <c r="A54" s="750">
        <f t="shared" si="1"/>
        <v>48</v>
      </c>
      <c r="B54" s="751" t="s">
        <v>2957</v>
      </c>
      <c r="C54" s="1126" t="s">
        <v>1277</v>
      </c>
      <c r="D54" s="750" t="s">
        <v>92</v>
      </c>
      <c r="E54" s="750" t="s">
        <v>3633</v>
      </c>
      <c r="F54" s="752">
        <v>46119</v>
      </c>
      <c r="G54" s="752">
        <v>46141</v>
      </c>
      <c r="H54" s="752">
        <v>46142</v>
      </c>
      <c r="I54" s="752">
        <v>46142</v>
      </c>
      <c r="J54" s="752">
        <v>46142</v>
      </c>
      <c r="K54" s="752">
        <v>46142</v>
      </c>
      <c r="L54" s="752">
        <v>46142</v>
      </c>
      <c r="M54" s="941" t="s">
        <v>631</v>
      </c>
      <c r="N54" s="941" t="s">
        <v>631</v>
      </c>
      <c r="O54" s="750" t="s">
        <v>3493</v>
      </c>
      <c r="P54" s="750">
        <v>12</v>
      </c>
      <c r="Q54" s="858"/>
    </row>
    <row r="55" spans="1:18" s="1039" customFormat="1" ht="30" customHeight="1">
      <c r="A55" s="750">
        <f t="shared" si="1"/>
        <v>49</v>
      </c>
      <c r="B55" s="751" t="s">
        <v>3062</v>
      </c>
      <c r="C55" s="1126" t="s">
        <v>90</v>
      </c>
      <c r="D55" s="750" t="s">
        <v>92</v>
      </c>
      <c r="E55" s="750" t="s">
        <v>3633</v>
      </c>
      <c r="F55" s="752">
        <v>46116</v>
      </c>
      <c r="G55" s="752">
        <v>46130</v>
      </c>
      <c r="H55" s="752">
        <v>46130</v>
      </c>
      <c r="I55" s="752">
        <v>46132</v>
      </c>
      <c r="J55" s="752">
        <v>46133</v>
      </c>
      <c r="K55" s="752">
        <v>46139</v>
      </c>
      <c r="L55" s="752">
        <v>46139</v>
      </c>
      <c r="M55" s="941" t="s">
        <v>631</v>
      </c>
      <c r="N55" s="941" t="s">
        <v>631</v>
      </c>
      <c r="O55" s="750" t="s">
        <v>86</v>
      </c>
      <c r="P55" s="750">
        <v>10</v>
      </c>
      <c r="Q55" s="858"/>
    </row>
    <row r="56" spans="1:18" s="1039" customFormat="1" ht="30" customHeight="1">
      <c r="A56" s="750">
        <f t="shared" si="1"/>
        <v>50</v>
      </c>
      <c r="B56" s="751" t="s">
        <v>2948</v>
      </c>
      <c r="C56" s="1126" t="s">
        <v>1319</v>
      </c>
      <c r="D56" s="750" t="s">
        <v>1765</v>
      </c>
      <c r="E56" s="750" t="s">
        <v>3633</v>
      </c>
      <c r="F56" s="752">
        <v>46127</v>
      </c>
      <c r="G56" s="752">
        <v>46138</v>
      </c>
      <c r="H56" s="752">
        <v>46139</v>
      </c>
      <c r="I56" s="752">
        <v>46139</v>
      </c>
      <c r="J56" s="752">
        <v>46140</v>
      </c>
      <c r="K56" s="752">
        <v>46141</v>
      </c>
      <c r="L56" s="752">
        <v>46141</v>
      </c>
      <c r="M56" s="941" t="s">
        <v>631</v>
      </c>
      <c r="N56" s="941" t="s">
        <v>631</v>
      </c>
      <c r="O56" s="750" t="s">
        <v>3092</v>
      </c>
      <c r="P56" s="750">
        <v>10</v>
      </c>
      <c r="Q56" s="858"/>
    </row>
    <row r="57" spans="1:18" s="1039" customFormat="1" ht="30" customHeight="1">
      <c r="A57" s="750">
        <f t="shared" si="1"/>
        <v>51</v>
      </c>
      <c r="B57" s="751" t="s">
        <v>2976</v>
      </c>
      <c r="C57" s="1126" t="s">
        <v>2212</v>
      </c>
      <c r="D57" s="750" t="s">
        <v>92</v>
      </c>
      <c r="E57" s="750" t="s">
        <v>3633</v>
      </c>
      <c r="F57" s="752">
        <v>46131</v>
      </c>
      <c r="G57" s="752">
        <v>46146</v>
      </c>
      <c r="H57" s="752">
        <v>46147</v>
      </c>
      <c r="I57" s="752">
        <v>46147</v>
      </c>
      <c r="J57" s="752">
        <v>46147</v>
      </c>
      <c r="K57" s="752">
        <v>46149</v>
      </c>
      <c r="L57" s="752">
        <v>46149</v>
      </c>
      <c r="M57" s="941" t="s">
        <v>631</v>
      </c>
      <c r="N57" s="941" t="s">
        <v>631</v>
      </c>
      <c r="O57" s="750" t="s">
        <v>2840</v>
      </c>
      <c r="P57" s="750">
        <v>13</v>
      </c>
      <c r="Q57" s="858"/>
    </row>
    <row r="58" spans="1:18" s="1039" customFormat="1" ht="30" customHeight="1">
      <c r="A58" s="750">
        <f t="shared" si="1"/>
        <v>52</v>
      </c>
      <c r="B58" s="751" t="s">
        <v>3065</v>
      </c>
      <c r="C58" s="1126" t="s">
        <v>2212</v>
      </c>
      <c r="D58" s="750" t="s">
        <v>92</v>
      </c>
      <c r="E58" s="750" t="s">
        <v>3633</v>
      </c>
      <c r="F58" s="752">
        <v>46131</v>
      </c>
      <c r="G58" s="752">
        <v>46158</v>
      </c>
      <c r="H58" s="752">
        <v>46159</v>
      </c>
      <c r="I58" s="752">
        <v>46171</v>
      </c>
      <c r="J58" s="752">
        <v>46171</v>
      </c>
      <c r="K58" s="752">
        <v>46171</v>
      </c>
      <c r="L58" s="752">
        <v>46171</v>
      </c>
      <c r="M58" s="941" t="s">
        <v>631</v>
      </c>
      <c r="N58" s="941"/>
      <c r="O58" s="750" t="s">
        <v>86</v>
      </c>
      <c r="P58" s="750">
        <v>10</v>
      </c>
      <c r="Q58" s="858"/>
    </row>
    <row r="59" spans="1:18" s="1039" customFormat="1" ht="30" customHeight="1">
      <c r="A59" s="750">
        <f t="shared" si="1"/>
        <v>53</v>
      </c>
      <c r="B59" s="751" t="s">
        <v>3069</v>
      </c>
      <c r="C59" s="1126" t="s">
        <v>1953</v>
      </c>
      <c r="D59" s="750" t="s">
        <v>92</v>
      </c>
      <c r="E59" s="750" t="s">
        <v>3633</v>
      </c>
      <c r="F59" s="752">
        <v>46133</v>
      </c>
      <c r="G59" s="752">
        <v>46158</v>
      </c>
      <c r="H59" s="752">
        <v>46159</v>
      </c>
      <c r="I59" s="752">
        <v>46162</v>
      </c>
      <c r="J59" s="752">
        <v>46162</v>
      </c>
      <c r="K59" s="752">
        <v>46163</v>
      </c>
      <c r="L59" s="752">
        <v>46163</v>
      </c>
      <c r="M59" s="941" t="s">
        <v>631</v>
      </c>
      <c r="N59" s="941"/>
      <c r="O59" s="750" t="s">
        <v>3496</v>
      </c>
      <c r="P59" s="750">
        <v>7</v>
      </c>
      <c r="Q59" s="858"/>
    </row>
    <row r="60" spans="1:18" s="1039" customFormat="1" ht="30" customHeight="1">
      <c r="A60" s="750">
        <f t="shared" si="1"/>
        <v>54</v>
      </c>
      <c r="B60" s="751" t="s">
        <v>3501</v>
      </c>
      <c r="C60" s="1126" t="s">
        <v>1319</v>
      </c>
      <c r="D60" s="750" t="s">
        <v>1765</v>
      </c>
      <c r="E60" s="750" t="s">
        <v>3633</v>
      </c>
      <c r="F60" s="752">
        <v>46142</v>
      </c>
      <c r="G60" s="752">
        <v>46159</v>
      </c>
      <c r="H60" s="752">
        <v>46162</v>
      </c>
      <c r="I60" s="752">
        <v>46162</v>
      </c>
      <c r="J60" s="752">
        <v>46162</v>
      </c>
      <c r="K60" s="752">
        <v>46163</v>
      </c>
      <c r="L60" s="752">
        <v>46163</v>
      </c>
      <c r="M60" s="941" t="s">
        <v>631</v>
      </c>
      <c r="N60" s="941" t="s">
        <v>631</v>
      </c>
      <c r="O60" s="750" t="s">
        <v>3092</v>
      </c>
      <c r="P60" s="750">
        <v>10</v>
      </c>
      <c r="Q60" s="858"/>
    </row>
    <row r="61" spans="1:18" s="1039" customFormat="1" ht="36" customHeight="1">
      <c r="A61" s="750">
        <f t="shared" si="1"/>
        <v>55</v>
      </c>
      <c r="B61" s="751" t="s">
        <v>2867</v>
      </c>
      <c r="C61" s="1126" t="s">
        <v>1319</v>
      </c>
      <c r="D61" s="750" t="s">
        <v>1765</v>
      </c>
      <c r="E61" s="750" t="s">
        <v>3633</v>
      </c>
      <c r="F61" s="752">
        <v>46147</v>
      </c>
      <c r="G61" s="752">
        <v>46167</v>
      </c>
      <c r="H61" s="752">
        <v>46167</v>
      </c>
      <c r="I61" s="752">
        <v>46167</v>
      </c>
      <c r="J61" s="752">
        <v>46168</v>
      </c>
      <c r="K61" s="752">
        <v>46171</v>
      </c>
      <c r="L61" s="752">
        <v>46171</v>
      </c>
      <c r="M61" s="941" t="s">
        <v>631</v>
      </c>
      <c r="N61" s="941"/>
      <c r="O61" s="750" t="s">
        <v>3493</v>
      </c>
      <c r="P61" s="750">
        <v>10</v>
      </c>
      <c r="Q61" s="858"/>
    </row>
    <row r="62" spans="1:18" s="1039" customFormat="1" ht="36" customHeight="1">
      <c r="A62" s="750">
        <f t="shared" si="1"/>
        <v>56</v>
      </c>
      <c r="B62" s="751" t="s">
        <v>2974</v>
      </c>
      <c r="C62" s="1126" t="s">
        <v>1935</v>
      </c>
      <c r="D62" s="750" t="s">
        <v>1765</v>
      </c>
      <c r="E62" s="750" t="s">
        <v>3633</v>
      </c>
      <c r="F62" s="752">
        <v>46147</v>
      </c>
      <c r="G62" s="752">
        <v>46161</v>
      </c>
      <c r="H62" s="752">
        <v>46164</v>
      </c>
      <c r="I62" s="752">
        <v>46166</v>
      </c>
      <c r="J62" s="752">
        <v>46166</v>
      </c>
      <c r="K62" s="752">
        <v>46173</v>
      </c>
      <c r="L62" s="752">
        <v>46173</v>
      </c>
      <c r="M62" s="941" t="s">
        <v>631</v>
      </c>
      <c r="N62" s="941"/>
      <c r="O62" s="750" t="s">
        <v>2840</v>
      </c>
      <c r="P62" s="750">
        <v>13</v>
      </c>
      <c r="Q62" s="858"/>
    </row>
    <row r="63" spans="1:18" s="1039" customFormat="1" ht="30" customHeight="1">
      <c r="A63" s="750">
        <f t="shared" si="1"/>
        <v>57</v>
      </c>
      <c r="B63" s="751" t="s">
        <v>3426</v>
      </c>
      <c r="C63" s="1126" t="s">
        <v>1319</v>
      </c>
      <c r="D63" s="750" t="s">
        <v>92</v>
      </c>
      <c r="E63" s="750" t="s">
        <v>3633</v>
      </c>
      <c r="F63" s="752">
        <v>46152</v>
      </c>
      <c r="G63" s="752">
        <v>46171</v>
      </c>
      <c r="H63" s="752">
        <v>46171</v>
      </c>
      <c r="I63" s="752">
        <v>46171</v>
      </c>
      <c r="J63" s="752">
        <v>46173</v>
      </c>
      <c r="K63" s="752">
        <v>46173</v>
      </c>
      <c r="L63" s="752">
        <v>46173</v>
      </c>
      <c r="M63" s="941" t="s">
        <v>631</v>
      </c>
      <c r="N63" s="941" t="s">
        <v>631</v>
      </c>
      <c r="O63" s="750" t="s">
        <v>3253</v>
      </c>
      <c r="P63" s="750">
        <v>10</v>
      </c>
      <c r="Q63" s="858"/>
    </row>
    <row r="64" spans="1:18" s="1039" customFormat="1" ht="30" customHeight="1">
      <c r="A64" s="750">
        <f t="shared" si="1"/>
        <v>58</v>
      </c>
      <c r="B64" s="751" t="s">
        <v>3059</v>
      </c>
      <c r="C64" s="1126" t="s">
        <v>1269</v>
      </c>
      <c r="D64" s="750" t="s">
        <v>92</v>
      </c>
      <c r="E64" s="750" t="s">
        <v>3591</v>
      </c>
      <c r="F64" s="752">
        <v>46157</v>
      </c>
      <c r="G64" s="752">
        <v>46161</v>
      </c>
      <c r="H64" s="752">
        <v>46162</v>
      </c>
      <c r="I64" s="752">
        <v>46162</v>
      </c>
      <c r="J64" s="752">
        <v>46163</v>
      </c>
      <c r="K64" s="752">
        <v>46164</v>
      </c>
      <c r="L64" s="752">
        <v>46164</v>
      </c>
      <c r="M64" s="941" t="s">
        <v>631</v>
      </c>
      <c r="N64" s="941"/>
      <c r="O64" s="750" t="s">
        <v>86</v>
      </c>
      <c r="P64" s="750">
        <v>10</v>
      </c>
      <c r="Q64" s="858"/>
      <c r="R64" s="1039" t="s">
        <v>3591</v>
      </c>
    </row>
    <row r="65" spans="1:17" s="1039" customFormat="1" ht="30" customHeight="1">
      <c r="A65" s="750">
        <f t="shared" ref="A65:A84" si="2">A64+1</f>
        <v>59</v>
      </c>
      <c r="B65" s="751" t="s">
        <v>3055</v>
      </c>
      <c r="C65" s="1126" t="s">
        <v>1953</v>
      </c>
      <c r="D65" s="750" t="s">
        <v>92</v>
      </c>
      <c r="E65" s="750" t="s">
        <v>3591</v>
      </c>
      <c r="F65" s="752">
        <v>46158</v>
      </c>
      <c r="G65" s="752">
        <v>46192</v>
      </c>
      <c r="H65" s="752">
        <v>46194</v>
      </c>
      <c r="I65" s="752">
        <v>46194</v>
      </c>
      <c r="J65" s="752">
        <v>46194</v>
      </c>
      <c r="K65" s="752">
        <v>46196</v>
      </c>
      <c r="L65" s="752">
        <v>46196</v>
      </c>
      <c r="M65" s="941" t="s">
        <v>631</v>
      </c>
      <c r="N65" s="941"/>
      <c r="O65" s="750" t="s">
        <v>3577</v>
      </c>
      <c r="P65" s="750">
        <v>14</v>
      </c>
      <c r="Q65" s="858"/>
    </row>
    <row r="66" spans="1:17" s="1039" customFormat="1" ht="30" customHeight="1">
      <c r="A66" s="750">
        <f t="shared" si="2"/>
        <v>60</v>
      </c>
      <c r="B66" s="751" t="s">
        <v>3590</v>
      </c>
      <c r="C66" s="1126" t="s">
        <v>1319</v>
      </c>
      <c r="D66" s="750" t="s">
        <v>1765</v>
      </c>
      <c r="E66" s="750" t="s">
        <v>3633</v>
      </c>
      <c r="F66" s="752">
        <v>46165</v>
      </c>
      <c r="G66" s="752">
        <v>46178</v>
      </c>
      <c r="H66" s="752">
        <v>46181</v>
      </c>
      <c r="I66" s="752">
        <v>46181</v>
      </c>
      <c r="J66" s="752">
        <v>46181</v>
      </c>
      <c r="K66" s="752">
        <v>46182</v>
      </c>
      <c r="L66" s="752">
        <v>46182</v>
      </c>
      <c r="M66" s="941" t="s">
        <v>631</v>
      </c>
      <c r="N66" s="941"/>
      <c r="O66" s="750" t="s">
        <v>3092</v>
      </c>
      <c r="P66" s="750">
        <v>11</v>
      </c>
      <c r="Q66" s="858"/>
    </row>
    <row r="67" spans="1:17" s="1039" customFormat="1" ht="30" customHeight="1">
      <c r="A67" s="750">
        <f t="shared" si="2"/>
        <v>61</v>
      </c>
      <c r="B67" s="751" t="s">
        <v>3070</v>
      </c>
      <c r="C67" s="1126" t="s">
        <v>1995</v>
      </c>
      <c r="D67" s="750" t="s">
        <v>92</v>
      </c>
      <c r="E67" s="750" t="s">
        <v>3591</v>
      </c>
      <c r="F67" s="752">
        <v>46165</v>
      </c>
      <c r="G67" s="752">
        <v>46199</v>
      </c>
      <c r="H67" s="752">
        <v>46200</v>
      </c>
      <c r="I67" s="752">
        <v>46200</v>
      </c>
      <c r="J67" s="752">
        <v>46200</v>
      </c>
      <c r="K67" s="752">
        <v>46202</v>
      </c>
      <c r="L67" s="752">
        <v>46202</v>
      </c>
      <c r="M67" s="941" t="s">
        <v>631</v>
      </c>
      <c r="N67" s="941"/>
      <c r="O67" s="750" t="s">
        <v>3496</v>
      </c>
      <c r="P67" s="750">
        <v>7</v>
      </c>
      <c r="Q67" s="858"/>
    </row>
    <row r="68" spans="1:17" s="1039" customFormat="1" ht="30" customHeight="1">
      <c r="A68" s="750">
        <f t="shared" si="2"/>
        <v>62</v>
      </c>
      <c r="B68" s="751" t="s">
        <v>2971</v>
      </c>
      <c r="C68" s="1126" t="s">
        <v>1319</v>
      </c>
      <c r="D68" s="750" t="s">
        <v>92</v>
      </c>
      <c r="E68" s="750" t="s">
        <v>3633</v>
      </c>
      <c r="F68" s="752">
        <v>46167</v>
      </c>
      <c r="G68" s="752">
        <v>46178</v>
      </c>
      <c r="H68" s="752">
        <v>46179</v>
      </c>
      <c r="I68" s="752">
        <v>46179</v>
      </c>
      <c r="J68" s="752">
        <v>46182</v>
      </c>
      <c r="K68" s="752">
        <v>46198</v>
      </c>
      <c r="L68" s="752">
        <v>46198</v>
      </c>
      <c r="M68" s="941" t="s">
        <v>631</v>
      </c>
      <c r="N68" s="941"/>
      <c r="O68" s="750" t="s">
        <v>2840</v>
      </c>
      <c r="P68" s="750">
        <v>13</v>
      </c>
      <c r="Q68" s="858"/>
    </row>
    <row r="69" spans="1:17" s="1039" customFormat="1" ht="30" customHeight="1">
      <c r="A69" s="750">
        <f t="shared" si="2"/>
        <v>63</v>
      </c>
      <c r="B69" s="751" t="s">
        <v>2951</v>
      </c>
      <c r="C69" s="1126" t="s">
        <v>2212</v>
      </c>
      <c r="D69" s="750" t="s">
        <v>1765</v>
      </c>
      <c r="E69" s="750" t="s">
        <v>3633</v>
      </c>
      <c r="F69" s="752">
        <v>46175</v>
      </c>
      <c r="G69" s="752">
        <v>46185</v>
      </c>
      <c r="H69" s="752">
        <v>46185</v>
      </c>
      <c r="I69" s="752">
        <v>46186</v>
      </c>
      <c r="J69" s="752">
        <v>46187</v>
      </c>
      <c r="K69" s="752">
        <v>46190</v>
      </c>
      <c r="L69" s="752">
        <v>46190</v>
      </c>
      <c r="M69" s="941" t="s">
        <v>631</v>
      </c>
      <c r="N69" s="941"/>
      <c r="O69" s="750" t="s">
        <v>3493</v>
      </c>
      <c r="P69" s="750">
        <v>11</v>
      </c>
      <c r="Q69" s="858"/>
    </row>
    <row r="70" spans="1:17" s="1039" customFormat="1" ht="30" customHeight="1">
      <c r="A70" s="750">
        <f t="shared" si="2"/>
        <v>64</v>
      </c>
      <c r="B70" s="751" t="s">
        <v>3056</v>
      </c>
      <c r="C70" s="1126" t="s">
        <v>1269</v>
      </c>
      <c r="D70" s="750" t="s">
        <v>92</v>
      </c>
      <c r="E70" s="750" t="s">
        <v>3591</v>
      </c>
      <c r="F70" s="752">
        <v>46184</v>
      </c>
      <c r="G70" s="752">
        <v>46203</v>
      </c>
      <c r="H70" s="752">
        <v>46210</v>
      </c>
      <c r="I70" s="752">
        <v>46210</v>
      </c>
      <c r="J70" s="752">
        <v>46212</v>
      </c>
      <c r="K70" s="752">
        <v>46214</v>
      </c>
      <c r="L70" s="752">
        <v>46214</v>
      </c>
      <c r="M70" s="941" t="s">
        <v>631</v>
      </c>
      <c r="N70" s="941"/>
      <c r="O70" s="750" t="s">
        <v>3577</v>
      </c>
      <c r="P70" s="750">
        <v>14</v>
      </c>
      <c r="Q70" s="858"/>
    </row>
    <row r="71" spans="1:17" s="1039" customFormat="1" ht="30" customHeight="1">
      <c r="A71" s="1012">
        <f t="shared" si="2"/>
        <v>65</v>
      </c>
      <c r="B71" s="1013" t="s">
        <v>2928</v>
      </c>
      <c r="C71" s="1119" t="s">
        <v>1953</v>
      </c>
      <c r="D71" s="1012" t="s">
        <v>92</v>
      </c>
      <c r="E71" s="1012" t="s">
        <v>3633</v>
      </c>
      <c r="F71" s="1015">
        <v>46194</v>
      </c>
      <c r="G71" s="1015"/>
      <c r="H71" s="1015"/>
      <c r="I71" s="1015"/>
      <c r="J71" s="1015"/>
      <c r="K71" s="1015"/>
      <c r="L71" s="1015"/>
      <c r="M71" s="929" t="s">
        <v>22</v>
      </c>
      <c r="N71" s="929"/>
      <c r="O71" s="927" t="s">
        <v>2840</v>
      </c>
      <c r="P71" s="927">
        <v>13</v>
      </c>
      <c r="Q71" s="794" t="s">
        <v>3728</v>
      </c>
    </row>
    <row r="72" spans="1:17" s="1039" customFormat="1" ht="37.5">
      <c r="A72" s="1012">
        <f t="shared" si="2"/>
        <v>66</v>
      </c>
      <c r="B72" s="1013" t="s">
        <v>2915</v>
      </c>
      <c r="C72" s="1119" t="s">
        <v>2212</v>
      </c>
      <c r="D72" s="1012" t="s">
        <v>92</v>
      </c>
      <c r="E72" s="1012" t="s">
        <v>3591</v>
      </c>
      <c r="F72" s="1015">
        <v>46189</v>
      </c>
      <c r="G72" s="1015">
        <v>46202</v>
      </c>
      <c r="H72" s="1015"/>
      <c r="I72" s="1015"/>
      <c r="J72" s="1015"/>
      <c r="K72" s="1015"/>
      <c r="L72" s="1015"/>
      <c r="M72" s="929" t="s">
        <v>22</v>
      </c>
      <c r="N72" s="929"/>
      <c r="O72" s="927" t="s">
        <v>3092</v>
      </c>
      <c r="P72" s="927">
        <v>13</v>
      </c>
      <c r="Q72" s="794" t="s">
        <v>3729</v>
      </c>
    </row>
    <row r="73" spans="1:17" s="1039" customFormat="1" ht="30" customHeight="1">
      <c r="A73" s="1012">
        <f t="shared" si="2"/>
        <v>67</v>
      </c>
      <c r="B73" s="1013" t="s">
        <v>3031</v>
      </c>
      <c r="C73" s="1119" t="s">
        <v>1269</v>
      </c>
      <c r="D73" s="1012" t="s">
        <v>92</v>
      </c>
      <c r="E73" s="1012" t="s">
        <v>3591</v>
      </c>
      <c r="F73" s="1015">
        <v>46193</v>
      </c>
      <c r="G73" s="1015"/>
      <c r="H73" s="1015"/>
      <c r="I73" s="1015"/>
      <c r="J73" s="1015"/>
      <c r="K73" s="1015"/>
      <c r="L73" s="1015"/>
      <c r="M73" s="929" t="s">
        <v>22</v>
      </c>
      <c r="N73" s="929"/>
      <c r="O73" s="927" t="s">
        <v>3631</v>
      </c>
      <c r="P73" s="927">
        <v>13</v>
      </c>
      <c r="Q73" s="794" t="s">
        <v>3730</v>
      </c>
    </row>
    <row r="74" spans="1:17" s="1039" customFormat="1" ht="30" customHeight="1">
      <c r="A74" s="750">
        <f t="shared" si="2"/>
        <v>68</v>
      </c>
      <c r="B74" s="751" t="s">
        <v>3033</v>
      </c>
      <c r="C74" s="1126" t="s">
        <v>1977</v>
      </c>
      <c r="D74" s="750" t="s">
        <v>92</v>
      </c>
      <c r="E74" s="750" t="s">
        <v>3591</v>
      </c>
      <c r="F74" s="752">
        <v>46193</v>
      </c>
      <c r="G74" s="752">
        <v>46201</v>
      </c>
      <c r="H74" s="752">
        <v>46201</v>
      </c>
      <c r="I74" s="752">
        <v>46202</v>
      </c>
      <c r="J74" s="752">
        <v>46202</v>
      </c>
      <c r="K74" s="752">
        <v>46203</v>
      </c>
      <c r="L74" s="752">
        <v>46203</v>
      </c>
      <c r="M74" s="941" t="s">
        <v>631</v>
      </c>
      <c r="N74" s="941"/>
      <c r="O74" s="750" t="s">
        <v>86</v>
      </c>
      <c r="P74" s="750">
        <v>10</v>
      </c>
      <c r="Q74" s="858"/>
    </row>
    <row r="75" spans="1:17" s="1039" customFormat="1" ht="30" customHeight="1">
      <c r="A75" s="1012">
        <f t="shared" si="2"/>
        <v>69</v>
      </c>
      <c r="B75" s="1013" t="s">
        <v>3634</v>
      </c>
      <c r="C75" s="1119" t="s">
        <v>2023</v>
      </c>
      <c r="D75" s="1012" t="s">
        <v>92</v>
      </c>
      <c r="E75" s="1012" t="s">
        <v>3633</v>
      </c>
      <c r="F75" s="1015">
        <v>46189</v>
      </c>
      <c r="G75" s="1015"/>
      <c r="H75" s="1015"/>
      <c r="I75" s="1015"/>
      <c r="J75" s="1015"/>
      <c r="K75" s="1015"/>
      <c r="L75" s="1015"/>
      <c r="M75" s="929" t="s">
        <v>22</v>
      </c>
      <c r="N75" s="929"/>
      <c r="O75" s="927" t="s">
        <v>3631</v>
      </c>
      <c r="P75" s="927"/>
      <c r="Q75" s="794" t="s">
        <v>3664</v>
      </c>
    </row>
    <row r="76" spans="1:17" s="1039" customFormat="1" ht="30" customHeight="1">
      <c r="A76" s="1012">
        <f t="shared" si="2"/>
        <v>70</v>
      </c>
      <c r="B76" s="1013" t="s">
        <v>3044</v>
      </c>
      <c r="C76" s="1119" t="s">
        <v>3251</v>
      </c>
      <c r="D76" s="1012" t="s">
        <v>92</v>
      </c>
      <c r="E76" s="1012" t="s">
        <v>3591</v>
      </c>
      <c r="F76" s="1015">
        <v>46201</v>
      </c>
      <c r="G76" s="1015"/>
      <c r="H76" s="1015"/>
      <c r="I76" s="1015"/>
      <c r="J76" s="1015"/>
      <c r="K76" s="1015"/>
      <c r="L76" s="1015"/>
      <c r="M76" s="929" t="s">
        <v>22</v>
      </c>
      <c r="N76" s="929"/>
      <c r="O76" s="927" t="s">
        <v>3133</v>
      </c>
      <c r="P76" s="927">
        <v>10</v>
      </c>
      <c r="Q76" s="794" t="s">
        <v>3709</v>
      </c>
    </row>
    <row r="77" spans="1:17" s="1039" customFormat="1" ht="30" customHeight="1">
      <c r="A77" s="1012">
        <f t="shared" si="2"/>
        <v>71</v>
      </c>
      <c r="B77" s="1013" t="s">
        <v>3039</v>
      </c>
      <c r="C77" s="1119" t="s">
        <v>1934</v>
      </c>
      <c r="D77" s="1012" t="s">
        <v>1765</v>
      </c>
      <c r="E77" s="1012" t="s">
        <v>3591</v>
      </c>
      <c r="F77" s="1015">
        <v>46192</v>
      </c>
      <c r="G77" s="1015">
        <v>46217</v>
      </c>
      <c r="H77" s="1015">
        <v>46218</v>
      </c>
      <c r="I77" s="1015">
        <v>46218</v>
      </c>
      <c r="J77" s="1015"/>
      <c r="K77" s="1015"/>
      <c r="L77" s="1015"/>
      <c r="M77" s="929" t="s">
        <v>22</v>
      </c>
      <c r="N77" s="929"/>
      <c r="O77" s="927" t="s">
        <v>2838</v>
      </c>
      <c r="P77" s="927">
        <v>13</v>
      </c>
      <c r="Q77" s="794" t="s">
        <v>3731</v>
      </c>
    </row>
    <row r="78" spans="1:17" s="1039" customFormat="1" ht="30" customHeight="1">
      <c r="A78" s="1012">
        <f t="shared" si="2"/>
        <v>72</v>
      </c>
      <c r="B78" s="1013" t="s">
        <v>3054</v>
      </c>
      <c r="C78" s="1119" t="s">
        <v>1995</v>
      </c>
      <c r="D78" s="1012" t="s">
        <v>92</v>
      </c>
      <c r="E78" s="1012" t="s">
        <v>3591</v>
      </c>
      <c r="F78" s="1015">
        <v>46199</v>
      </c>
      <c r="G78" s="1015">
        <v>46218</v>
      </c>
      <c r="H78" s="1015">
        <v>46219</v>
      </c>
      <c r="I78" s="1015"/>
      <c r="J78" s="1015"/>
      <c r="K78" s="1015"/>
      <c r="L78" s="1015"/>
      <c r="M78" s="929" t="s">
        <v>22</v>
      </c>
      <c r="N78" s="929"/>
      <c r="O78" s="927" t="s">
        <v>3577</v>
      </c>
      <c r="P78" s="927">
        <v>14</v>
      </c>
      <c r="Q78" s="794" t="s">
        <v>3732</v>
      </c>
    </row>
    <row r="79" spans="1:17" s="1039" customFormat="1" ht="30" customHeight="1">
      <c r="A79" s="1012">
        <f t="shared" si="2"/>
        <v>73</v>
      </c>
      <c r="B79" s="1013" t="s">
        <v>2927</v>
      </c>
      <c r="C79" s="1119" t="s">
        <v>2197</v>
      </c>
      <c r="D79" s="1012" t="s">
        <v>92</v>
      </c>
      <c r="E79" s="1012" t="s">
        <v>3633</v>
      </c>
      <c r="F79" s="1015">
        <v>46201</v>
      </c>
      <c r="G79" s="1015"/>
      <c r="H79" s="1015"/>
      <c r="I79" s="1015"/>
      <c r="J79" s="1015"/>
      <c r="K79" s="1015"/>
      <c r="L79" s="1015"/>
      <c r="M79" s="929" t="s">
        <v>22</v>
      </c>
      <c r="N79" s="929"/>
      <c r="O79" s="927" t="s">
        <v>3493</v>
      </c>
      <c r="P79" s="927">
        <v>12</v>
      </c>
      <c r="Q79" s="794" t="s">
        <v>3665</v>
      </c>
    </row>
    <row r="80" spans="1:17" s="1039" customFormat="1" ht="30" customHeight="1">
      <c r="A80" s="1012">
        <f t="shared" si="2"/>
        <v>74</v>
      </c>
      <c r="B80" s="1013" t="s">
        <v>3061</v>
      </c>
      <c r="C80" s="1119" t="s">
        <v>1402</v>
      </c>
      <c r="D80" s="1012" t="s">
        <v>92</v>
      </c>
      <c r="E80" s="1012" t="s">
        <v>3591</v>
      </c>
      <c r="F80" s="1015">
        <v>46202</v>
      </c>
      <c r="G80" s="1015"/>
      <c r="H80" s="1015"/>
      <c r="I80" s="1015"/>
      <c r="J80" s="1015"/>
      <c r="K80" s="1015"/>
      <c r="L80" s="1015"/>
      <c r="M80" s="929" t="s">
        <v>22</v>
      </c>
      <c r="N80" s="929"/>
      <c r="O80" s="927" t="s">
        <v>3660</v>
      </c>
      <c r="P80" s="927">
        <v>15</v>
      </c>
      <c r="Q80" s="794" t="s">
        <v>3666</v>
      </c>
    </row>
    <row r="81" spans="1:17" s="1039" customFormat="1" ht="30" customHeight="1">
      <c r="A81" s="1012">
        <f t="shared" si="2"/>
        <v>75</v>
      </c>
      <c r="B81" s="1013" t="s">
        <v>2885</v>
      </c>
      <c r="C81" s="1119" t="s">
        <v>1277</v>
      </c>
      <c r="D81" s="1012" t="s">
        <v>92</v>
      </c>
      <c r="E81" s="1012" t="s">
        <v>3591</v>
      </c>
      <c r="F81" s="1015">
        <v>46205</v>
      </c>
      <c r="G81" s="1015">
        <v>46218</v>
      </c>
      <c r="H81" s="1015"/>
      <c r="I81" s="1015"/>
      <c r="J81" s="1015"/>
      <c r="K81" s="1015"/>
      <c r="L81" s="1015"/>
      <c r="M81" s="929" t="s">
        <v>22</v>
      </c>
      <c r="N81" s="929"/>
      <c r="O81" s="927" t="s">
        <v>3498</v>
      </c>
      <c r="P81" s="927">
        <v>8</v>
      </c>
      <c r="Q81" s="794" t="s">
        <v>3717</v>
      </c>
    </row>
    <row r="82" spans="1:17" s="1039" customFormat="1" ht="30" customHeight="1">
      <c r="A82" s="1012">
        <f t="shared" si="2"/>
        <v>76</v>
      </c>
      <c r="B82" s="1013" t="s">
        <v>3034</v>
      </c>
      <c r="C82" s="1119" t="s">
        <v>3251</v>
      </c>
      <c r="D82" s="1012" t="s">
        <v>92</v>
      </c>
      <c r="E82" s="1012" t="s">
        <v>3591</v>
      </c>
      <c r="F82" s="1015">
        <v>46208</v>
      </c>
      <c r="G82" s="1015"/>
      <c r="H82" s="1015"/>
      <c r="I82" s="1015"/>
      <c r="J82" s="1015"/>
      <c r="K82" s="1015"/>
      <c r="L82" s="1015"/>
      <c r="M82" s="929" t="s">
        <v>22</v>
      </c>
      <c r="N82" s="929"/>
      <c r="O82" s="927" t="s">
        <v>86</v>
      </c>
      <c r="P82" s="927">
        <v>10</v>
      </c>
      <c r="Q82" s="794" t="s">
        <v>3687</v>
      </c>
    </row>
    <row r="83" spans="1:17" s="1039" customFormat="1" ht="30" customHeight="1">
      <c r="A83" s="1012">
        <f t="shared" si="2"/>
        <v>77</v>
      </c>
      <c r="B83" s="1013" t="s">
        <v>2892</v>
      </c>
      <c r="C83" s="1119" t="s">
        <v>1269</v>
      </c>
      <c r="D83" s="1012" t="s">
        <v>92</v>
      </c>
      <c r="E83" s="1012" t="s">
        <v>3591</v>
      </c>
      <c r="F83" s="1015">
        <v>46208</v>
      </c>
      <c r="G83" s="1015"/>
      <c r="H83" s="1015"/>
      <c r="I83" s="1015"/>
      <c r="J83" s="1015"/>
      <c r="K83" s="1015"/>
      <c r="L83" s="1015"/>
      <c r="M83" s="929" t="s">
        <v>22</v>
      </c>
      <c r="N83" s="929"/>
      <c r="O83" s="927" t="s">
        <v>3496</v>
      </c>
      <c r="P83" s="927">
        <v>12</v>
      </c>
      <c r="Q83" s="794" t="s">
        <v>3491</v>
      </c>
    </row>
    <row r="84" spans="1:17" s="1039" customFormat="1" ht="30" customHeight="1">
      <c r="A84" s="1012">
        <f t="shared" si="2"/>
        <v>78</v>
      </c>
      <c r="B84" s="1013" t="s">
        <v>3068</v>
      </c>
      <c r="C84" s="1119" t="s">
        <v>2662</v>
      </c>
      <c r="D84" s="1012" t="s">
        <v>92</v>
      </c>
      <c r="E84" s="1012" t="s">
        <v>3591</v>
      </c>
      <c r="F84" s="1015">
        <v>46215</v>
      </c>
      <c r="G84" s="1015"/>
      <c r="H84" s="1015"/>
      <c r="I84" s="1015"/>
      <c r="J84" s="1015"/>
      <c r="K84" s="1015"/>
      <c r="L84" s="1015"/>
      <c r="M84" s="929" t="s">
        <v>22</v>
      </c>
      <c r="N84" s="929"/>
      <c r="O84" s="927" t="s">
        <v>3660</v>
      </c>
      <c r="P84" s="927">
        <v>5</v>
      </c>
      <c r="Q84" s="794" t="s">
        <v>3491</v>
      </c>
    </row>
  </sheetData>
  <autoFilter ref="A6:Q84" xr:uid="{F0B569F2-8232-44B1-9A8D-202F3F5E5D6A}"/>
  <mergeCells count="12">
    <mergeCell ref="A5:A6"/>
    <mergeCell ref="B5:B6"/>
    <mergeCell ref="C5:C6"/>
    <mergeCell ref="D5:D6"/>
    <mergeCell ref="F5:F6"/>
    <mergeCell ref="E5:E6"/>
    <mergeCell ref="O11:O12"/>
    <mergeCell ref="P11:P12"/>
    <mergeCell ref="M5:M6"/>
    <mergeCell ref="N5:N6"/>
    <mergeCell ref="G5:K5"/>
    <mergeCell ref="L5:L6"/>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70C0"/>
  </sheetPr>
  <dimension ref="B1:J28"/>
  <sheetViews>
    <sheetView zoomScaleNormal="100" workbookViewId="0">
      <selection activeCell="H18" sqref="H18"/>
    </sheetView>
  </sheetViews>
  <sheetFormatPr defaultColWidth="8.7265625" defaultRowHeight="14.5"/>
  <cols>
    <col min="1" max="1" width="8.7265625" style="773"/>
    <col min="2" max="2" width="11" style="776" bestFit="1" customWidth="1"/>
    <col min="3" max="3" width="21.6328125" style="773" bestFit="1" customWidth="1"/>
    <col min="4" max="4" width="14.1796875" style="776" bestFit="1" customWidth="1"/>
    <col min="5" max="5" width="6.26953125" style="773" customWidth="1"/>
    <col min="6" max="6" width="5.453125" style="773" bestFit="1" customWidth="1"/>
    <col min="7" max="7" width="18.6328125" style="773" bestFit="1" customWidth="1"/>
    <col min="8" max="8" width="10.7265625" style="773" bestFit="1" customWidth="1"/>
    <col min="9" max="9" width="6.26953125" style="776" customWidth="1"/>
    <col min="10" max="10" width="8.90625" style="773" bestFit="1" customWidth="1"/>
    <col min="11" max="11" width="8.7265625" style="773" customWidth="1"/>
    <col min="12" max="16384" width="8.7265625" style="773"/>
  </cols>
  <sheetData>
    <row r="1" spans="2:10">
      <c r="I1" s="777" t="s">
        <v>570</v>
      </c>
      <c r="J1" s="1329">
        <f>'Foundation JS-Line -Jammu'!P1</f>
        <v>46219</v>
      </c>
    </row>
    <row r="2" spans="2:10">
      <c r="B2" s="1587"/>
      <c r="C2" s="1587"/>
      <c r="D2" s="1587"/>
      <c r="E2" s="1587"/>
      <c r="F2" s="1587"/>
      <c r="G2" s="1587"/>
      <c r="H2" s="1587"/>
      <c r="I2" s="1587"/>
      <c r="J2" s="1587"/>
    </row>
    <row r="3" spans="2:10" s="774" customFormat="1">
      <c r="B3" s="1588" t="s">
        <v>2182</v>
      </c>
      <c r="C3" s="1588"/>
      <c r="D3" s="1117" t="s">
        <v>2401</v>
      </c>
      <c r="E3" s="1117" t="s">
        <v>2183</v>
      </c>
      <c r="F3" s="1588" t="s">
        <v>2182</v>
      </c>
      <c r="G3" s="1588"/>
      <c r="H3" s="1117" t="s">
        <v>2401</v>
      </c>
      <c r="I3" s="1117" t="s">
        <v>2183</v>
      </c>
      <c r="J3" s="954"/>
    </row>
    <row r="4" spans="2:10">
      <c r="B4" s="1117" t="s">
        <v>3099</v>
      </c>
      <c r="C4" s="1118" t="s">
        <v>28</v>
      </c>
      <c r="D4" s="1118"/>
      <c r="E4" s="1118"/>
      <c r="F4" s="1117" t="s">
        <v>3099</v>
      </c>
      <c r="G4" s="1118" t="s">
        <v>610</v>
      </c>
      <c r="H4" s="1118"/>
      <c r="I4" s="1118"/>
      <c r="J4" s="776"/>
    </row>
    <row r="5" spans="2:10">
      <c r="B5" s="1296">
        <v>1</v>
      </c>
      <c r="C5" s="1266" t="s">
        <v>3106</v>
      </c>
      <c r="D5" s="1267" t="s">
        <v>2872</v>
      </c>
      <c r="E5" s="1268">
        <v>16</v>
      </c>
      <c r="F5" s="1182">
        <v>1</v>
      </c>
      <c r="G5" s="1294" t="s">
        <v>3292</v>
      </c>
      <c r="H5" s="1330" t="s">
        <v>2874</v>
      </c>
      <c r="I5" s="1182">
        <v>22</v>
      </c>
      <c r="J5" s="776"/>
    </row>
    <row r="6" spans="2:10">
      <c r="B6" s="1269">
        <v>2</v>
      </c>
      <c r="C6" s="1288" t="s">
        <v>3603</v>
      </c>
      <c r="D6" s="1269" t="s">
        <v>2873</v>
      </c>
      <c r="E6" s="1270">
        <v>20</v>
      </c>
      <c r="F6" s="1182">
        <v>2</v>
      </c>
      <c r="G6" s="1185" t="s">
        <v>3284</v>
      </c>
      <c r="H6" s="1186" t="s">
        <v>2872</v>
      </c>
      <c r="I6" s="1182">
        <v>25</v>
      </c>
      <c r="J6" s="776"/>
    </row>
    <row r="7" spans="2:10">
      <c r="B7" s="1265">
        <v>3</v>
      </c>
      <c r="C7" s="1266" t="s">
        <v>3092</v>
      </c>
      <c r="D7" s="1267" t="s">
        <v>2874</v>
      </c>
      <c r="E7" s="1268">
        <v>13</v>
      </c>
      <c r="F7" s="1182">
        <v>3</v>
      </c>
      <c r="G7" s="1289" t="s">
        <v>3349</v>
      </c>
      <c r="H7" s="1186" t="s">
        <v>2872</v>
      </c>
      <c r="I7" s="1183">
        <v>20</v>
      </c>
      <c r="J7" s="776"/>
    </row>
    <row r="8" spans="2:10">
      <c r="B8" s="1265">
        <v>4</v>
      </c>
      <c r="C8" s="1266" t="s">
        <v>2840</v>
      </c>
      <c r="D8" s="1267" t="s">
        <v>2874</v>
      </c>
      <c r="E8" s="1268">
        <v>13</v>
      </c>
      <c r="F8" s="1182">
        <v>4</v>
      </c>
      <c r="G8" s="1261" t="s">
        <v>3569</v>
      </c>
      <c r="H8" s="1261" t="s">
        <v>2874</v>
      </c>
      <c r="I8" s="1182">
        <v>18</v>
      </c>
      <c r="J8" s="776"/>
    </row>
    <row r="9" spans="2:10">
      <c r="B9" s="1265">
        <v>5</v>
      </c>
      <c r="C9" s="1266" t="s">
        <v>86</v>
      </c>
      <c r="D9" s="1267" t="s">
        <v>2874</v>
      </c>
      <c r="E9" s="1265">
        <v>10</v>
      </c>
      <c r="F9" s="1182">
        <v>5</v>
      </c>
      <c r="G9" s="1183" t="s">
        <v>3592</v>
      </c>
      <c r="H9" s="1261" t="s">
        <v>2874</v>
      </c>
      <c r="I9" s="1183">
        <v>20</v>
      </c>
      <c r="J9" s="776"/>
    </row>
    <row r="10" spans="2:10">
      <c r="B10" s="1265">
        <v>6</v>
      </c>
      <c r="C10" s="1336" t="s">
        <v>3493</v>
      </c>
      <c r="D10" s="1267" t="s">
        <v>2874</v>
      </c>
      <c r="E10" s="1265">
        <v>12</v>
      </c>
      <c r="F10" s="1182">
        <v>6</v>
      </c>
      <c r="G10" s="1187" t="s">
        <v>1360</v>
      </c>
      <c r="H10" s="1184" t="s">
        <v>2873</v>
      </c>
      <c r="I10" s="1183">
        <v>26</v>
      </c>
      <c r="J10" s="776"/>
    </row>
    <row r="11" spans="2:10">
      <c r="B11" s="1267">
        <v>7</v>
      </c>
      <c r="C11" s="1271" t="s">
        <v>3253</v>
      </c>
      <c r="D11" s="1267" t="s">
        <v>2874</v>
      </c>
      <c r="E11" s="1268">
        <v>13</v>
      </c>
      <c r="F11" s="1182">
        <v>7</v>
      </c>
      <c r="G11" s="1290" t="s">
        <v>3604</v>
      </c>
      <c r="H11" s="1184" t="s">
        <v>2873</v>
      </c>
      <c r="I11" s="1182">
        <v>24</v>
      </c>
      <c r="J11" s="776"/>
    </row>
    <row r="12" spans="2:10">
      <c r="B12" s="1267">
        <v>8</v>
      </c>
      <c r="C12" s="1271" t="s">
        <v>3496</v>
      </c>
      <c r="D12" s="1267" t="s">
        <v>2874</v>
      </c>
      <c r="E12" s="1265">
        <v>12</v>
      </c>
      <c r="F12" s="1182">
        <v>8</v>
      </c>
      <c r="G12" s="1290" t="s">
        <v>3605</v>
      </c>
      <c r="H12" s="1261" t="s">
        <v>2874</v>
      </c>
      <c r="I12" s="1182">
        <v>22</v>
      </c>
      <c r="J12" s="776"/>
    </row>
    <row r="13" spans="2:10">
      <c r="B13" s="1267">
        <v>9</v>
      </c>
      <c r="C13" s="1271" t="s">
        <v>3577</v>
      </c>
      <c r="D13" s="1267" t="s">
        <v>2874</v>
      </c>
      <c r="E13" s="1265">
        <v>14</v>
      </c>
      <c r="F13" s="1182">
        <v>9</v>
      </c>
      <c r="G13" s="1334" t="s">
        <v>3662</v>
      </c>
      <c r="H13" s="1276" t="s">
        <v>2872</v>
      </c>
      <c r="I13" s="1182">
        <v>30</v>
      </c>
      <c r="J13" s="776"/>
    </row>
    <row r="14" spans="2:10">
      <c r="B14" s="1325">
        <v>10</v>
      </c>
      <c r="C14" s="1271" t="s">
        <v>3508</v>
      </c>
      <c r="D14" s="1267" t="s">
        <v>2872</v>
      </c>
      <c r="E14" s="1265">
        <v>18</v>
      </c>
      <c r="F14" s="1182">
        <f t="shared" ref="F14:F18" si="0">F13+1</f>
        <v>10</v>
      </c>
      <c r="G14" s="1338" t="s">
        <v>3674</v>
      </c>
      <c r="H14" s="1261" t="s">
        <v>2874</v>
      </c>
      <c r="I14" s="1182">
        <v>20</v>
      </c>
      <c r="J14" s="776"/>
    </row>
    <row r="15" spans="2:10">
      <c r="B15" s="1267">
        <v>11</v>
      </c>
      <c r="C15" s="1307" t="s">
        <v>3133</v>
      </c>
      <c r="D15" s="1308" t="s">
        <v>2874</v>
      </c>
      <c r="E15" s="1265">
        <v>10</v>
      </c>
      <c r="F15" s="1182">
        <f t="shared" si="0"/>
        <v>11</v>
      </c>
      <c r="G15" s="1342" t="s">
        <v>3680</v>
      </c>
      <c r="H15" s="1261" t="s">
        <v>2874</v>
      </c>
      <c r="I15" s="1182">
        <v>30</v>
      </c>
      <c r="J15" s="776"/>
    </row>
    <row r="16" spans="2:10">
      <c r="B16" s="1267">
        <v>12</v>
      </c>
      <c r="C16" s="1332" t="s">
        <v>3660</v>
      </c>
      <c r="D16" s="1333" t="s">
        <v>2874</v>
      </c>
      <c r="E16" s="1265">
        <v>15</v>
      </c>
      <c r="F16" s="1182">
        <f t="shared" si="0"/>
        <v>12</v>
      </c>
      <c r="G16" s="1342" t="s">
        <v>3681</v>
      </c>
      <c r="H16" s="1261" t="s">
        <v>2874</v>
      </c>
      <c r="I16" s="1182">
        <v>30</v>
      </c>
      <c r="J16" s="776"/>
    </row>
    <row r="17" spans="2:10">
      <c r="B17" s="1267">
        <v>13</v>
      </c>
      <c r="C17" s="1337" t="s">
        <v>3498</v>
      </c>
      <c r="D17" s="1333" t="s">
        <v>2874</v>
      </c>
      <c r="E17" s="1265">
        <v>8</v>
      </c>
      <c r="F17" s="1182">
        <f t="shared" si="0"/>
        <v>13</v>
      </c>
      <c r="G17" s="1342" t="s">
        <v>3682</v>
      </c>
      <c r="H17" s="1276" t="s">
        <v>2872</v>
      </c>
      <c r="I17" s="1182">
        <v>35</v>
      </c>
      <c r="J17" s="776"/>
    </row>
    <row r="18" spans="2:10">
      <c r="B18" s="1267">
        <v>14</v>
      </c>
      <c r="C18" s="1337" t="s">
        <v>3667</v>
      </c>
      <c r="D18" s="1344" t="s">
        <v>2874</v>
      </c>
      <c r="E18" s="1265">
        <v>13</v>
      </c>
      <c r="F18" s="1182">
        <f t="shared" si="0"/>
        <v>14</v>
      </c>
      <c r="G18" s="1730" t="s">
        <v>3733</v>
      </c>
      <c r="H18" s="1261" t="s">
        <v>2874</v>
      </c>
      <c r="I18" s="1182">
        <v>18</v>
      </c>
      <c r="J18" s="776"/>
    </row>
    <row r="19" spans="2:10">
      <c r="B19" s="1267">
        <v>15</v>
      </c>
      <c r="C19" s="1271" t="s">
        <v>3409</v>
      </c>
      <c r="D19" s="1267" t="s">
        <v>2712</v>
      </c>
      <c r="E19" s="1265">
        <v>13</v>
      </c>
      <c r="F19" s="1592" t="s">
        <v>2182</v>
      </c>
      <c r="G19" s="1593"/>
      <c r="H19" s="1117" t="s">
        <v>2401</v>
      </c>
      <c r="I19" s="1117" t="s">
        <v>2183</v>
      </c>
      <c r="J19" s="776"/>
    </row>
    <row r="20" spans="2:10">
      <c r="B20" s="1267">
        <v>16</v>
      </c>
      <c r="C20" s="1271" t="s">
        <v>3204</v>
      </c>
      <c r="D20" s="1267" t="s">
        <v>2712</v>
      </c>
      <c r="E20" s="1265">
        <v>12</v>
      </c>
      <c r="F20" s="1117" t="s">
        <v>3099</v>
      </c>
      <c r="G20" s="1118" t="s">
        <v>614</v>
      </c>
      <c r="H20" s="1118"/>
      <c r="I20" s="1118"/>
      <c r="J20" s="776"/>
    </row>
    <row r="21" spans="2:10">
      <c r="B21" s="1267">
        <v>17</v>
      </c>
      <c r="C21" s="1271" t="s">
        <v>3492</v>
      </c>
      <c r="D21" s="1267" t="s">
        <v>2712</v>
      </c>
      <c r="E21" s="1265">
        <v>14</v>
      </c>
      <c r="F21" s="1183">
        <v>1</v>
      </c>
      <c r="G21" s="1183" t="s">
        <v>3580</v>
      </c>
      <c r="H21" s="1276" t="s">
        <v>2872</v>
      </c>
      <c r="I21" s="1183">
        <v>35</v>
      </c>
      <c r="J21" s="776"/>
    </row>
    <row r="22" spans="2:10">
      <c r="B22" s="1267">
        <v>18</v>
      </c>
      <c r="C22" s="1298" t="s">
        <v>3620</v>
      </c>
      <c r="D22" s="1299" t="s">
        <v>2712</v>
      </c>
      <c r="E22" s="1265">
        <v>12</v>
      </c>
      <c r="F22" s="1182">
        <f>F21+1</f>
        <v>2</v>
      </c>
      <c r="G22" s="1303" t="s">
        <v>3635</v>
      </c>
      <c r="H22" s="1276" t="s">
        <v>2872</v>
      </c>
      <c r="I22" s="1182">
        <v>25</v>
      </c>
      <c r="J22" s="776"/>
    </row>
    <row r="23" spans="2:10">
      <c r="B23" s="1267">
        <v>19</v>
      </c>
      <c r="C23" s="1302" t="s">
        <v>3213</v>
      </c>
      <c r="D23" s="1299" t="s">
        <v>2712</v>
      </c>
      <c r="E23" s="1265">
        <v>14</v>
      </c>
      <c r="F23" s="1182">
        <f>F22+1</f>
        <v>3</v>
      </c>
      <c r="G23" s="1324" t="s">
        <v>3653</v>
      </c>
      <c r="H23" s="1276" t="s">
        <v>2872</v>
      </c>
      <c r="I23" s="1182">
        <v>80</v>
      </c>
      <c r="J23" s="776"/>
    </row>
    <row r="24" spans="2:10">
      <c r="B24" s="1362">
        <v>20</v>
      </c>
      <c r="C24" s="1363" t="s">
        <v>3716</v>
      </c>
      <c r="D24" s="1364" t="s">
        <v>2873</v>
      </c>
      <c r="E24" s="1365">
        <v>5</v>
      </c>
      <c r="F24" s="1340"/>
      <c r="G24" s="1340"/>
      <c r="H24" s="1340"/>
      <c r="I24" s="1341"/>
      <c r="J24" s="776"/>
    </row>
    <row r="25" spans="2:10">
      <c r="B25" s="1589" t="s">
        <v>2185</v>
      </c>
      <c r="C25" s="1590"/>
      <c r="D25" s="1591"/>
      <c r="E25" s="775">
        <f>SUM(E5:E24)</f>
        <v>257</v>
      </c>
      <c r="F25" s="775"/>
      <c r="G25" s="775" t="s">
        <v>2185</v>
      </c>
      <c r="H25" s="775"/>
      <c r="I25" s="775">
        <f>346+140</f>
        <v>486</v>
      </c>
      <c r="J25" s="776"/>
    </row>
    <row r="26" spans="2:10">
      <c r="B26" s="773"/>
      <c r="D26" s="773"/>
    </row>
    <row r="28" spans="2:10">
      <c r="B28" s="1167"/>
    </row>
  </sheetData>
  <mergeCells count="5">
    <mergeCell ref="B2:J2"/>
    <mergeCell ref="B3:C3"/>
    <mergeCell ref="F3:G3"/>
    <mergeCell ref="B25:D25"/>
    <mergeCell ref="F19:G19"/>
  </mergeCells>
  <pageMargins left="0.7" right="0.7" top="0.75" bottom="0.75" header="0.3" footer="0.3"/>
  <pageSetup paperSize="9" scale="70" orientation="landscape"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ECD9F-C27A-470B-A753-C5B5978E8CFE}">
  <sheetPr>
    <tabColor rgb="FF0070C0"/>
  </sheetPr>
  <dimension ref="C2:H6"/>
  <sheetViews>
    <sheetView workbookViewId="0">
      <selection activeCell="E6" sqref="E6"/>
    </sheetView>
  </sheetViews>
  <sheetFormatPr defaultRowHeight="14.5"/>
  <cols>
    <col min="1" max="2" width="8.7265625" style="1316"/>
    <col min="3" max="3" width="4.6328125" style="1316" bestFit="1" customWidth="1"/>
    <col min="4" max="4" width="22.08984375" style="1316" bestFit="1" customWidth="1"/>
    <col min="5" max="5" width="13.7265625" style="1316" customWidth="1"/>
    <col min="6" max="6" width="10.1796875" style="1316" customWidth="1"/>
    <col min="7" max="16384" width="8.7265625" style="1316"/>
  </cols>
  <sheetData>
    <row r="2" spans="3:8" ht="43.5">
      <c r="C2" s="1314" t="s">
        <v>1782</v>
      </c>
      <c r="D2" s="1314" t="s">
        <v>2401</v>
      </c>
      <c r="E2" s="1315" t="s">
        <v>3647</v>
      </c>
      <c r="F2" s="1315" t="s">
        <v>3648</v>
      </c>
      <c r="G2" s="1314" t="s">
        <v>593</v>
      </c>
      <c r="H2" s="1314" t="s">
        <v>2689</v>
      </c>
    </row>
    <row r="3" spans="3:8">
      <c r="C3" s="1317">
        <v>1</v>
      </c>
      <c r="D3" s="1317" t="s">
        <v>3649</v>
      </c>
      <c r="E3" s="1317">
        <v>96</v>
      </c>
      <c r="F3" s="1317">
        <f>26+7</f>
        <v>33</v>
      </c>
      <c r="G3" s="1317">
        <f>E3-F3</f>
        <v>63</v>
      </c>
      <c r="H3" s="1317">
        <v>3</v>
      </c>
    </row>
    <row r="4" spans="3:8">
      <c r="C4" s="1317">
        <f>C3+1</f>
        <v>2</v>
      </c>
      <c r="D4" s="1317" t="s">
        <v>3650</v>
      </c>
      <c r="E4" s="1317">
        <v>153</v>
      </c>
      <c r="F4" s="1317">
        <v>44</v>
      </c>
      <c r="G4" s="1317">
        <f>E4-F4</f>
        <v>109</v>
      </c>
      <c r="H4" s="1317"/>
    </row>
    <row r="5" spans="3:8">
      <c r="C5" s="1317">
        <f>C4+1</f>
        <v>3</v>
      </c>
      <c r="D5" s="1318" t="s">
        <v>2835</v>
      </c>
      <c r="E5" s="1317">
        <v>10</v>
      </c>
      <c r="F5" s="1317"/>
      <c r="G5" s="1317">
        <f>E5-F5</f>
        <v>10</v>
      </c>
      <c r="H5" s="1317"/>
    </row>
    <row r="6" spans="3:8">
      <c r="C6" s="1594" t="s">
        <v>994</v>
      </c>
      <c r="D6" s="1594"/>
      <c r="E6" s="1319">
        <f>SUM(E3:E5)</f>
        <v>259</v>
      </c>
      <c r="F6" s="1319">
        <f>SUM(F3:F5)</f>
        <v>77</v>
      </c>
      <c r="G6" s="1319">
        <f>SUM(G3:G5)</f>
        <v>182</v>
      </c>
      <c r="H6" s="1319">
        <f>SUM(H3:H5)</f>
        <v>3</v>
      </c>
    </row>
  </sheetData>
  <mergeCells count="1">
    <mergeCell ref="C6:D6"/>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13EE4-23C8-4EA5-8413-294572E3A8CA}">
  <sheetPr>
    <tabColor rgb="FF00B050"/>
  </sheetPr>
  <dimension ref="A1:K30"/>
  <sheetViews>
    <sheetView showZeros="0" topLeftCell="E16"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6" width="8.7265625" style="1198"/>
    <col min="257" max="257" width="6.1796875" style="1198" bestFit="1" customWidth="1"/>
    <col min="258" max="258" width="19.6328125" style="1198" bestFit="1" customWidth="1"/>
    <col min="259" max="259" width="5.08984375" style="1198" bestFit="1" customWidth="1"/>
    <col min="260" max="261" width="12.6328125" style="1198" bestFit="1" customWidth="1"/>
    <col min="262" max="262" width="13.453125" style="1198" customWidth="1"/>
    <col min="263" max="264" width="16.08984375" style="1198" bestFit="1" customWidth="1"/>
    <col min="265" max="265" width="8.6328125" style="1198" bestFit="1" customWidth="1"/>
    <col min="266" max="266" width="7.6328125" style="1198" bestFit="1" customWidth="1"/>
    <col min="267" max="267" width="70.36328125" style="1198" bestFit="1" customWidth="1"/>
    <col min="268" max="512" width="8.7265625" style="1198"/>
    <col min="513" max="513" width="6.1796875" style="1198" bestFit="1" customWidth="1"/>
    <col min="514" max="514" width="19.6328125" style="1198" bestFit="1" customWidth="1"/>
    <col min="515" max="515" width="5.08984375" style="1198" bestFit="1" customWidth="1"/>
    <col min="516" max="517" width="12.6328125" style="1198" bestFit="1" customWidth="1"/>
    <col min="518" max="518" width="13.453125" style="1198" customWidth="1"/>
    <col min="519" max="520" width="16.08984375" style="1198" bestFit="1" customWidth="1"/>
    <col min="521" max="521" width="8.6328125" style="1198" bestFit="1" customWidth="1"/>
    <col min="522" max="522" width="7.6328125" style="1198" bestFit="1" customWidth="1"/>
    <col min="523" max="523" width="70.36328125" style="1198" bestFit="1" customWidth="1"/>
    <col min="524" max="768" width="8.7265625" style="1198"/>
    <col min="769" max="769" width="6.1796875" style="1198" bestFit="1" customWidth="1"/>
    <col min="770" max="770" width="19.6328125" style="1198" bestFit="1" customWidth="1"/>
    <col min="771" max="771" width="5.08984375" style="1198" bestFit="1" customWidth="1"/>
    <col min="772" max="773" width="12.6328125" style="1198" bestFit="1" customWidth="1"/>
    <col min="774" max="774" width="13.453125" style="1198" customWidth="1"/>
    <col min="775" max="776" width="16.08984375" style="1198" bestFit="1" customWidth="1"/>
    <col min="777" max="777" width="8.6328125" style="1198" bestFit="1" customWidth="1"/>
    <col min="778" max="778" width="7.6328125" style="1198" bestFit="1" customWidth="1"/>
    <col min="779" max="779" width="70.36328125" style="1198" bestFit="1" customWidth="1"/>
    <col min="780" max="1024" width="8.7265625" style="1198"/>
    <col min="1025" max="1025" width="6.1796875" style="1198" bestFit="1" customWidth="1"/>
    <col min="1026" max="1026" width="19.6328125" style="1198" bestFit="1" customWidth="1"/>
    <col min="1027" max="1027" width="5.08984375" style="1198" bestFit="1" customWidth="1"/>
    <col min="1028" max="1029" width="12.6328125" style="1198" bestFit="1" customWidth="1"/>
    <col min="1030" max="1030" width="13.453125" style="1198" customWidth="1"/>
    <col min="1031" max="1032" width="16.08984375" style="1198" bestFit="1" customWidth="1"/>
    <col min="1033" max="1033" width="8.6328125" style="1198" bestFit="1" customWidth="1"/>
    <col min="1034" max="1034" width="7.6328125" style="1198" bestFit="1" customWidth="1"/>
    <col min="1035" max="1035" width="70.36328125" style="1198" bestFit="1" customWidth="1"/>
    <col min="1036" max="1280" width="8.7265625" style="1198"/>
    <col min="1281" max="1281" width="6.1796875" style="1198" bestFit="1" customWidth="1"/>
    <col min="1282" max="1282" width="19.6328125" style="1198" bestFit="1" customWidth="1"/>
    <col min="1283" max="1283" width="5.08984375" style="1198" bestFit="1" customWidth="1"/>
    <col min="1284" max="1285" width="12.6328125" style="1198" bestFit="1" customWidth="1"/>
    <col min="1286" max="1286" width="13.453125" style="1198" customWidth="1"/>
    <col min="1287" max="1288" width="16.08984375" style="1198" bestFit="1" customWidth="1"/>
    <col min="1289" max="1289" width="8.6328125" style="1198" bestFit="1" customWidth="1"/>
    <col min="1290" max="1290" width="7.6328125" style="1198" bestFit="1" customWidth="1"/>
    <col min="1291" max="1291" width="70.36328125" style="1198" bestFit="1" customWidth="1"/>
    <col min="1292" max="1536" width="8.7265625" style="1198"/>
    <col min="1537" max="1537" width="6.1796875" style="1198" bestFit="1" customWidth="1"/>
    <col min="1538" max="1538" width="19.6328125" style="1198" bestFit="1" customWidth="1"/>
    <col min="1539" max="1539" width="5.08984375" style="1198" bestFit="1" customWidth="1"/>
    <col min="1540" max="1541" width="12.6328125" style="1198" bestFit="1" customWidth="1"/>
    <col min="1542" max="1542" width="13.453125" style="1198" customWidth="1"/>
    <col min="1543" max="1544" width="16.08984375" style="1198" bestFit="1" customWidth="1"/>
    <col min="1545" max="1545" width="8.6328125" style="1198" bestFit="1" customWidth="1"/>
    <col min="1546" max="1546" width="7.6328125" style="1198" bestFit="1" customWidth="1"/>
    <col min="1547" max="1547" width="70.36328125" style="1198" bestFit="1" customWidth="1"/>
    <col min="1548" max="1792" width="8.7265625" style="1198"/>
    <col min="1793" max="1793" width="6.1796875" style="1198" bestFit="1" customWidth="1"/>
    <col min="1794" max="1794" width="19.6328125" style="1198" bestFit="1" customWidth="1"/>
    <col min="1795" max="1795" width="5.08984375" style="1198" bestFit="1" customWidth="1"/>
    <col min="1796" max="1797" width="12.6328125" style="1198" bestFit="1" customWidth="1"/>
    <col min="1798" max="1798" width="13.453125" style="1198" customWidth="1"/>
    <col min="1799" max="1800" width="16.08984375" style="1198" bestFit="1" customWidth="1"/>
    <col min="1801" max="1801" width="8.6328125" style="1198" bestFit="1" customWidth="1"/>
    <col min="1802" max="1802" width="7.6328125" style="1198" bestFit="1" customWidth="1"/>
    <col min="1803" max="1803" width="70.36328125" style="1198" bestFit="1" customWidth="1"/>
    <col min="1804" max="2048" width="8.7265625" style="1198"/>
    <col min="2049" max="2049" width="6.1796875" style="1198" bestFit="1" customWidth="1"/>
    <col min="2050" max="2050" width="19.6328125" style="1198" bestFit="1" customWidth="1"/>
    <col min="2051" max="2051" width="5.08984375" style="1198" bestFit="1" customWidth="1"/>
    <col min="2052" max="2053" width="12.6328125" style="1198" bestFit="1" customWidth="1"/>
    <col min="2054" max="2054" width="13.453125" style="1198" customWidth="1"/>
    <col min="2055" max="2056" width="16.08984375" style="1198" bestFit="1" customWidth="1"/>
    <col min="2057" max="2057" width="8.6328125" style="1198" bestFit="1" customWidth="1"/>
    <col min="2058" max="2058" width="7.6328125" style="1198" bestFit="1" customWidth="1"/>
    <col min="2059" max="2059" width="70.36328125" style="1198" bestFit="1" customWidth="1"/>
    <col min="2060" max="2304" width="8.7265625" style="1198"/>
    <col min="2305" max="2305" width="6.1796875" style="1198" bestFit="1" customWidth="1"/>
    <col min="2306" max="2306" width="19.6328125" style="1198" bestFit="1" customWidth="1"/>
    <col min="2307" max="2307" width="5.08984375" style="1198" bestFit="1" customWidth="1"/>
    <col min="2308" max="2309" width="12.6328125" style="1198" bestFit="1" customWidth="1"/>
    <col min="2310" max="2310" width="13.453125" style="1198" customWidth="1"/>
    <col min="2311" max="2312" width="16.08984375" style="1198" bestFit="1" customWidth="1"/>
    <col min="2313" max="2313" width="8.6328125" style="1198" bestFit="1" customWidth="1"/>
    <col min="2314" max="2314" width="7.6328125" style="1198" bestFit="1" customWidth="1"/>
    <col min="2315" max="2315" width="70.36328125" style="1198" bestFit="1" customWidth="1"/>
    <col min="2316" max="2560" width="8.7265625" style="1198"/>
    <col min="2561" max="2561" width="6.1796875" style="1198" bestFit="1" customWidth="1"/>
    <col min="2562" max="2562" width="19.6328125" style="1198" bestFit="1" customWidth="1"/>
    <col min="2563" max="2563" width="5.08984375" style="1198" bestFit="1" customWidth="1"/>
    <col min="2564" max="2565" width="12.6328125" style="1198" bestFit="1" customWidth="1"/>
    <col min="2566" max="2566" width="13.453125" style="1198" customWidth="1"/>
    <col min="2567" max="2568" width="16.08984375" style="1198" bestFit="1" customWidth="1"/>
    <col min="2569" max="2569" width="8.6328125" style="1198" bestFit="1" customWidth="1"/>
    <col min="2570" max="2570" width="7.6328125" style="1198" bestFit="1" customWidth="1"/>
    <col min="2571" max="2571" width="70.36328125" style="1198" bestFit="1" customWidth="1"/>
    <col min="2572" max="2816" width="8.7265625" style="1198"/>
    <col min="2817" max="2817" width="6.1796875" style="1198" bestFit="1" customWidth="1"/>
    <col min="2818" max="2818" width="19.6328125" style="1198" bestFit="1" customWidth="1"/>
    <col min="2819" max="2819" width="5.08984375" style="1198" bestFit="1" customWidth="1"/>
    <col min="2820" max="2821" width="12.6328125" style="1198" bestFit="1" customWidth="1"/>
    <col min="2822" max="2822" width="13.453125" style="1198" customWidth="1"/>
    <col min="2823" max="2824" width="16.08984375" style="1198" bestFit="1" customWidth="1"/>
    <col min="2825" max="2825" width="8.6328125" style="1198" bestFit="1" customWidth="1"/>
    <col min="2826" max="2826" width="7.6328125" style="1198" bestFit="1" customWidth="1"/>
    <col min="2827" max="2827" width="70.36328125" style="1198" bestFit="1" customWidth="1"/>
    <col min="2828" max="3072" width="8.7265625" style="1198"/>
    <col min="3073" max="3073" width="6.1796875" style="1198" bestFit="1" customWidth="1"/>
    <col min="3074" max="3074" width="19.6328125" style="1198" bestFit="1" customWidth="1"/>
    <col min="3075" max="3075" width="5.08984375" style="1198" bestFit="1" customWidth="1"/>
    <col min="3076" max="3077" width="12.6328125" style="1198" bestFit="1" customWidth="1"/>
    <col min="3078" max="3078" width="13.453125" style="1198" customWidth="1"/>
    <col min="3079" max="3080" width="16.08984375" style="1198" bestFit="1" customWidth="1"/>
    <col min="3081" max="3081" width="8.6328125" style="1198" bestFit="1" customWidth="1"/>
    <col min="3082" max="3082" width="7.6328125" style="1198" bestFit="1" customWidth="1"/>
    <col min="3083" max="3083" width="70.36328125" style="1198" bestFit="1" customWidth="1"/>
    <col min="3084" max="3328" width="8.7265625" style="1198"/>
    <col min="3329" max="3329" width="6.1796875" style="1198" bestFit="1" customWidth="1"/>
    <col min="3330" max="3330" width="19.6328125" style="1198" bestFit="1" customWidth="1"/>
    <col min="3331" max="3331" width="5.08984375" style="1198" bestFit="1" customWidth="1"/>
    <col min="3332" max="3333" width="12.6328125" style="1198" bestFit="1" customWidth="1"/>
    <col min="3334" max="3334" width="13.453125" style="1198" customWidth="1"/>
    <col min="3335" max="3336" width="16.08984375" style="1198" bestFit="1" customWidth="1"/>
    <col min="3337" max="3337" width="8.6328125" style="1198" bestFit="1" customWidth="1"/>
    <col min="3338" max="3338" width="7.6328125" style="1198" bestFit="1" customWidth="1"/>
    <col min="3339" max="3339" width="70.36328125" style="1198" bestFit="1" customWidth="1"/>
    <col min="3340" max="3584" width="8.7265625" style="1198"/>
    <col min="3585" max="3585" width="6.1796875" style="1198" bestFit="1" customWidth="1"/>
    <col min="3586" max="3586" width="19.6328125" style="1198" bestFit="1" customWidth="1"/>
    <col min="3587" max="3587" width="5.08984375" style="1198" bestFit="1" customWidth="1"/>
    <col min="3588" max="3589" width="12.6328125" style="1198" bestFit="1" customWidth="1"/>
    <col min="3590" max="3590" width="13.453125" style="1198" customWidth="1"/>
    <col min="3591" max="3592" width="16.08984375" style="1198" bestFit="1" customWidth="1"/>
    <col min="3593" max="3593" width="8.6328125" style="1198" bestFit="1" customWidth="1"/>
    <col min="3594" max="3594" width="7.6328125" style="1198" bestFit="1" customWidth="1"/>
    <col min="3595" max="3595" width="70.36328125" style="1198" bestFit="1" customWidth="1"/>
    <col min="3596" max="3840" width="8.7265625" style="1198"/>
    <col min="3841" max="3841" width="6.1796875" style="1198" bestFit="1" customWidth="1"/>
    <col min="3842" max="3842" width="19.6328125" style="1198" bestFit="1" customWidth="1"/>
    <col min="3843" max="3843" width="5.08984375" style="1198" bestFit="1" customWidth="1"/>
    <col min="3844" max="3845" width="12.6328125" style="1198" bestFit="1" customWidth="1"/>
    <col min="3846" max="3846" width="13.453125" style="1198" customWidth="1"/>
    <col min="3847" max="3848" width="16.08984375" style="1198" bestFit="1" customWidth="1"/>
    <col min="3849" max="3849" width="8.6328125" style="1198" bestFit="1" customWidth="1"/>
    <col min="3850" max="3850" width="7.6328125" style="1198" bestFit="1" customWidth="1"/>
    <col min="3851" max="3851" width="70.36328125" style="1198" bestFit="1" customWidth="1"/>
    <col min="3852" max="4096" width="8.7265625" style="1198"/>
    <col min="4097" max="4097" width="6.1796875" style="1198" bestFit="1" customWidth="1"/>
    <col min="4098" max="4098" width="19.6328125" style="1198" bestFit="1" customWidth="1"/>
    <col min="4099" max="4099" width="5.08984375" style="1198" bestFit="1" customWidth="1"/>
    <col min="4100" max="4101" width="12.6328125" style="1198" bestFit="1" customWidth="1"/>
    <col min="4102" max="4102" width="13.453125" style="1198" customWidth="1"/>
    <col min="4103" max="4104" width="16.08984375" style="1198" bestFit="1" customWidth="1"/>
    <col min="4105" max="4105" width="8.6328125" style="1198" bestFit="1" customWidth="1"/>
    <col min="4106" max="4106" width="7.6328125" style="1198" bestFit="1" customWidth="1"/>
    <col min="4107" max="4107" width="70.36328125" style="1198" bestFit="1" customWidth="1"/>
    <col min="4108" max="4352" width="8.7265625" style="1198"/>
    <col min="4353" max="4353" width="6.1796875" style="1198" bestFit="1" customWidth="1"/>
    <col min="4354" max="4354" width="19.6328125" style="1198" bestFit="1" customWidth="1"/>
    <col min="4355" max="4355" width="5.08984375" style="1198" bestFit="1" customWidth="1"/>
    <col min="4356" max="4357" width="12.6328125" style="1198" bestFit="1" customWidth="1"/>
    <col min="4358" max="4358" width="13.453125" style="1198" customWidth="1"/>
    <col min="4359" max="4360" width="16.08984375" style="1198" bestFit="1" customWidth="1"/>
    <col min="4361" max="4361" width="8.6328125" style="1198" bestFit="1" customWidth="1"/>
    <col min="4362" max="4362" width="7.6328125" style="1198" bestFit="1" customWidth="1"/>
    <col min="4363" max="4363" width="70.36328125" style="1198" bestFit="1" customWidth="1"/>
    <col min="4364" max="4608" width="8.7265625" style="1198"/>
    <col min="4609" max="4609" width="6.1796875" style="1198" bestFit="1" customWidth="1"/>
    <col min="4610" max="4610" width="19.6328125" style="1198" bestFit="1" customWidth="1"/>
    <col min="4611" max="4611" width="5.08984375" style="1198" bestFit="1" customWidth="1"/>
    <col min="4612" max="4613" width="12.6328125" style="1198" bestFit="1" customWidth="1"/>
    <col min="4614" max="4614" width="13.453125" style="1198" customWidth="1"/>
    <col min="4615" max="4616" width="16.08984375" style="1198" bestFit="1" customWidth="1"/>
    <col min="4617" max="4617" width="8.6328125" style="1198" bestFit="1" customWidth="1"/>
    <col min="4618" max="4618" width="7.6328125" style="1198" bestFit="1" customWidth="1"/>
    <col min="4619" max="4619" width="70.36328125" style="1198" bestFit="1" customWidth="1"/>
    <col min="4620" max="4864" width="8.7265625" style="1198"/>
    <col min="4865" max="4865" width="6.1796875" style="1198" bestFit="1" customWidth="1"/>
    <col min="4866" max="4866" width="19.6328125" style="1198" bestFit="1" customWidth="1"/>
    <col min="4867" max="4867" width="5.08984375" style="1198" bestFit="1" customWidth="1"/>
    <col min="4868" max="4869" width="12.6328125" style="1198" bestFit="1" customWidth="1"/>
    <col min="4870" max="4870" width="13.453125" style="1198" customWidth="1"/>
    <col min="4871" max="4872" width="16.08984375" style="1198" bestFit="1" customWidth="1"/>
    <col min="4873" max="4873" width="8.6328125" style="1198" bestFit="1" customWidth="1"/>
    <col min="4874" max="4874" width="7.6328125" style="1198" bestFit="1" customWidth="1"/>
    <col min="4875" max="4875" width="70.36328125" style="1198" bestFit="1" customWidth="1"/>
    <col min="4876" max="5120" width="8.7265625" style="1198"/>
    <col min="5121" max="5121" width="6.1796875" style="1198" bestFit="1" customWidth="1"/>
    <col min="5122" max="5122" width="19.6328125" style="1198" bestFit="1" customWidth="1"/>
    <col min="5123" max="5123" width="5.08984375" style="1198" bestFit="1" customWidth="1"/>
    <col min="5124" max="5125" width="12.6328125" style="1198" bestFit="1" customWidth="1"/>
    <col min="5126" max="5126" width="13.453125" style="1198" customWidth="1"/>
    <col min="5127" max="5128" width="16.08984375" style="1198" bestFit="1" customWidth="1"/>
    <col min="5129" max="5129" width="8.6328125" style="1198" bestFit="1" customWidth="1"/>
    <col min="5130" max="5130" width="7.6328125" style="1198" bestFit="1" customWidth="1"/>
    <col min="5131" max="5131" width="70.36328125" style="1198" bestFit="1" customWidth="1"/>
    <col min="5132" max="5376" width="8.7265625" style="1198"/>
    <col min="5377" max="5377" width="6.1796875" style="1198" bestFit="1" customWidth="1"/>
    <col min="5378" max="5378" width="19.6328125" style="1198" bestFit="1" customWidth="1"/>
    <col min="5379" max="5379" width="5.08984375" style="1198" bestFit="1" customWidth="1"/>
    <col min="5380" max="5381" width="12.6328125" style="1198" bestFit="1" customWidth="1"/>
    <col min="5382" max="5382" width="13.453125" style="1198" customWidth="1"/>
    <col min="5383" max="5384" width="16.08984375" style="1198" bestFit="1" customWidth="1"/>
    <col min="5385" max="5385" width="8.6328125" style="1198" bestFit="1" customWidth="1"/>
    <col min="5386" max="5386" width="7.6328125" style="1198" bestFit="1" customWidth="1"/>
    <col min="5387" max="5387" width="70.36328125" style="1198" bestFit="1" customWidth="1"/>
    <col min="5388" max="5632" width="8.7265625" style="1198"/>
    <col min="5633" max="5633" width="6.1796875" style="1198" bestFit="1" customWidth="1"/>
    <col min="5634" max="5634" width="19.6328125" style="1198" bestFit="1" customWidth="1"/>
    <col min="5635" max="5635" width="5.08984375" style="1198" bestFit="1" customWidth="1"/>
    <col min="5636" max="5637" width="12.6328125" style="1198" bestFit="1" customWidth="1"/>
    <col min="5638" max="5638" width="13.453125" style="1198" customWidth="1"/>
    <col min="5639" max="5640" width="16.08984375" style="1198" bestFit="1" customWidth="1"/>
    <col min="5641" max="5641" width="8.6328125" style="1198" bestFit="1" customWidth="1"/>
    <col min="5642" max="5642" width="7.6328125" style="1198" bestFit="1" customWidth="1"/>
    <col min="5643" max="5643" width="70.36328125" style="1198" bestFit="1" customWidth="1"/>
    <col min="5644" max="5888" width="8.7265625" style="1198"/>
    <col min="5889" max="5889" width="6.1796875" style="1198" bestFit="1" customWidth="1"/>
    <col min="5890" max="5890" width="19.6328125" style="1198" bestFit="1" customWidth="1"/>
    <col min="5891" max="5891" width="5.08984375" style="1198" bestFit="1" customWidth="1"/>
    <col min="5892" max="5893" width="12.6328125" style="1198" bestFit="1" customWidth="1"/>
    <col min="5894" max="5894" width="13.453125" style="1198" customWidth="1"/>
    <col min="5895" max="5896" width="16.08984375" style="1198" bestFit="1" customWidth="1"/>
    <col min="5897" max="5897" width="8.6328125" style="1198" bestFit="1" customWidth="1"/>
    <col min="5898" max="5898" width="7.6328125" style="1198" bestFit="1" customWidth="1"/>
    <col min="5899" max="5899" width="70.36328125" style="1198" bestFit="1" customWidth="1"/>
    <col min="5900" max="6144" width="8.7265625" style="1198"/>
    <col min="6145" max="6145" width="6.1796875" style="1198" bestFit="1" customWidth="1"/>
    <col min="6146" max="6146" width="19.6328125" style="1198" bestFit="1" customWidth="1"/>
    <col min="6147" max="6147" width="5.08984375" style="1198" bestFit="1" customWidth="1"/>
    <col min="6148" max="6149" width="12.6328125" style="1198" bestFit="1" customWidth="1"/>
    <col min="6150" max="6150" width="13.453125" style="1198" customWidth="1"/>
    <col min="6151" max="6152" width="16.08984375" style="1198" bestFit="1" customWidth="1"/>
    <col min="6153" max="6153" width="8.6328125" style="1198" bestFit="1" customWidth="1"/>
    <col min="6154" max="6154" width="7.6328125" style="1198" bestFit="1" customWidth="1"/>
    <col min="6155" max="6155" width="70.36328125" style="1198" bestFit="1" customWidth="1"/>
    <col min="6156" max="6400" width="8.7265625" style="1198"/>
    <col min="6401" max="6401" width="6.1796875" style="1198" bestFit="1" customWidth="1"/>
    <col min="6402" max="6402" width="19.6328125" style="1198" bestFit="1" customWidth="1"/>
    <col min="6403" max="6403" width="5.08984375" style="1198" bestFit="1" customWidth="1"/>
    <col min="6404" max="6405" width="12.6328125" style="1198" bestFit="1" customWidth="1"/>
    <col min="6406" max="6406" width="13.453125" style="1198" customWidth="1"/>
    <col min="6407" max="6408" width="16.08984375" style="1198" bestFit="1" customWidth="1"/>
    <col min="6409" max="6409" width="8.6328125" style="1198" bestFit="1" customWidth="1"/>
    <col min="6410" max="6410" width="7.6328125" style="1198" bestFit="1" customWidth="1"/>
    <col min="6411" max="6411" width="70.36328125" style="1198" bestFit="1" customWidth="1"/>
    <col min="6412" max="6656" width="8.7265625" style="1198"/>
    <col min="6657" max="6657" width="6.1796875" style="1198" bestFit="1" customWidth="1"/>
    <col min="6658" max="6658" width="19.6328125" style="1198" bestFit="1" customWidth="1"/>
    <col min="6659" max="6659" width="5.08984375" style="1198" bestFit="1" customWidth="1"/>
    <col min="6660" max="6661" width="12.6328125" style="1198" bestFit="1" customWidth="1"/>
    <col min="6662" max="6662" width="13.453125" style="1198" customWidth="1"/>
    <col min="6663" max="6664" width="16.08984375" style="1198" bestFit="1" customWidth="1"/>
    <col min="6665" max="6665" width="8.6328125" style="1198" bestFit="1" customWidth="1"/>
    <col min="6666" max="6666" width="7.6328125" style="1198" bestFit="1" customWidth="1"/>
    <col min="6667" max="6667" width="70.36328125" style="1198" bestFit="1" customWidth="1"/>
    <col min="6668" max="6912" width="8.7265625" style="1198"/>
    <col min="6913" max="6913" width="6.1796875" style="1198" bestFit="1" customWidth="1"/>
    <col min="6914" max="6914" width="19.6328125" style="1198" bestFit="1" customWidth="1"/>
    <col min="6915" max="6915" width="5.08984375" style="1198" bestFit="1" customWidth="1"/>
    <col min="6916" max="6917" width="12.6328125" style="1198" bestFit="1" customWidth="1"/>
    <col min="6918" max="6918" width="13.453125" style="1198" customWidth="1"/>
    <col min="6919" max="6920" width="16.08984375" style="1198" bestFit="1" customWidth="1"/>
    <col min="6921" max="6921" width="8.6328125" style="1198" bestFit="1" customWidth="1"/>
    <col min="6922" max="6922" width="7.6328125" style="1198" bestFit="1" customWidth="1"/>
    <col min="6923" max="6923" width="70.36328125" style="1198" bestFit="1" customWidth="1"/>
    <col min="6924" max="7168" width="8.7265625" style="1198"/>
    <col min="7169" max="7169" width="6.1796875" style="1198" bestFit="1" customWidth="1"/>
    <col min="7170" max="7170" width="19.6328125" style="1198" bestFit="1" customWidth="1"/>
    <col min="7171" max="7171" width="5.08984375" style="1198" bestFit="1" customWidth="1"/>
    <col min="7172" max="7173" width="12.6328125" style="1198" bestFit="1" customWidth="1"/>
    <col min="7174" max="7174" width="13.453125" style="1198" customWidth="1"/>
    <col min="7175" max="7176" width="16.08984375" style="1198" bestFit="1" customWidth="1"/>
    <col min="7177" max="7177" width="8.6328125" style="1198" bestFit="1" customWidth="1"/>
    <col min="7178" max="7178" width="7.6328125" style="1198" bestFit="1" customWidth="1"/>
    <col min="7179" max="7179" width="70.36328125" style="1198" bestFit="1" customWidth="1"/>
    <col min="7180" max="7424" width="8.7265625" style="1198"/>
    <col min="7425" max="7425" width="6.1796875" style="1198" bestFit="1" customWidth="1"/>
    <col min="7426" max="7426" width="19.6328125" style="1198" bestFit="1" customWidth="1"/>
    <col min="7427" max="7427" width="5.08984375" style="1198" bestFit="1" customWidth="1"/>
    <col min="7428" max="7429" width="12.6328125" style="1198" bestFit="1" customWidth="1"/>
    <col min="7430" max="7430" width="13.453125" style="1198" customWidth="1"/>
    <col min="7431" max="7432" width="16.08984375" style="1198" bestFit="1" customWidth="1"/>
    <col min="7433" max="7433" width="8.6328125" style="1198" bestFit="1" customWidth="1"/>
    <col min="7434" max="7434" width="7.6328125" style="1198" bestFit="1" customWidth="1"/>
    <col min="7435" max="7435" width="70.36328125" style="1198" bestFit="1" customWidth="1"/>
    <col min="7436" max="7680" width="8.7265625" style="1198"/>
    <col min="7681" max="7681" width="6.1796875" style="1198" bestFit="1" customWidth="1"/>
    <col min="7682" max="7682" width="19.6328125" style="1198" bestFit="1" customWidth="1"/>
    <col min="7683" max="7683" width="5.08984375" style="1198" bestFit="1" customWidth="1"/>
    <col min="7684" max="7685" width="12.6328125" style="1198" bestFit="1" customWidth="1"/>
    <col min="7686" max="7686" width="13.453125" style="1198" customWidth="1"/>
    <col min="7687" max="7688" width="16.08984375" style="1198" bestFit="1" customWidth="1"/>
    <col min="7689" max="7689" width="8.6328125" style="1198" bestFit="1" customWidth="1"/>
    <col min="7690" max="7690" width="7.6328125" style="1198" bestFit="1" customWidth="1"/>
    <col min="7691" max="7691" width="70.36328125" style="1198" bestFit="1" customWidth="1"/>
    <col min="7692" max="7936" width="8.7265625" style="1198"/>
    <col min="7937" max="7937" width="6.1796875" style="1198" bestFit="1" customWidth="1"/>
    <col min="7938" max="7938" width="19.6328125" style="1198" bestFit="1" customWidth="1"/>
    <col min="7939" max="7939" width="5.08984375" style="1198" bestFit="1" customWidth="1"/>
    <col min="7940" max="7941" width="12.6328125" style="1198" bestFit="1" customWidth="1"/>
    <col min="7942" max="7942" width="13.453125" style="1198" customWidth="1"/>
    <col min="7943" max="7944" width="16.08984375" style="1198" bestFit="1" customWidth="1"/>
    <col min="7945" max="7945" width="8.6328125" style="1198" bestFit="1" customWidth="1"/>
    <col min="7946" max="7946" width="7.6328125" style="1198" bestFit="1" customWidth="1"/>
    <col min="7947" max="7947" width="70.36328125" style="1198" bestFit="1" customWidth="1"/>
    <col min="7948" max="8192" width="8.7265625" style="1198"/>
    <col min="8193" max="8193" width="6.1796875" style="1198" bestFit="1" customWidth="1"/>
    <col min="8194" max="8194" width="19.6328125" style="1198" bestFit="1" customWidth="1"/>
    <col min="8195" max="8195" width="5.08984375" style="1198" bestFit="1" customWidth="1"/>
    <col min="8196" max="8197" width="12.6328125" style="1198" bestFit="1" customWidth="1"/>
    <col min="8198" max="8198" width="13.453125" style="1198" customWidth="1"/>
    <col min="8199" max="8200" width="16.08984375" style="1198" bestFit="1" customWidth="1"/>
    <col min="8201" max="8201" width="8.6328125" style="1198" bestFit="1" customWidth="1"/>
    <col min="8202" max="8202" width="7.6328125" style="1198" bestFit="1" customWidth="1"/>
    <col min="8203" max="8203" width="70.36328125" style="1198" bestFit="1" customWidth="1"/>
    <col min="8204" max="8448" width="8.7265625" style="1198"/>
    <col min="8449" max="8449" width="6.1796875" style="1198" bestFit="1" customWidth="1"/>
    <col min="8450" max="8450" width="19.6328125" style="1198" bestFit="1" customWidth="1"/>
    <col min="8451" max="8451" width="5.08984375" style="1198" bestFit="1" customWidth="1"/>
    <col min="8452" max="8453" width="12.6328125" style="1198" bestFit="1" customWidth="1"/>
    <col min="8454" max="8454" width="13.453125" style="1198" customWidth="1"/>
    <col min="8455" max="8456" width="16.08984375" style="1198" bestFit="1" customWidth="1"/>
    <col min="8457" max="8457" width="8.6328125" style="1198" bestFit="1" customWidth="1"/>
    <col min="8458" max="8458" width="7.6328125" style="1198" bestFit="1" customWidth="1"/>
    <col min="8459" max="8459" width="70.36328125" style="1198" bestFit="1" customWidth="1"/>
    <col min="8460" max="8704" width="8.7265625" style="1198"/>
    <col min="8705" max="8705" width="6.1796875" style="1198" bestFit="1" customWidth="1"/>
    <col min="8706" max="8706" width="19.6328125" style="1198" bestFit="1" customWidth="1"/>
    <col min="8707" max="8707" width="5.08984375" style="1198" bestFit="1" customWidth="1"/>
    <col min="8708" max="8709" width="12.6328125" style="1198" bestFit="1" customWidth="1"/>
    <col min="8710" max="8710" width="13.453125" style="1198" customWidth="1"/>
    <col min="8711" max="8712" width="16.08984375" style="1198" bestFit="1" customWidth="1"/>
    <col min="8713" max="8713" width="8.6328125" style="1198" bestFit="1" customWidth="1"/>
    <col min="8714" max="8714" width="7.6328125" style="1198" bestFit="1" customWidth="1"/>
    <col min="8715" max="8715" width="70.36328125" style="1198" bestFit="1" customWidth="1"/>
    <col min="8716" max="8960" width="8.7265625" style="1198"/>
    <col min="8961" max="8961" width="6.1796875" style="1198" bestFit="1" customWidth="1"/>
    <col min="8962" max="8962" width="19.6328125" style="1198" bestFit="1" customWidth="1"/>
    <col min="8963" max="8963" width="5.08984375" style="1198" bestFit="1" customWidth="1"/>
    <col min="8964" max="8965" width="12.6328125" style="1198" bestFit="1" customWidth="1"/>
    <col min="8966" max="8966" width="13.453125" style="1198" customWidth="1"/>
    <col min="8967" max="8968" width="16.08984375" style="1198" bestFit="1" customWidth="1"/>
    <col min="8969" max="8969" width="8.6328125" style="1198" bestFit="1" customWidth="1"/>
    <col min="8970" max="8970" width="7.6328125" style="1198" bestFit="1" customWidth="1"/>
    <col min="8971" max="8971" width="70.36328125" style="1198" bestFit="1" customWidth="1"/>
    <col min="8972" max="9216" width="8.7265625" style="1198"/>
    <col min="9217" max="9217" width="6.1796875" style="1198" bestFit="1" customWidth="1"/>
    <col min="9218" max="9218" width="19.6328125" style="1198" bestFit="1" customWidth="1"/>
    <col min="9219" max="9219" width="5.08984375" style="1198" bestFit="1" customWidth="1"/>
    <col min="9220" max="9221" width="12.6328125" style="1198" bestFit="1" customWidth="1"/>
    <col min="9222" max="9222" width="13.453125" style="1198" customWidth="1"/>
    <col min="9223" max="9224" width="16.08984375" style="1198" bestFit="1" customWidth="1"/>
    <col min="9225" max="9225" width="8.6328125" style="1198" bestFit="1" customWidth="1"/>
    <col min="9226" max="9226" width="7.6328125" style="1198" bestFit="1" customWidth="1"/>
    <col min="9227" max="9227" width="70.36328125" style="1198" bestFit="1" customWidth="1"/>
    <col min="9228" max="9472" width="8.7265625" style="1198"/>
    <col min="9473" max="9473" width="6.1796875" style="1198" bestFit="1" customWidth="1"/>
    <col min="9474" max="9474" width="19.6328125" style="1198" bestFit="1" customWidth="1"/>
    <col min="9475" max="9475" width="5.08984375" style="1198" bestFit="1" customWidth="1"/>
    <col min="9476" max="9477" width="12.6328125" style="1198" bestFit="1" customWidth="1"/>
    <col min="9478" max="9478" width="13.453125" style="1198" customWidth="1"/>
    <col min="9479" max="9480" width="16.08984375" style="1198" bestFit="1" customWidth="1"/>
    <col min="9481" max="9481" width="8.6328125" style="1198" bestFit="1" customWidth="1"/>
    <col min="9482" max="9482" width="7.6328125" style="1198" bestFit="1" customWidth="1"/>
    <col min="9483" max="9483" width="70.36328125" style="1198" bestFit="1" customWidth="1"/>
    <col min="9484" max="9728" width="8.7265625" style="1198"/>
    <col min="9729" max="9729" width="6.1796875" style="1198" bestFit="1" customWidth="1"/>
    <col min="9730" max="9730" width="19.6328125" style="1198" bestFit="1" customWidth="1"/>
    <col min="9731" max="9731" width="5.08984375" style="1198" bestFit="1" customWidth="1"/>
    <col min="9732" max="9733" width="12.6328125" style="1198" bestFit="1" customWidth="1"/>
    <col min="9734" max="9734" width="13.453125" style="1198" customWidth="1"/>
    <col min="9735" max="9736" width="16.08984375" style="1198" bestFit="1" customWidth="1"/>
    <col min="9737" max="9737" width="8.6328125" style="1198" bestFit="1" customWidth="1"/>
    <col min="9738" max="9738" width="7.6328125" style="1198" bestFit="1" customWidth="1"/>
    <col min="9739" max="9739" width="70.36328125" style="1198" bestFit="1" customWidth="1"/>
    <col min="9740" max="9984" width="8.7265625" style="1198"/>
    <col min="9985" max="9985" width="6.1796875" style="1198" bestFit="1" customWidth="1"/>
    <col min="9986" max="9986" width="19.6328125" style="1198" bestFit="1" customWidth="1"/>
    <col min="9987" max="9987" width="5.08984375" style="1198" bestFit="1" customWidth="1"/>
    <col min="9988" max="9989" width="12.6328125" style="1198" bestFit="1" customWidth="1"/>
    <col min="9990" max="9990" width="13.453125" style="1198" customWidth="1"/>
    <col min="9991" max="9992" width="16.08984375" style="1198" bestFit="1" customWidth="1"/>
    <col min="9993" max="9993" width="8.6328125" style="1198" bestFit="1" customWidth="1"/>
    <col min="9994" max="9994" width="7.6328125" style="1198" bestFit="1" customWidth="1"/>
    <col min="9995" max="9995" width="70.36328125" style="1198" bestFit="1" customWidth="1"/>
    <col min="9996" max="10240" width="8.7265625" style="1198"/>
    <col min="10241" max="10241" width="6.1796875" style="1198" bestFit="1" customWidth="1"/>
    <col min="10242" max="10242" width="19.6328125" style="1198" bestFit="1" customWidth="1"/>
    <col min="10243" max="10243" width="5.08984375" style="1198" bestFit="1" customWidth="1"/>
    <col min="10244" max="10245" width="12.6328125" style="1198" bestFit="1" customWidth="1"/>
    <col min="10246" max="10246" width="13.453125" style="1198" customWidth="1"/>
    <col min="10247" max="10248" width="16.08984375" style="1198" bestFit="1" customWidth="1"/>
    <col min="10249" max="10249" width="8.6328125" style="1198" bestFit="1" customWidth="1"/>
    <col min="10250" max="10250" width="7.6328125" style="1198" bestFit="1" customWidth="1"/>
    <col min="10251" max="10251" width="70.36328125" style="1198" bestFit="1" customWidth="1"/>
    <col min="10252" max="10496" width="8.7265625" style="1198"/>
    <col min="10497" max="10497" width="6.1796875" style="1198" bestFit="1" customWidth="1"/>
    <col min="10498" max="10498" width="19.6328125" style="1198" bestFit="1" customWidth="1"/>
    <col min="10499" max="10499" width="5.08984375" style="1198" bestFit="1" customWidth="1"/>
    <col min="10500" max="10501" width="12.6328125" style="1198" bestFit="1" customWidth="1"/>
    <col min="10502" max="10502" width="13.453125" style="1198" customWidth="1"/>
    <col min="10503" max="10504" width="16.08984375" style="1198" bestFit="1" customWidth="1"/>
    <col min="10505" max="10505" width="8.6328125" style="1198" bestFit="1" customWidth="1"/>
    <col min="10506" max="10506" width="7.6328125" style="1198" bestFit="1" customWidth="1"/>
    <col min="10507" max="10507" width="70.36328125" style="1198" bestFit="1" customWidth="1"/>
    <col min="10508" max="10752" width="8.7265625" style="1198"/>
    <col min="10753" max="10753" width="6.1796875" style="1198" bestFit="1" customWidth="1"/>
    <col min="10754" max="10754" width="19.6328125" style="1198" bestFit="1" customWidth="1"/>
    <col min="10755" max="10755" width="5.08984375" style="1198" bestFit="1" customWidth="1"/>
    <col min="10756" max="10757" width="12.6328125" style="1198" bestFit="1" customWidth="1"/>
    <col min="10758" max="10758" width="13.453125" style="1198" customWidth="1"/>
    <col min="10759" max="10760" width="16.08984375" style="1198" bestFit="1" customWidth="1"/>
    <col min="10761" max="10761" width="8.6328125" style="1198" bestFit="1" customWidth="1"/>
    <col min="10762" max="10762" width="7.6328125" style="1198" bestFit="1" customWidth="1"/>
    <col min="10763" max="10763" width="70.36328125" style="1198" bestFit="1" customWidth="1"/>
    <col min="10764" max="11008" width="8.7265625" style="1198"/>
    <col min="11009" max="11009" width="6.1796875" style="1198" bestFit="1" customWidth="1"/>
    <col min="11010" max="11010" width="19.6328125" style="1198" bestFit="1" customWidth="1"/>
    <col min="11011" max="11011" width="5.08984375" style="1198" bestFit="1" customWidth="1"/>
    <col min="11012" max="11013" width="12.6328125" style="1198" bestFit="1" customWidth="1"/>
    <col min="11014" max="11014" width="13.453125" style="1198" customWidth="1"/>
    <col min="11015" max="11016" width="16.08984375" style="1198" bestFit="1" customWidth="1"/>
    <col min="11017" max="11017" width="8.6328125" style="1198" bestFit="1" customWidth="1"/>
    <col min="11018" max="11018" width="7.6328125" style="1198" bestFit="1" customWidth="1"/>
    <col min="11019" max="11019" width="70.36328125" style="1198" bestFit="1" customWidth="1"/>
    <col min="11020" max="11264" width="8.7265625" style="1198"/>
    <col min="11265" max="11265" width="6.1796875" style="1198" bestFit="1" customWidth="1"/>
    <col min="11266" max="11266" width="19.6328125" style="1198" bestFit="1" customWidth="1"/>
    <col min="11267" max="11267" width="5.08984375" style="1198" bestFit="1" customWidth="1"/>
    <col min="11268" max="11269" width="12.6328125" style="1198" bestFit="1" customWidth="1"/>
    <col min="11270" max="11270" width="13.453125" style="1198" customWidth="1"/>
    <col min="11271" max="11272" width="16.08984375" style="1198" bestFit="1" customWidth="1"/>
    <col min="11273" max="11273" width="8.6328125" style="1198" bestFit="1" customWidth="1"/>
    <col min="11274" max="11274" width="7.6328125" style="1198" bestFit="1" customWidth="1"/>
    <col min="11275" max="11275" width="70.36328125" style="1198" bestFit="1" customWidth="1"/>
    <col min="11276" max="11520" width="8.7265625" style="1198"/>
    <col min="11521" max="11521" width="6.1796875" style="1198" bestFit="1" customWidth="1"/>
    <col min="11522" max="11522" width="19.6328125" style="1198" bestFit="1" customWidth="1"/>
    <col min="11523" max="11523" width="5.08984375" style="1198" bestFit="1" customWidth="1"/>
    <col min="11524" max="11525" width="12.6328125" style="1198" bestFit="1" customWidth="1"/>
    <col min="11526" max="11526" width="13.453125" style="1198" customWidth="1"/>
    <col min="11527" max="11528" width="16.08984375" style="1198" bestFit="1" customWidth="1"/>
    <col min="11529" max="11529" width="8.6328125" style="1198" bestFit="1" customWidth="1"/>
    <col min="11530" max="11530" width="7.6328125" style="1198" bestFit="1" customWidth="1"/>
    <col min="11531" max="11531" width="70.36328125" style="1198" bestFit="1" customWidth="1"/>
    <col min="11532" max="11776" width="8.7265625" style="1198"/>
    <col min="11777" max="11777" width="6.1796875" style="1198" bestFit="1" customWidth="1"/>
    <col min="11778" max="11778" width="19.6328125" style="1198" bestFit="1" customWidth="1"/>
    <col min="11779" max="11779" width="5.08984375" style="1198" bestFit="1" customWidth="1"/>
    <col min="11780" max="11781" width="12.6328125" style="1198" bestFit="1" customWidth="1"/>
    <col min="11782" max="11782" width="13.453125" style="1198" customWidth="1"/>
    <col min="11783" max="11784" width="16.08984375" style="1198" bestFit="1" customWidth="1"/>
    <col min="11785" max="11785" width="8.6328125" style="1198" bestFit="1" customWidth="1"/>
    <col min="11786" max="11786" width="7.6328125" style="1198" bestFit="1" customWidth="1"/>
    <col min="11787" max="11787" width="70.36328125" style="1198" bestFit="1" customWidth="1"/>
    <col min="11788" max="12032" width="8.7265625" style="1198"/>
    <col min="12033" max="12033" width="6.1796875" style="1198" bestFit="1" customWidth="1"/>
    <col min="12034" max="12034" width="19.6328125" style="1198" bestFit="1" customWidth="1"/>
    <col min="12035" max="12035" width="5.08984375" style="1198" bestFit="1" customWidth="1"/>
    <col min="12036" max="12037" width="12.6328125" style="1198" bestFit="1" customWidth="1"/>
    <col min="12038" max="12038" width="13.453125" style="1198" customWidth="1"/>
    <col min="12039" max="12040" width="16.08984375" style="1198" bestFit="1" customWidth="1"/>
    <col min="12041" max="12041" width="8.6328125" style="1198" bestFit="1" customWidth="1"/>
    <col min="12042" max="12042" width="7.6328125" style="1198" bestFit="1" customWidth="1"/>
    <col min="12043" max="12043" width="70.36328125" style="1198" bestFit="1" customWidth="1"/>
    <col min="12044" max="12288" width="8.7265625" style="1198"/>
    <col min="12289" max="12289" width="6.1796875" style="1198" bestFit="1" customWidth="1"/>
    <col min="12290" max="12290" width="19.6328125" style="1198" bestFit="1" customWidth="1"/>
    <col min="12291" max="12291" width="5.08984375" style="1198" bestFit="1" customWidth="1"/>
    <col min="12292" max="12293" width="12.6328125" style="1198" bestFit="1" customWidth="1"/>
    <col min="12294" max="12294" width="13.453125" style="1198" customWidth="1"/>
    <col min="12295" max="12296" width="16.08984375" style="1198" bestFit="1" customWidth="1"/>
    <col min="12297" max="12297" width="8.6328125" style="1198" bestFit="1" customWidth="1"/>
    <col min="12298" max="12298" width="7.6328125" style="1198" bestFit="1" customWidth="1"/>
    <col min="12299" max="12299" width="70.36328125" style="1198" bestFit="1" customWidth="1"/>
    <col min="12300" max="12544" width="8.7265625" style="1198"/>
    <col min="12545" max="12545" width="6.1796875" style="1198" bestFit="1" customWidth="1"/>
    <col min="12546" max="12546" width="19.6328125" style="1198" bestFit="1" customWidth="1"/>
    <col min="12547" max="12547" width="5.08984375" style="1198" bestFit="1" customWidth="1"/>
    <col min="12548" max="12549" width="12.6328125" style="1198" bestFit="1" customWidth="1"/>
    <col min="12550" max="12550" width="13.453125" style="1198" customWidth="1"/>
    <col min="12551" max="12552" width="16.08984375" style="1198" bestFit="1" customWidth="1"/>
    <col min="12553" max="12553" width="8.6328125" style="1198" bestFit="1" customWidth="1"/>
    <col min="12554" max="12554" width="7.6328125" style="1198" bestFit="1" customWidth="1"/>
    <col min="12555" max="12555" width="70.36328125" style="1198" bestFit="1" customWidth="1"/>
    <col min="12556" max="12800" width="8.7265625" style="1198"/>
    <col min="12801" max="12801" width="6.1796875" style="1198" bestFit="1" customWidth="1"/>
    <col min="12802" max="12802" width="19.6328125" style="1198" bestFit="1" customWidth="1"/>
    <col min="12803" max="12803" width="5.08984375" style="1198" bestFit="1" customWidth="1"/>
    <col min="12804" max="12805" width="12.6328125" style="1198" bestFit="1" customWidth="1"/>
    <col min="12806" max="12806" width="13.453125" style="1198" customWidth="1"/>
    <col min="12807" max="12808" width="16.08984375" style="1198" bestFit="1" customWidth="1"/>
    <col min="12809" max="12809" width="8.6328125" style="1198" bestFit="1" customWidth="1"/>
    <col min="12810" max="12810" width="7.6328125" style="1198" bestFit="1" customWidth="1"/>
    <col min="12811" max="12811" width="70.36328125" style="1198" bestFit="1" customWidth="1"/>
    <col min="12812" max="13056" width="8.7265625" style="1198"/>
    <col min="13057" max="13057" width="6.1796875" style="1198" bestFit="1" customWidth="1"/>
    <col min="13058" max="13058" width="19.6328125" style="1198" bestFit="1" customWidth="1"/>
    <col min="13059" max="13059" width="5.08984375" style="1198" bestFit="1" customWidth="1"/>
    <col min="13060" max="13061" width="12.6328125" style="1198" bestFit="1" customWidth="1"/>
    <col min="13062" max="13062" width="13.453125" style="1198" customWidth="1"/>
    <col min="13063" max="13064" width="16.08984375" style="1198" bestFit="1" customWidth="1"/>
    <col min="13065" max="13065" width="8.6328125" style="1198" bestFit="1" customWidth="1"/>
    <col min="13066" max="13066" width="7.6328125" style="1198" bestFit="1" customWidth="1"/>
    <col min="13067" max="13067" width="70.36328125" style="1198" bestFit="1" customWidth="1"/>
    <col min="13068" max="13312" width="8.7265625" style="1198"/>
    <col min="13313" max="13313" width="6.1796875" style="1198" bestFit="1" customWidth="1"/>
    <col min="13314" max="13314" width="19.6328125" style="1198" bestFit="1" customWidth="1"/>
    <col min="13315" max="13315" width="5.08984375" style="1198" bestFit="1" customWidth="1"/>
    <col min="13316" max="13317" width="12.6328125" style="1198" bestFit="1" customWidth="1"/>
    <col min="13318" max="13318" width="13.453125" style="1198" customWidth="1"/>
    <col min="13319" max="13320" width="16.08984375" style="1198" bestFit="1" customWidth="1"/>
    <col min="13321" max="13321" width="8.6328125" style="1198" bestFit="1" customWidth="1"/>
    <col min="13322" max="13322" width="7.6328125" style="1198" bestFit="1" customWidth="1"/>
    <col min="13323" max="13323" width="70.36328125" style="1198" bestFit="1" customWidth="1"/>
    <col min="13324" max="13568" width="8.7265625" style="1198"/>
    <col min="13569" max="13569" width="6.1796875" style="1198" bestFit="1" customWidth="1"/>
    <col min="13570" max="13570" width="19.6328125" style="1198" bestFit="1" customWidth="1"/>
    <col min="13571" max="13571" width="5.08984375" style="1198" bestFit="1" customWidth="1"/>
    <col min="13572" max="13573" width="12.6328125" style="1198" bestFit="1" customWidth="1"/>
    <col min="13574" max="13574" width="13.453125" style="1198" customWidth="1"/>
    <col min="13575" max="13576" width="16.08984375" style="1198" bestFit="1" customWidth="1"/>
    <col min="13577" max="13577" width="8.6328125" style="1198" bestFit="1" customWidth="1"/>
    <col min="13578" max="13578" width="7.6328125" style="1198" bestFit="1" customWidth="1"/>
    <col min="13579" max="13579" width="70.36328125" style="1198" bestFit="1" customWidth="1"/>
    <col min="13580" max="13824" width="8.7265625" style="1198"/>
    <col min="13825" max="13825" width="6.1796875" style="1198" bestFit="1" customWidth="1"/>
    <col min="13826" max="13826" width="19.6328125" style="1198" bestFit="1" customWidth="1"/>
    <col min="13827" max="13827" width="5.08984375" style="1198" bestFit="1" customWidth="1"/>
    <col min="13828" max="13829" width="12.6328125" style="1198" bestFit="1" customWidth="1"/>
    <col min="13830" max="13830" width="13.453125" style="1198" customWidth="1"/>
    <col min="13831" max="13832" width="16.08984375" style="1198" bestFit="1" customWidth="1"/>
    <col min="13833" max="13833" width="8.6328125" style="1198" bestFit="1" customWidth="1"/>
    <col min="13834" max="13834" width="7.6328125" style="1198" bestFit="1" customWidth="1"/>
    <col min="13835" max="13835" width="70.36328125" style="1198" bestFit="1" customWidth="1"/>
    <col min="13836" max="14080" width="8.7265625" style="1198"/>
    <col min="14081" max="14081" width="6.1796875" style="1198" bestFit="1" customWidth="1"/>
    <col min="14082" max="14082" width="19.6328125" style="1198" bestFit="1" customWidth="1"/>
    <col min="14083" max="14083" width="5.08984375" style="1198" bestFit="1" customWidth="1"/>
    <col min="14084" max="14085" width="12.6328125" style="1198" bestFit="1" customWidth="1"/>
    <col min="14086" max="14086" width="13.453125" style="1198" customWidth="1"/>
    <col min="14087" max="14088" width="16.08984375" style="1198" bestFit="1" customWidth="1"/>
    <col min="14089" max="14089" width="8.6328125" style="1198" bestFit="1" customWidth="1"/>
    <col min="14090" max="14090" width="7.6328125" style="1198" bestFit="1" customWidth="1"/>
    <col min="14091" max="14091" width="70.36328125" style="1198" bestFit="1" customWidth="1"/>
    <col min="14092" max="14336" width="8.7265625" style="1198"/>
    <col min="14337" max="14337" width="6.1796875" style="1198" bestFit="1" customWidth="1"/>
    <col min="14338" max="14338" width="19.6328125" style="1198" bestFit="1" customWidth="1"/>
    <col min="14339" max="14339" width="5.08984375" style="1198" bestFit="1" customWidth="1"/>
    <col min="14340" max="14341" width="12.6328125" style="1198" bestFit="1" customWidth="1"/>
    <col min="14342" max="14342" width="13.453125" style="1198" customWidth="1"/>
    <col min="14343" max="14344" width="16.08984375" style="1198" bestFit="1" customWidth="1"/>
    <col min="14345" max="14345" width="8.6328125" style="1198" bestFit="1" customWidth="1"/>
    <col min="14346" max="14346" width="7.6328125" style="1198" bestFit="1" customWidth="1"/>
    <col min="14347" max="14347" width="70.36328125" style="1198" bestFit="1" customWidth="1"/>
    <col min="14348" max="14592" width="8.7265625" style="1198"/>
    <col min="14593" max="14593" width="6.1796875" style="1198" bestFit="1" customWidth="1"/>
    <col min="14594" max="14594" width="19.6328125" style="1198" bestFit="1" customWidth="1"/>
    <col min="14595" max="14595" width="5.08984375" style="1198" bestFit="1" customWidth="1"/>
    <col min="14596" max="14597" width="12.6328125" style="1198" bestFit="1" customWidth="1"/>
    <col min="14598" max="14598" width="13.453125" style="1198" customWidth="1"/>
    <col min="14599" max="14600" width="16.08984375" style="1198" bestFit="1" customWidth="1"/>
    <col min="14601" max="14601" width="8.6328125" style="1198" bestFit="1" customWidth="1"/>
    <col min="14602" max="14602" width="7.6328125" style="1198" bestFit="1" customWidth="1"/>
    <col min="14603" max="14603" width="70.36328125" style="1198" bestFit="1" customWidth="1"/>
    <col min="14604" max="14848" width="8.7265625" style="1198"/>
    <col min="14849" max="14849" width="6.1796875" style="1198" bestFit="1" customWidth="1"/>
    <col min="14850" max="14850" width="19.6328125" style="1198" bestFit="1" customWidth="1"/>
    <col min="14851" max="14851" width="5.08984375" style="1198" bestFit="1" customWidth="1"/>
    <col min="14852" max="14853" width="12.6328125" style="1198" bestFit="1" customWidth="1"/>
    <col min="14854" max="14854" width="13.453125" style="1198" customWidth="1"/>
    <col min="14855" max="14856" width="16.08984375" style="1198" bestFit="1" customWidth="1"/>
    <col min="14857" max="14857" width="8.6328125" style="1198" bestFit="1" customWidth="1"/>
    <col min="14858" max="14858" width="7.6328125" style="1198" bestFit="1" customWidth="1"/>
    <col min="14859" max="14859" width="70.36328125" style="1198" bestFit="1" customWidth="1"/>
    <col min="14860" max="15104" width="8.7265625" style="1198"/>
    <col min="15105" max="15105" width="6.1796875" style="1198" bestFit="1" customWidth="1"/>
    <col min="15106" max="15106" width="19.6328125" style="1198" bestFit="1" customWidth="1"/>
    <col min="15107" max="15107" width="5.08984375" style="1198" bestFit="1" customWidth="1"/>
    <col min="15108" max="15109" width="12.6328125" style="1198" bestFit="1" customWidth="1"/>
    <col min="15110" max="15110" width="13.453125" style="1198" customWidth="1"/>
    <col min="15111" max="15112" width="16.08984375" style="1198" bestFit="1" customWidth="1"/>
    <col min="15113" max="15113" width="8.6328125" style="1198" bestFit="1" customWidth="1"/>
    <col min="15114" max="15114" width="7.6328125" style="1198" bestFit="1" customWidth="1"/>
    <col min="15115" max="15115" width="70.36328125" style="1198" bestFit="1" customWidth="1"/>
    <col min="15116" max="15360" width="8.7265625" style="1198"/>
    <col min="15361" max="15361" width="6.1796875" style="1198" bestFit="1" customWidth="1"/>
    <col min="15362" max="15362" width="19.6328125" style="1198" bestFit="1" customWidth="1"/>
    <col min="15363" max="15363" width="5.08984375" style="1198" bestFit="1" customWidth="1"/>
    <col min="15364" max="15365" width="12.6328125" style="1198" bestFit="1" customWidth="1"/>
    <col min="15366" max="15366" width="13.453125" style="1198" customWidth="1"/>
    <col min="15367" max="15368" width="16.08984375" style="1198" bestFit="1" customWidth="1"/>
    <col min="15369" max="15369" width="8.6328125" style="1198" bestFit="1" customWidth="1"/>
    <col min="15370" max="15370" width="7.6328125" style="1198" bestFit="1" customWidth="1"/>
    <col min="15371" max="15371" width="70.36328125" style="1198" bestFit="1" customWidth="1"/>
    <col min="15372" max="15616" width="8.7265625" style="1198"/>
    <col min="15617" max="15617" width="6.1796875" style="1198" bestFit="1" customWidth="1"/>
    <col min="15618" max="15618" width="19.6328125" style="1198" bestFit="1" customWidth="1"/>
    <col min="15619" max="15619" width="5.08984375" style="1198" bestFit="1" customWidth="1"/>
    <col min="15620" max="15621" width="12.6328125" style="1198" bestFit="1" customWidth="1"/>
    <col min="15622" max="15622" width="13.453125" style="1198" customWidth="1"/>
    <col min="15623" max="15624" width="16.08984375" style="1198" bestFit="1" customWidth="1"/>
    <col min="15625" max="15625" width="8.6328125" style="1198" bestFit="1" customWidth="1"/>
    <col min="15626" max="15626" width="7.6328125" style="1198" bestFit="1" customWidth="1"/>
    <col min="15627" max="15627" width="70.36328125" style="1198" bestFit="1" customWidth="1"/>
    <col min="15628" max="15872" width="8.7265625" style="1198"/>
    <col min="15873" max="15873" width="6.1796875" style="1198" bestFit="1" customWidth="1"/>
    <col min="15874" max="15874" width="19.6328125" style="1198" bestFit="1" customWidth="1"/>
    <col min="15875" max="15875" width="5.08984375" style="1198" bestFit="1" customWidth="1"/>
    <col min="15876" max="15877" width="12.6328125" style="1198" bestFit="1" customWidth="1"/>
    <col min="15878" max="15878" width="13.453125" style="1198" customWidth="1"/>
    <col min="15879" max="15880" width="16.08984375" style="1198" bestFit="1" customWidth="1"/>
    <col min="15881" max="15881" width="8.6328125" style="1198" bestFit="1" customWidth="1"/>
    <col min="15882" max="15882" width="7.6328125" style="1198" bestFit="1" customWidth="1"/>
    <col min="15883" max="15883" width="70.36328125" style="1198" bestFit="1" customWidth="1"/>
    <col min="15884" max="16128" width="8.7265625" style="1198"/>
    <col min="16129" max="16129" width="6.1796875" style="1198" bestFit="1" customWidth="1"/>
    <col min="16130" max="16130" width="19.6328125" style="1198" bestFit="1" customWidth="1"/>
    <col min="16131" max="16131" width="5.08984375" style="1198" bestFit="1" customWidth="1"/>
    <col min="16132" max="16133" width="12.6328125" style="1198" bestFit="1" customWidth="1"/>
    <col min="16134" max="16134" width="13.453125" style="1198" customWidth="1"/>
    <col min="16135" max="16136" width="16.08984375" style="1198" bestFit="1" customWidth="1"/>
    <col min="16137" max="16137" width="8.6328125" style="1198" bestFit="1" customWidth="1"/>
    <col min="16138" max="16138" width="7.6328125" style="1198" bestFit="1" customWidth="1"/>
    <col min="16139" max="16139" width="70.36328125" style="1198" bestFit="1" customWidth="1"/>
    <col min="16140" max="16384" width="8.7265625" style="1198"/>
  </cols>
  <sheetData>
    <row r="1" spans="1:11" ht="13">
      <c r="A1" s="1596" t="s">
        <v>3431</v>
      </c>
      <c r="B1" s="1596"/>
      <c r="C1" s="1596"/>
      <c r="D1" s="1596"/>
      <c r="E1" s="1596"/>
      <c r="F1" s="1596"/>
      <c r="G1" s="1596"/>
      <c r="H1" s="1596"/>
      <c r="I1" s="1596"/>
      <c r="J1" s="1596"/>
      <c r="K1" s="1596"/>
    </row>
    <row r="2" spans="1:11"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1" ht="13">
      <c r="A3" s="1597" t="s">
        <v>1675</v>
      </c>
      <c r="B3" s="1201" t="s">
        <v>3438</v>
      </c>
      <c r="C3" s="1202" t="s">
        <v>1857</v>
      </c>
      <c r="D3" s="1203">
        <v>73</v>
      </c>
      <c r="E3" s="1203">
        <v>127</v>
      </c>
      <c r="F3" s="1204">
        <f>D3+E3</f>
        <v>200</v>
      </c>
      <c r="G3" s="1203">
        <v>80</v>
      </c>
      <c r="H3" s="1203">
        <v>116</v>
      </c>
      <c r="I3" s="1204">
        <f>G3+H3</f>
        <v>196</v>
      </c>
      <c r="J3" s="1203">
        <f>F3-I3</f>
        <v>4</v>
      </c>
      <c r="K3" s="1205"/>
    </row>
    <row r="4" spans="1:11" ht="13">
      <c r="A4" s="1597"/>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1" ht="13">
      <c r="A5" s="1597"/>
      <c r="B5" s="1201" t="s">
        <v>3441</v>
      </c>
      <c r="C5" s="1202" t="s">
        <v>3440</v>
      </c>
      <c r="D5" s="1203">
        <v>5</v>
      </c>
      <c r="E5" s="1203">
        <v>12</v>
      </c>
      <c r="F5" s="1204">
        <f t="shared" si="0"/>
        <v>17</v>
      </c>
      <c r="G5" s="1203">
        <v>5</v>
      </c>
      <c r="H5" s="1203">
        <v>10</v>
      </c>
      <c r="I5" s="1204">
        <f t="shared" si="1"/>
        <v>15</v>
      </c>
      <c r="J5" s="1203">
        <f t="shared" si="2"/>
        <v>2</v>
      </c>
      <c r="K5" s="1205"/>
    </row>
    <row r="6" spans="1:11" ht="13">
      <c r="A6" s="1597"/>
      <c r="B6" s="1201" t="s">
        <v>3442</v>
      </c>
      <c r="C6" s="1202" t="s">
        <v>3440</v>
      </c>
      <c r="D6" s="1203"/>
      <c r="E6" s="1203"/>
      <c r="F6" s="1204">
        <f t="shared" si="0"/>
        <v>0</v>
      </c>
      <c r="G6" s="1203">
        <v>0</v>
      </c>
      <c r="H6" s="1203">
        <v>0</v>
      </c>
      <c r="I6" s="1204">
        <f t="shared" si="1"/>
        <v>0</v>
      </c>
      <c r="J6" s="1203">
        <f t="shared" si="2"/>
        <v>0</v>
      </c>
      <c r="K6" s="1205"/>
    </row>
    <row r="7" spans="1:11" ht="13">
      <c r="A7" s="1597"/>
      <c r="B7" s="1201" t="s">
        <v>3442</v>
      </c>
      <c r="C7" s="1202" t="s">
        <v>3440</v>
      </c>
      <c r="D7" s="1203"/>
      <c r="E7" s="1203"/>
      <c r="F7" s="1204">
        <f t="shared" si="0"/>
        <v>0</v>
      </c>
      <c r="G7" s="1203">
        <v>0</v>
      </c>
      <c r="H7" s="1203">
        <v>0</v>
      </c>
      <c r="I7" s="1204">
        <f t="shared" si="1"/>
        <v>0</v>
      </c>
      <c r="J7" s="1203">
        <f t="shared" si="2"/>
        <v>0</v>
      </c>
      <c r="K7" s="1205"/>
    </row>
    <row r="8" spans="1:11" ht="13">
      <c r="A8" s="1597"/>
      <c r="B8" s="1201" t="s">
        <v>3443</v>
      </c>
      <c r="C8" s="1202" t="s">
        <v>3440</v>
      </c>
      <c r="D8" s="1203">
        <v>1</v>
      </c>
      <c r="E8" s="1203"/>
      <c r="F8" s="1204">
        <f t="shared" si="0"/>
        <v>1</v>
      </c>
      <c r="G8" s="1203">
        <v>1</v>
      </c>
      <c r="H8" s="1203">
        <v>0</v>
      </c>
      <c r="I8" s="1204">
        <f t="shared" si="1"/>
        <v>1</v>
      </c>
      <c r="J8" s="1203">
        <f t="shared" si="2"/>
        <v>0</v>
      </c>
      <c r="K8" s="1206"/>
    </row>
    <row r="9" spans="1:11" ht="13">
      <c r="A9" s="1597" t="s">
        <v>2397</v>
      </c>
      <c r="B9" s="1201" t="s">
        <v>3438</v>
      </c>
      <c r="C9" s="1202" t="s">
        <v>1857</v>
      </c>
      <c r="D9" s="1203">
        <v>18</v>
      </c>
      <c r="E9" s="1203">
        <v>41</v>
      </c>
      <c r="F9" s="1204">
        <f t="shared" si="0"/>
        <v>59</v>
      </c>
      <c r="G9" s="1203">
        <v>20</v>
      </c>
      <c r="H9" s="1203">
        <v>33</v>
      </c>
      <c r="I9" s="1204">
        <f t="shared" si="1"/>
        <v>53</v>
      </c>
      <c r="J9" s="1203">
        <f t="shared" si="2"/>
        <v>6</v>
      </c>
      <c r="K9" s="1205"/>
    </row>
    <row r="10" spans="1:11" ht="13">
      <c r="A10" s="1597"/>
      <c r="B10" s="1201" t="s">
        <v>3439</v>
      </c>
      <c r="C10" s="1202" t="s">
        <v>3440</v>
      </c>
      <c r="D10" s="1203"/>
      <c r="E10" s="1203">
        <v>4</v>
      </c>
      <c r="F10" s="1204">
        <f t="shared" si="0"/>
        <v>4</v>
      </c>
      <c r="G10" s="1203">
        <v>0</v>
      </c>
      <c r="H10" s="1203">
        <v>4</v>
      </c>
      <c r="I10" s="1204">
        <f t="shared" si="1"/>
        <v>4</v>
      </c>
      <c r="J10" s="1203">
        <f t="shared" si="2"/>
        <v>0</v>
      </c>
      <c r="K10" s="1205"/>
    </row>
    <row r="11" spans="1:11" ht="13">
      <c r="A11" s="1597"/>
      <c r="B11" s="1201" t="s">
        <v>3441</v>
      </c>
      <c r="C11" s="1202" t="s">
        <v>3440</v>
      </c>
      <c r="D11" s="1203">
        <v>4</v>
      </c>
      <c r="E11" s="1203">
        <v>4</v>
      </c>
      <c r="F11" s="1204">
        <f t="shared" si="0"/>
        <v>8</v>
      </c>
      <c r="G11" s="1203">
        <v>4</v>
      </c>
      <c r="H11" s="1203">
        <v>4</v>
      </c>
      <c r="I11" s="1204">
        <f t="shared" si="1"/>
        <v>8</v>
      </c>
      <c r="J11" s="1203">
        <f t="shared" si="2"/>
        <v>0</v>
      </c>
      <c r="K11" s="1205"/>
    </row>
    <row r="12" spans="1:11" ht="13">
      <c r="A12" s="1597"/>
      <c r="B12" s="1201" t="s">
        <v>3442</v>
      </c>
      <c r="C12" s="1202" t="s">
        <v>3440</v>
      </c>
      <c r="D12" s="1203">
        <v>1</v>
      </c>
      <c r="E12" s="1203">
        <v>4</v>
      </c>
      <c r="F12" s="1204">
        <f t="shared" si="0"/>
        <v>5</v>
      </c>
      <c r="G12" s="1203">
        <v>1</v>
      </c>
      <c r="H12" s="1203">
        <v>4</v>
      </c>
      <c r="I12" s="1204">
        <f t="shared" si="1"/>
        <v>5</v>
      </c>
      <c r="J12" s="1203">
        <f t="shared" si="2"/>
        <v>0</v>
      </c>
      <c r="K12" s="1205"/>
    </row>
    <row r="13" spans="1:11" ht="13">
      <c r="A13" s="1597" t="s">
        <v>2398</v>
      </c>
      <c r="B13" s="1201" t="s">
        <v>3438</v>
      </c>
      <c r="C13" s="1202" t="s">
        <v>1857</v>
      </c>
      <c r="D13" s="1203">
        <v>12</v>
      </c>
      <c r="E13" s="1203">
        <v>33</v>
      </c>
      <c r="F13" s="1204">
        <f t="shared" si="0"/>
        <v>45</v>
      </c>
      <c r="G13" s="1203">
        <v>20</v>
      </c>
      <c r="H13" s="1203">
        <v>24</v>
      </c>
      <c r="I13" s="1204">
        <f t="shared" si="1"/>
        <v>44</v>
      </c>
      <c r="J13" s="1203">
        <f t="shared" si="2"/>
        <v>1</v>
      </c>
      <c r="K13" s="1205"/>
    </row>
    <row r="14" spans="1:11" ht="13">
      <c r="A14" s="1597"/>
      <c r="B14" s="1201" t="s">
        <v>3439</v>
      </c>
      <c r="C14" s="1202" t="s">
        <v>3440</v>
      </c>
      <c r="D14" s="1203"/>
      <c r="E14" s="1203"/>
      <c r="F14" s="1204">
        <f t="shared" si="0"/>
        <v>0</v>
      </c>
      <c r="G14" s="1203">
        <v>0</v>
      </c>
      <c r="H14" s="1203">
        <v>0</v>
      </c>
      <c r="I14" s="1204">
        <f t="shared" si="1"/>
        <v>0</v>
      </c>
      <c r="J14" s="1203">
        <f t="shared" si="2"/>
        <v>0</v>
      </c>
      <c r="K14" s="1205"/>
    </row>
    <row r="15" spans="1:11" ht="13">
      <c r="A15" s="1597"/>
      <c r="B15" s="1201" t="s">
        <v>3441</v>
      </c>
      <c r="C15" s="1202" t="s">
        <v>3440</v>
      </c>
      <c r="D15" s="1203">
        <v>5</v>
      </c>
      <c r="E15" s="1203">
        <v>4</v>
      </c>
      <c r="F15" s="1204">
        <f t="shared" si="0"/>
        <v>9</v>
      </c>
      <c r="G15" s="1203">
        <v>5</v>
      </c>
      <c r="H15" s="1203">
        <v>4</v>
      </c>
      <c r="I15" s="1204">
        <f t="shared" si="1"/>
        <v>9</v>
      </c>
      <c r="J15" s="1203">
        <f t="shared" si="2"/>
        <v>0</v>
      </c>
      <c r="K15" s="1205"/>
    </row>
    <row r="16" spans="1:11" ht="13">
      <c r="A16" s="1597"/>
      <c r="B16" s="1201" t="s">
        <v>3442</v>
      </c>
      <c r="C16" s="1202" t="s">
        <v>3440</v>
      </c>
      <c r="D16" s="1203"/>
      <c r="E16" s="1203"/>
      <c r="F16" s="1204">
        <f t="shared" si="0"/>
        <v>0</v>
      </c>
      <c r="G16" s="1203">
        <v>0</v>
      </c>
      <c r="H16" s="1203">
        <v>0</v>
      </c>
      <c r="I16" s="1204">
        <f t="shared" si="1"/>
        <v>0</v>
      </c>
      <c r="J16" s="1203">
        <f t="shared" si="2"/>
        <v>0</v>
      </c>
      <c r="K16" s="1205"/>
    </row>
    <row r="17" spans="1:11" ht="13">
      <c r="A17" s="1597"/>
      <c r="B17" s="1201" t="s">
        <v>3443</v>
      </c>
      <c r="C17" s="1202" t="s">
        <v>3440</v>
      </c>
      <c r="D17" s="1203">
        <v>1</v>
      </c>
      <c r="E17" s="1203"/>
      <c r="F17" s="1204">
        <f t="shared" si="0"/>
        <v>1</v>
      </c>
      <c r="G17" s="1203">
        <v>1</v>
      </c>
      <c r="H17" s="1203">
        <v>0</v>
      </c>
      <c r="I17" s="1204">
        <f t="shared" si="1"/>
        <v>1</v>
      </c>
      <c r="J17" s="1203">
        <f t="shared" si="2"/>
        <v>0</v>
      </c>
      <c r="K17" s="1206"/>
    </row>
    <row r="18" spans="1:11" ht="13">
      <c r="A18" s="1597"/>
      <c r="B18" s="1201" t="s">
        <v>3445</v>
      </c>
      <c r="C18" s="1202" t="s">
        <v>3440</v>
      </c>
      <c r="D18" s="1203">
        <v>2</v>
      </c>
      <c r="E18" s="1203"/>
      <c r="F18" s="1204">
        <f t="shared" si="0"/>
        <v>2</v>
      </c>
      <c r="G18" s="1203">
        <v>2</v>
      </c>
      <c r="H18" s="1203">
        <v>0</v>
      </c>
      <c r="I18" s="1204">
        <f t="shared" si="1"/>
        <v>2</v>
      </c>
      <c r="J18" s="1203">
        <f t="shared" si="2"/>
        <v>0</v>
      </c>
      <c r="K18" s="1206"/>
    </row>
    <row r="19" spans="1:11" ht="13">
      <c r="A19" s="1598" t="s">
        <v>2425</v>
      </c>
      <c r="B19" s="1201" t="s">
        <v>3438</v>
      </c>
      <c r="C19" s="1202" t="s">
        <v>1857</v>
      </c>
      <c r="D19" s="1203">
        <v>9</v>
      </c>
      <c r="E19" s="1203">
        <v>26</v>
      </c>
      <c r="F19" s="1204">
        <f t="shared" si="0"/>
        <v>35</v>
      </c>
      <c r="G19" s="1203">
        <v>10</v>
      </c>
      <c r="H19" s="1203">
        <v>20</v>
      </c>
      <c r="I19" s="1204">
        <f t="shared" si="1"/>
        <v>30</v>
      </c>
      <c r="J19" s="1203">
        <f t="shared" si="2"/>
        <v>5</v>
      </c>
      <c r="K19" s="1205"/>
    </row>
    <row r="20" spans="1:11" ht="13">
      <c r="A20" s="1599"/>
      <c r="B20" s="1201" t="s">
        <v>3439</v>
      </c>
      <c r="C20" s="1202" t="s">
        <v>3440</v>
      </c>
      <c r="D20" s="1203"/>
      <c r="E20" s="1203">
        <v>4</v>
      </c>
      <c r="F20" s="1204">
        <f t="shared" si="0"/>
        <v>4</v>
      </c>
      <c r="G20" s="1203">
        <v>0</v>
      </c>
      <c r="H20" s="1203">
        <v>4</v>
      </c>
      <c r="I20" s="1204">
        <f t="shared" si="1"/>
        <v>4</v>
      </c>
      <c r="J20" s="1203">
        <f t="shared" si="2"/>
        <v>0</v>
      </c>
      <c r="K20" s="1205"/>
    </row>
    <row r="21" spans="1:11" ht="13">
      <c r="A21" s="1599"/>
      <c r="B21" s="1201" t="s">
        <v>3441</v>
      </c>
      <c r="C21" s="1202" t="s">
        <v>3440</v>
      </c>
      <c r="D21" s="1203">
        <v>4</v>
      </c>
      <c r="E21" s="1203">
        <v>4</v>
      </c>
      <c r="F21" s="1204">
        <f t="shared" si="0"/>
        <v>8</v>
      </c>
      <c r="G21" s="1203">
        <v>4</v>
      </c>
      <c r="H21" s="1203">
        <v>4</v>
      </c>
      <c r="I21" s="1204">
        <f t="shared" si="1"/>
        <v>8</v>
      </c>
      <c r="J21" s="1203">
        <f t="shared" si="2"/>
        <v>0</v>
      </c>
      <c r="K21" s="1205"/>
    </row>
    <row r="22" spans="1:11" ht="13">
      <c r="A22" s="1599"/>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599"/>
      <c r="B23" s="1201" t="s">
        <v>3445</v>
      </c>
      <c r="C23" s="1202" t="s">
        <v>3440</v>
      </c>
      <c r="D23" s="1203"/>
      <c r="E23" s="1203"/>
      <c r="F23" s="1204">
        <f t="shared" si="0"/>
        <v>0</v>
      </c>
      <c r="G23" s="1203">
        <v>0</v>
      </c>
      <c r="H23" s="1203">
        <v>0</v>
      </c>
      <c r="I23" s="1204">
        <f t="shared" si="1"/>
        <v>0</v>
      </c>
      <c r="J23" s="1203">
        <f t="shared" si="2"/>
        <v>0</v>
      </c>
      <c r="K23" s="1205"/>
    </row>
    <row r="24" spans="1:11" ht="13">
      <c r="A24" s="1599"/>
      <c r="B24" s="1201" t="s">
        <v>3446</v>
      </c>
      <c r="C24" s="1202" t="s">
        <v>1857</v>
      </c>
      <c r="D24" s="1203">
        <v>10.25</v>
      </c>
      <c r="E24" s="1203">
        <v>32</v>
      </c>
      <c r="F24" s="1204">
        <f t="shared" si="0"/>
        <v>42.25</v>
      </c>
      <c r="G24" s="1203">
        <v>5</v>
      </c>
      <c r="H24" s="1203">
        <v>25</v>
      </c>
      <c r="I24" s="1204">
        <f t="shared" si="1"/>
        <v>30</v>
      </c>
      <c r="J24" s="1203">
        <f t="shared" si="2"/>
        <v>12.25</v>
      </c>
      <c r="K24" s="1206"/>
    </row>
    <row r="25" spans="1:11" ht="13">
      <c r="A25" s="1599"/>
      <c r="B25" s="1201" t="s">
        <v>3441</v>
      </c>
      <c r="C25" s="1202" t="s">
        <v>3440</v>
      </c>
      <c r="D25" s="1203">
        <v>3</v>
      </c>
      <c r="E25" s="1203"/>
      <c r="F25" s="1204">
        <f t="shared" si="0"/>
        <v>3</v>
      </c>
      <c r="G25" s="1203">
        <v>3</v>
      </c>
      <c r="H25" s="1203">
        <v>0</v>
      </c>
      <c r="I25" s="1204">
        <f t="shared" si="1"/>
        <v>3</v>
      </c>
      <c r="J25" s="1203">
        <f t="shared" si="2"/>
        <v>0</v>
      </c>
      <c r="K25" s="1206"/>
    </row>
    <row r="26" spans="1:11" ht="13">
      <c r="A26" s="1599"/>
      <c r="B26" s="1201" t="s">
        <v>3442</v>
      </c>
      <c r="C26" s="1202" t="s">
        <v>3440</v>
      </c>
      <c r="D26" s="1215">
        <f>8+2</f>
        <v>10</v>
      </c>
      <c r="E26" s="1203">
        <v>28</v>
      </c>
      <c r="F26" s="1204">
        <f t="shared" si="0"/>
        <v>38</v>
      </c>
      <c r="G26" s="1203">
        <v>4</v>
      </c>
      <c r="H26" s="1203">
        <v>28</v>
      </c>
      <c r="I26" s="1204">
        <f t="shared" si="1"/>
        <v>32</v>
      </c>
      <c r="J26" s="1203">
        <f t="shared" si="2"/>
        <v>6</v>
      </c>
      <c r="K26" s="1206"/>
    </row>
    <row r="27" spans="1:11" ht="13">
      <c r="A27" s="1599"/>
      <c r="B27" s="1201" t="s">
        <v>3447</v>
      </c>
      <c r="C27" s="1202" t="s">
        <v>3440</v>
      </c>
      <c r="D27" s="1203">
        <v>4</v>
      </c>
      <c r="E27" s="1203"/>
      <c r="F27" s="1204">
        <f t="shared" si="0"/>
        <v>4</v>
      </c>
      <c r="G27" s="1203">
        <v>4</v>
      </c>
      <c r="H27" s="1203">
        <v>0</v>
      </c>
      <c r="I27" s="1204">
        <f t="shared" si="1"/>
        <v>4</v>
      </c>
      <c r="J27" s="1203">
        <f t="shared" si="2"/>
        <v>0</v>
      </c>
      <c r="K27" s="1206"/>
    </row>
    <row r="28" spans="1:11" ht="13">
      <c r="A28" s="1599"/>
      <c r="B28" s="1201" t="s">
        <v>3445</v>
      </c>
      <c r="C28" s="1202" t="s">
        <v>3440</v>
      </c>
      <c r="D28" s="1203">
        <v>6</v>
      </c>
      <c r="E28" s="1203">
        <v>4</v>
      </c>
      <c r="F28" s="1204">
        <f t="shared" si="0"/>
        <v>10</v>
      </c>
      <c r="G28" s="1203">
        <v>2</v>
      </c>
      <c r="H28" s="1203">
        <v>0</v>
      </c>
      <c r="I28" s="1204">
        <f t="shared" si="1"/>
        <v>2</v>
      </c>
      <c r="J28" s="1203">
        <f t="shared" si="2"/>
        <v>8</v>
      </c>
      <c r="K28" s="1206"/>
    </row>
    <row r="29" spans="1:11" ht="13">
      <c r="A29" s="1600"/>
      <c r="B29" s="1201" t="s">
        <v>3448</v>
      </c>
      <c r="C29" s="1202" t="s">
        <v>3440</v>
      </c>
      <c r="D29" s="1203">
        <v>2</v>
      </c>
      <c r="E29" s="1203">
        <v>4</v>
      </c>
      <c r="F29" s="1204">
        <f t="shared" si="0"/>
        <v>6</v>
      </c>
      <c r="G29" s="1203">
        <v>2</v>
      </c>
      <c r="H29" s="1203">
        <v>0</v>
      </c>
      <c r="I29" s="1204">
        <f t="shared" si="1"/>
        <v>2</v>
      </c>
      <c r="J29" s="1203">
        <f t="shared" si="2"/>
        <v>4</v>
      </c>
      <c r="K29" s="1206"/>
    </row>
    <row r="30" spans="1:11" ht="13">
      <c r="A30" s="1595" t="s">
        <v>994</v>
      </c>
      <c r="B30" s="1595"/>
      <c r="C30" s="1213"/>
      <c r="D30" s="1213">
        <f t="shared" ref="D30:J30" si="3">D3+D9+D13+D19+D24+((D4)/4)+(D21/4)+(D25/4)+(D20/4)+(D10/4)</f>
        <v>126</v>
      </c>
      <c r="E30" s="1213">
        <f>E3+E9+E13+E19+E24+((E4)/4)+(E21/4)+(E25/4)+(E20/4)+(E10/4)</f>
        <v>263</v>
      </c>
      <c r="F30" s="1213">
        <f t="shared" si="3"/>
        <v>389</v>
      </c>
      <c r="G30" s="1213">
        <f t="shared" si="3"/>
        <v>138.75</v>
      </c>
      <c r="H30" s="1213">
        <f t="shared" si="3"/>
        <v>222</v>
      </c>
      <c r="I30" s="1213">
        <f t="shared" si="3"/>
        <v>360.75</v>
      </c>
      <c r="J30" s="1213">
        <f t="shared" si="3"/>
        <v>28.25</v>
      </c>
      <c r="K30" s="1213"/>
    </row>
  </sheetData>
  <mergeCells count="6">
    <mergeCell ref="A30:B30"/>
    <mergeCell ref="A1:K1"/>
    <mergeCell ref="A3:A8"/>
    <mergeCell ref="A9:A12"/>
    <mergeCell ref="A13:A18"/>
    <mergeCell ref="A19:A29"/>
  </mergeCells>
  <conditionalFormatting sqref="J1:J65536">
    <cfRule type="cellIs" dxfId="3577" priority="1" stopIfTrue="1" operator="lessThan">
      <formula>0</formula>
    </cfRule>
  </conditionalFormatting>
  <conditionalFormatting sqref="K2:K65536">
    <cfRule type="cellIs" dxfId="3576" priority="3" stopIfTrue="1" operator="equal">
      <formula>#REF!</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43475-EF26-4DD9-BC4D-ED26A73F3D30}">
  <sheetPr>
    <tabColor rgb="FF00B050"/>
  </sheetPr>
  <dimension ref="A1:H45"/>
  <sheetViews>
    <sheetView showZeros="0" zoomScale="90" zoomScaleNormal="90" workbookViewId="0">
      <pane xSplit="3" ySplit="2" topLeftCell="D3"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22" style="1198" customWidth="1"/>
    <col min="8" max="8" width="70.7265625" style="1198" bestFit="1" customWidth="1"/>
    <col min="9" max="256" width="8.7265625" style="1198"/>
    <col min="257" max="257" width="6.1796875" style="1198" bestFit="1" customWidth="1"/>
    <col min="258" max="258" width="19.7265625" style="1198" bestFit="1" customWidth="1"/>
    <col min="259" max="259" width="10.1796875" style="1198" bestFit="1" customWidth="1"/>
    <col min="260" max="260" width="14" style="1198" customWidth="1"/>
    <col min="261" max="261" width="14.36328125" style="1198" bestFit="1" customWidth="1"/>
    <col min="262" max="262" width="13" style="1198" bestFit="1" customWidth="1"/>
    <col min="263" max="263" width="22" style="1198" customWidth="1"/>
    <col min="264" max="264" width="70.7265625" style="1198" bestFit="1" customWidth="1"/>
    <col min="265" max="512" width="8.7265625" style="1198"/>
    <col min="513" max="513" width="6.1796875" style="1198" bestFit="1" customWidth="1"/>
    <col min="514" max="514" width="19.7265625" style="1198" bestFit="1" customWidth="1"/>
    <col min="515" max="515" width="10.1796875" style="1198" bestFit="1" customWidth="1"/>
    <col min="516" max="516" width="14" style="1198" customWidth="1"/>
    <col min="517" max="517" width="14.36328125" style="1198" bestFit="1" customWidth="1"/>
    <col min="518" max="518" width="13" style="1198" bestFit="1" customWidth="1"/>
    <col min="519" max="519" width="22" style="1198" customWidth="1"/>
    <col min="520" max="520" width="70.7265625" style="1198" bestFit="1" customWidth="1"/>
    <col min="521" max="768" width="8.7265625" style="1198"/>
    <col min="769" max="769" width="6.1796875" style="1198" bestFit="1" customWidth="1"/>
    <col min="770" max="770" width="19.7265625" style="1198" bestFit="1" customWidth="1"/>
    <col min="771" max="771" width="10.1796875" style="1198" bestFit="1" customWidth="1"/>
    <col min="772" max="772" width="14" style="1198" customWidth="1"/>
    <col min="773" max="773" width="14.36328125" style="1198" bestFit="1" customWidth="1"/>
    <col min="774" max="774" width="13" style="1198" bestFit="1" customWidth="1"/>
    <col min="775" max="775" width="22" style="1198" customWidth="1"/>
    <col min="776" max="776" width="70.7265625" style="1198" bestFit="1" customWidth="1"/>
    <col min="777" max="1024" width="8.7265625" style="1198"/>
    <col min="1025" max="1025" width="6.1796875" style="1198" bestFit="1" customWidth="1"/>
    <col min="1026" max="1026" width="19.7265625" style="1198" bestFit="1" customWidth="1"/>
    <col min="1027" max="1027" width="10.1796875" style="1198" bestFit="1" customWidth="1"/>
    <col min="1028" max="1028" width="14" style="1198" customWidth="1"/>
    <col min="1029" max="1029" width="14.36328125" style="1198" bestFit="1" customWidth="1"/>
    <col min="1030" max="1030" width="13" style="1198" bestFit="1" customWidth="1"/>
    <col min="1031" max="1031" width="22" style="1198" customWidth="1"/>
    <col min="1032" max="1032" width="70.7265625" style="1198" bestFit="1" customWidth="1"/>
    <col min="1033" max="1280" width="8.7265625" style="1198"/>
    <col min="1281" max="1281" width="6.1796875" style="1198" bestFit="1" customWidth="1"/>
    <col min="1282" max="1282" width="19.7265625" style="1198" bestFit="1" customWidth="1"/>
    <col min="1283" max="1283" width="10.1796875" style="1198" bestFit="1" customWidth="1"/>
    <col min="1284" max="1284" width="14" style="1198" customWidth="1"/>
    <col min="1285" max="1285" width="14.36328125" style="1198" bestFit="1" customWidth="1"/>
    <col min="1286" max="1286" width="13" style="1198" bestFit="1" customWidth="1"/>
    <col min="1287" max="1287" width="22" style="1198" customWidth="1"/>
    <col min="1288" max="1288" width="70.7265625" style="1198" bestFit="1" customWidth="1"/>
    <col min="1289" max="1536" width="8.7265625" style="1198"/>
    <col min="1537" max="1537" width="6.1796875" style="1198" bestFit="1" customWidth="1"/>
    <col min="1538" max="1538" width="19.7265625" style="1198" bestFit="1" customWidth="1"/>
    <col min="1539" max="1539" width="10.1796875" style="1198" bestFit="1" customWidth="1"/>
    <col min="1540" max="1540" width="14" style="1198" customWidth="1"/>
    <col min="1541" max="1541" width="14.36328125" style="1198" bestFit="1" customWidth="1"/>
    <col min="1542" max="1542" width="13" style="1198" bestFit="1" customWidth="1"/>
    <col min="1543" max="1543" width="22" style="1198" customWidth="1"/>
    <col min="1544" max="1544" width="70.7265625" style="1198" bestFit="1" customWidth="1"/>
    <col min="1545" max="1792" width="8.7265625" style="1198"/>
    <col min="1793" max="1793" width="6.1796875" style="1198" bestFit="1" customWidth="1"/>
    <col min="1794" max="1794" width="19.7265625" style="1198" bestFit="1" customWidth="1"/>
    <col min="1795" max="1795" width="10.1796875" style="1198" bestFit="1" customWidth="1"/>
    <col min="1796" max="1796" width="14" style="1198" customWidth="1"/>
    <col min="1797" max="1797" width="14.36328125" style="1198" bestFit="1" customWidth="1"/>
    <col min="1798" max="1798" width="13" style="1198" bestFit="1" customWidth="1"/>
    <col min="1799" max="1799" width="22" style="1198" customWidth="1"/>
    <col min="1800" max="1800" width="70.7265625" style="1198" bestFit="1" customWidth="1"/>
    <col min="1801" max="2048" width="8.7265625" style="1198"/>
    <col min="2049" max="2049" width="6.1796875" style="1198" bestFit="1" customWidth="1"/>
    <col min="2050" max="2050" width="19.7265625" style="1198" bestFit="1" customWidth="1"/>
    <col min="2051" max="2051" width="10.1796875" style="1198" bestFit="1" customWidth="1"/>
    <col min="2052" max="2052" width="14" style="1198" customWidth="1"/>
    <col min="2053" max="2053" width="14.36328125" style="1198" bestFit="1" customWidth="1"/>
    <col min="2054" max="2054" width="13" style="1198" bestFit="1" customWidth="1"/>
    <col min="2055" max="2055" width="22" style="1198" customWidth="1"/>
    <col min="2056" max="2056" width="70.7265625" style="1198" bestFit="1" customWidth="1"/>
    <col min="2057" max="2304" width="8.7265625" style="1198"/>
    <col min="2305" max="2305" width="6.1796875" style="1198" bestFit="1" customWidth="1"/>
    <col min="2306" max="2306" width="19.7265625" style="1198" bestFit="1" customWidth="1"/>
    <col min="2307" max="2307" width="10.1796875" style="1198" bestFit="1" customWidth="1"/>
    <col min="2308" max="2308" width="14" style="1198" customWidth="1"/>
    <col min="2309" max="2309" width="14.36328125" style="1198" bestFit="1" customWidth="1"/>
    <col min="2310" max="2310" width="13" style="1198" bestFit="1" customWidth="1"/>
    <col min="2311" max="2311" width="22" style="1198" customWidth="1"/>
    <col min="2312" max="2312" width="70.7265625" style="1198" bestFit="1" customWidth="1"/>
    <col min="2313" max="2560" width="8.7265625" style="1198"/>
    <col min="2561" max="2561" width="6.1796875" style="1198" bestFit="1" customWidth="1"/>
    <col min="2562" max="2562" width="19.7265625" style="1198" bestFit="1" customWidth="1"/>
    <col min="2563" max="2563" width="10.1796875" style="1198" bestFit="1" customWidth="1"/>
    <col min="2564" max="2564" width="14" style="1198" customWidth="1"/>
    <col min="2565" max="2565" width="14.36328125" style="1198" bestFit="1" customWidth="1"/>
    <col min="2566" max="2566" width="13" style="1198" bestFit="1" customWidth="1"/>
    <col min="2567" max="2567" width="22" style="1198" customWidth="1"/>
    <col min="2568" max="2568" width="70.7265625" style="1198" bestFit="1" customWidth="1"/>
    <col min="2569" max="2816" width="8.7265625" style="1198"/>
    <col min="2817" max="2817" width="6.1796875" style="1198" bestFit="1" customWidth="1"/>
    <col min="2818" max="2818" width="19.7265625" style="1198" bestFit="1" customWidth="1"/>
    <col min="2819" max="2819" width="10.1796875" style="1198" bestFit="1" customWidth="1"/>
    <col min="2820" max="2820" width="14" style="1198" customWidth="1"/>
    <col min="2821" max="2821" width="14.36328125" style="1198" bestFit="1" customWidth="1"/>
    <col min="2822" max="2822" width="13" style="1198" bestFit="1" customWidth="1"/>
    <col min="2823" max="2823" width="22" style="1198" customWidth="1"/>
    <col min="2824" max="2824" width="70.7265625" style="1198" bestFit="1" customWidth="1"/>
    <col min="2825" max="3072" width="8.7265625" style="1198"/>
    <col min="3073" max="3073" width="6.1796875" style="1198" bestFit="1" customWidth="1"/>
    <col min="3074" max="3074" width="19.7265625" style="1198" bestFit="1" customWidth="1"/>
    <col min="3075" max="3075" width="10.1796875" style="1198" bestFit="1" customWidth="1"/>
    <col min="3076" max="3076" width="14" style="1198" customWidth="1"/>
    <col min="3077" max="3077" width="14.36328125" style="1198" bestFit="1" customWidth="1"/>
    <col min="3078" max="3078" width="13" style="1198" bestFit="1" customWidth="1"/>
    <col min="3079" max="3079" width="22" style="1198" customWidth="1"/>
    <col min="3080" max="3080" width="70.7265625" style="1198" bestFit="1" customWidth="1"/>
    <col min="3081" max="3328" width="8.7265625" style="1198"/>
    <col min="3329" max="3329" width="6.1796875" style="1198" bestFit="1" customWidth="1"/>
    <col min="3330" max="3330" width="19.7265625" style="1198" bestFit="1" customWidth="1"/>
    <col min="3331" max="3331" width="10.1796875" style="1198" bestFit="1" customWidth="1"/>
    <col min="3332" max="3332" width="14" style="1198" customWidth="1"/>
    <col min="3333" max="3333" width="14.36328125" style="1198" bestFit="1" customWidth="1"/>
    <col min="3334" max="3334" width="13" style="1198" bestFit="1" customWidth="1"/>
    <col min="3335" max="3335" width="22" style="1198" customWidth="1"/>
    <col min="3336" max="3336" width="70.7265625" style="1198" bestFit="1" customWidth="1"/>
    <col min="3337" max="3584" width="8.7265625" style="1198"/>
    <col min="3585" max="3585" width="6.1796875" style="1198" bestFit="1" customWidth="1"/>
    <col min="3586" max="3586" width="19.7265625" style="1198" bestFit="1" customWidth="1"/>
    <col min="3587" max="3587" width="10.1796875" style="1198" bestFit="1" customWidth="1"/>
    <col min="3588" max="3588" width="14" style="1198" customWidth="1"/>
    <col min="3589" max="3589" width="14.36328125" style="1198" bestFit="1" customWidth="1"/>
    <col min="3590" max="3590" width="13" style="1198" bestFit="1" customWidth="1"/>
    <col min="3591" max="3591" width="22" style="1198" customWidth="1"/>
    <col min="3592" max="3592" width="70.7265625" style="1198" bestFit="1" customWidth="1"/>
    <col min="3593" max="3840" width="8.7265625" style="1198"/>
    <col min="3841" max="3841" width="6.1796875" style="1198" bestFit="1" customWidth="1"/>
    <col min="3842" max="3842" width="19.7265625" style="1198" bestFit="1" customWidth="1"/>
    <col min="3843" max="3843" width="10.1796875" style="1198" bestFit="1" customWidth="1"/>
    <col min="3844" max="3844" width="14" style="1198" customWidth="1"/>
    <col min="3845" max="3845" width="14.36328125" style="1198" bestFit="1" customWidth="1"/>
    <col min="3846" max="3846" width="13" style="1198" bestFit="1" customWidth="1"/>
    <col min="3847" max="3847" width="22" style="1198" customWidth="1"/>
    <col min="3848" max="3848" width="70.7265625" style="1198" bestFit="1" customWidth="1"/>
    <col min="3849" max="4096" width="8.7265625" style="1198"/>
    <col min="4097" max="4097" width="6.1796875" style="1198" bestFit="1" customWidth="1"/>
    <col min="4098" max="4098" width="19.7265625" style="1198" bestFit="1" customWidth="1"/>
    <col min="4099" max="4099" width="10.1796875" style="1198" bestFit="1" customWidth="1"/>
    <col min="4100" max="4100" width="14" style="1198" customWidth="1"/>
    <col min="4101" max="4101" width="14.36328125" style="1198" bestFit="1" customWidth="1"/>
    <col min="4102" max="4102" width="13" style="1198" bestFit="1" customWidth="1"/>
    <col min="4103" max="4103" width="22" style="1198" customWidth="1"/>
    <col min="4104" max="4104" width="70.7265625" style="1198" bestFit="1" customWidth="1"/>
    <col min="4105" max="4352" width="8.7265625" style="1198"/>
    <col min="4353" max="4353" width="6.1796875" style="1198" bestFit="1" customWidth="1"/>
    <col min="4354" max="4354" width="19.7265625" style="1198" bestFit="1" customWidth="1"/>
    <col min="4355" max="4355" width="10.1796875" style="1198" bestFit="1" customWidth="1"/>
    <col min="4356" max="4356" width="14" style="1198" customWidth="1"/>
    <col min="4357" max="4357" width="14.36328125" style="1198" bestFit="1" customWidth="1"/>
    <col min="4358" max="4358" width="13" style="1198" bestFit="1" customWidth="1"/>
    <col min="4359" max="4359" width="22" style="1198" customWidth="1"/>
    <col min="4360" max="4360" width="70.7265625" style="1198" bestFit="1" customWidth="1"/>
    <col min="4361" max="4608" width="8.7265625" style="1198"/>
    <col min="4609" max="4609" width="6.1796875" style="1198" bestFit="1" customWidth="1"/>
    <col min="4610" max="4610" width="19.7265625" style="1198" bestFit="1" customWidth="1"/>
    <col min="4611" max="4611" width="10.1796875" style="1198" bestFit="1" customWidth="1"/>
    <col min="4612" max="4612" width="14" style="1198" customWidth="1"/>
    <col min="4613" max="4613" width="14.36328125" style="1198" bestFit="1" customWidth="1"/>
    <col min="4614" max="4614" width="13" style="1198" bestFit="1" customWidth="1"/>
    <col min="4615" max="4615" width="22" style="1198" customWidth="1"/>
    <col min="4616" max="4616" width="70.7265625" style="1198" bestFit="1" customWidth="1"/>
    <col min="4617" max="4864" width="8.7265625" style="1198"/>
    <col min="4865" max="4865" width="6.1796875" style="1198" bestFit="1" customWidth="1"/>
    <col min="4866" max="4866" width="19.7265625" style="1198" bestFit="1" customWidth="1"/>
    <col min="4867" max="4867" width="10.1796875" style="1198" bestFit="1" customWidth="1"/>
    <col min="4868" max="4868" width="14" style="1198" customWidth="1"/>
    <col min="4869" max="4869" width="14.36328125" style="1198" bestFit="1" customWidth="1"/>
    <col min="4870" max="4870" width="13" style="1198" bestFit="1" customWidth="1"/>
    <col min="4871" max="4871" width="22" style="1198" customWidth="1"/>
    <col min="4872" max="4872" width="70.7265625" style="1198" bestFit="1" customWidth="1"/>
    <col min="4873" max="5120" width="8.7265625" style="1198"/>
    <col min="5121" max="5121" width="6.1796875" style="1198" bestFit="1" customWidth="1"/>
    <col min="5122" max="5122" width="19.7265625" style="1198" bestFit="1" customWidth="1"/>
    <col min="5123" max="5123" width="10.1796875" style="1198" bestFit="1" customWidth="1"/>
    <col min="5124" max="5124" width="14" style="1198" customWidth="1"/>
    <col min="5125" max="5125" width="14.36328125" style="1198" bestFit="1" customWidth="1"/>
    <col min="5126" max="5126" width="13" style="1198" bestFit="1" customWidth="1"/>
    <col min="5127" max="5127" width="22" style="1198" customWidth="1"/>
    <col min="5128" max="5128" width="70.7265625" style="1198" bestFit="1" customWidth="1"/>
    <col min="5129" max="5376" width="8.7265625" style="1198"/>
    <col min="5377" max="5377" width="6.1796875" style="1198" bestFit="1" customWidth="1"/>
    <col min="5378" max="5378" width="19.7265625" style="1198" bestFit="1" customWidth="1"/>
    <col min="5379" max="5379" width="10.1796875" style="1198" bestFit="1" customWidth="1"/>
    <col min="5380" max="5380" width="14" style="1198" customWidth="1"/>
    <col min="5381" max="5381" width="14.36328125" style="1198" bestFit="1" customWidth="1"/>
    <col min="5382" max="5382" width="13" style="1198" bestFit="1" customWidth="1"/>
    <col min="5383" max="5383" width="22" style="1198" customWidth="1"/>
    <col min="5384" max="5384" width="70.7265625" style="1198" bestFit="1" customWidth="1"/>
    <col min="5385" max="5632" width="8.7265625" style="1198"/>
    <col min="5633" max="5633" width="6.1796875" style="1198" bestFit="1" customWidth="1"/>
    <col min="5634" max="5634" width="19.7265625" style="1198" bestFit="1" customWidth="1"/>
    <col min="5635" max="5635" width="10.1796875" style="1198" bestFit="1" customWidth="1"/>
    <col min="5636" max="5636" width="14" style="1198" customWidth="1"/>
    <col min="5637" max="5637" width="14.36328125" style="1198" bestFit="1" customWidth="1"/>
    <col min="5638" max="5638" width="13" style="1198" bestFit="1" customWidth="1"/>
    <col min="5639" max="5639" width="22" style="1198" customWidth="1"/>
    <col min="5640" max="5640" width="70.7265625" style="1198" bestFit="1" customWidth="1"/>
    <col min="5641" max="5888" width="8.7265625" style="1198"/>
    <col min="5889" max="5889" width="6.1796875" style="1198" bestFit="1" customWidth="1"/>
    <col min="5890" max="5890" width="19.7265625" style="1198" bestFit="1" customWidth="1"/>
    <col min="5891" max="5891" width="10.1796875" style="1198" bestFit="1" customWidth="1"/>
    <col min="5892" max="5892" width="14" style="1198" customWidth="1"/>
    <col min="5893" max="5893" width="14.36328125" style="1198" bestFit="1" customWidth="1"/>
    <col min="5894" max="5894" width="13" style="1198" bestFit="1" customWidth="1"/>
    <col min="5895" max="5895" width="22" style="1198" customWidth="1"/>
    <col min="5896" max="5896" width="70.7265625" style="1198" bestFit="1" customWidth="1"/>
    <col min="5897" max="6144" width="8.7265625" style="1198"/>
    <col min="6145" max="6145" width="6.1796875" style="1198" bestFit="1" customWidth="1"/>
    <col min="6146" max="6146" width="19.7265625" style="1198" bestFit="1" customWidth="1"/>
    <col min="6147" max="6147" width="10.1796875" style="1198" bestFit="1" customWidth="1"/>
    <col min="6148" max="6148" width="14" style="1198" customWidth="1"/>
    <col min="6149" max="6149" width="14.36328125" style="1198" bestFit="1" customWidth="1"/>
    <col min="6150" max="6150" width="13" style="1198" bestFit="1" customWidth="1"/>
    <col min="6151" max="6151" width="22" style="1198" customWidth="1"/>
    <col min="6152" max="6152" width="70.7265625" style="1198" bestFit="1" customWidth="1"/>
    <col min="6153" max="6400" width="8.7265625" style="1198"/>
    <col min="6401" max="6401" width="6.1796875" style="1198" bestFit="1" customWidth="1"/>
    <col min="6402" max="6402" width="19.7265625" style="1198" bestFit="1" customWidth="1"/>
    <col min="6403" max="6403" width="10.1796875" style="1198" bestFit="1" customWidth="1"/>
    <col min="6404" max="6404" width="14" style="1198" customWidth="1"/>
    <col min="6405" max="6405" width="14.36328125" style="1198" bestFit="1" customWidth="1"/>
    <col min="6406" max="6406" width="13" style="1198" bestFit="1" customWidth="1"/>
    <col min="6407" max="6407" width="22" style="1198" customWidth="1"/>
    <col min="6408" max="6408" width="70.7265625" style="1198" bestFit="1" customWidth="1"/>
    <col min="6409" max="6656" width="8.7265625" style="1198"/>
    <col min="6657" max="6657" width="6.1796875" style="1198" bestFit="1" customWidth="1"/>
    <col min="6658" max="6658" width="19.7265625" style="1198" bestFit="1" customWidth="1"/>
    <col min="6659" max="6659" width="10.1796875" style="1198" bestFit="1" customWidth="1"/>
    <col min="6660" max="6660" width="14" style="1198" customWidth="1"/>
    <col min="6661" max="6661" width="14.36328125" style="1198" bestFit="1" customWidth="1"/>
    <col min="6662" max="6662" width="13" style="1198" bestFit="1" customWidth="1"/>
    <col min="6663" max="6663" width="22" style="1198" customWidth="1"/>
    <col min="6664" max="6664" width="70.7265625" style="1198" bestFit="1" customWidth="1"/>
    <col min="6665" max="6912" width="8.7265625" style="1198"/>
    <col min="6913" max="6913" width="6.1796875" style="1198" bestFit="1" customWidth="1"/>
    <col min="6914" max="6914" width="19.7265625" style="1198" bestFit="1" customWidth="1"/>
    <col min="6915" max="6915" width="10.1796875" style="1198" bestFit="1" customWidth="1"/>
    <col min="6916" max="6916" width="14" style="1198" customWidth="1"/>
    <col min="6917" max="6917" width="14.36328125" style="1198" bestFit="1" customWidth="1"/>
    <col min="6918" max="6918" width="13" style="1198" bestFit="1" customWidth="1"/>
    <col min="6919" max="6919" width="22" style="1198" customWidth="1"/>
    <col min="6920" max="6920" width="70.7265625" style="1198" bestFit="1" customWidth="1"/>
    <col min="6921" max="7168" width="8.7265625" style="1198"/>
    <col min="7169" max="7169" width="6.1796875" style="1198" bestFit="1" customWidth="1"/>
    <col min="7170" max="7170" width="19.7265625" style="1198" bestFit="1" customWidth="1"/>
    <col min="7171" max="7171" width="10.1796875" style="1198" bestFit="1" customWidth="1"/>
    <col min="7172" max="7172" width="14" style="1198" customWidth="1"/>
    <col min="7173" max="7173" width="14.36328125" style="1198" bestFit="1" customWidth="1"/>
    <col min="7174" max="7174" width="13" style="1198" bestFit="1" customWidth="1"/>
    <col min="7175" max="7175" width="22" style="1198" customWidth="1"/>
    <col min="7176" max="7176" width="70.7265625" style="1198" bestFit="1" customWidth="1"/>
    <col min="7177" max="7424" width="8.7265625" style="1198"/>
    <col min="7425" max="7425" width="6.1796875" style="1198" bestFit="1" customWidth="1"/>
    <col min="7426" max="7426" width="19.7265625" style="1198" bestFit="1" customWidth="1"/>
    <col min="7427" max="7427" width="10.1796875" style="1198" bestFit="1" customWidth="1"/>
    <col min="7428" max="7428" width="14" style="1198" customWidth="1"/>
    <col min="7429" max="7429" width="14.36328125" style="1198" bestFit="1" customWidth="1"/>
    <col min="7430" max="7430" width="13" style="1198" bestFit="1" customWidth="1"/>
    <col min="7431" max="7431" width="22" style="1198" customWidth="1"/>
    <col min="7432" max="7432" width="70.7265625" style="1198" bestFit="1" customWidth="1"/>
    <col min="7433" max="7680" width="8.7265625" style="1198"/>
    <col min="7681" max="7681" width="6.1796875" style="1198" bestFit="1" customWidth="1"/>
    <col min="7682" max="7682" width="19.7265625" style="1198" bestFit="1" customWidth="1"/>
    <col min="7683" max="7683" width="10.1796875" style="1198" bestFit="1" customWidth="1"/>
    <col min="7684" max="7684" width="14" style="1198" customWidth="1"/>
    <col min="7685" max="7685" width="14.36328125" style="1198" bestFit="1" customWidth="1"/>
    <col min="7686" max="7686" width="13" style="1198" bestFit="1" customWidth="1"/>
    <col min="7687" max="7687" width="22" style="1198" customWidth="1"/>
    <col min="7688" max="7688" width="70.7265625" style="1198" bestFit="1" customWidth="1"/>
    <col min="7689" max="7936" width="8.7265625" style="1198"/>
    <col min="7937" max="7937" width="6.1796875" style="1198" bestFit="1" customWidth="1"/>
    <col min="7938" max="7938" width="19.7265625" style="1198" bestFit="1" customWidth="1"/>
    <col min="7939" max="7939" width="10.1796875" style="1198" bestFit="1" customWidth="1"/>
    <col min="7940" max="7940" width="14" style="1198" customWidth="1"/>
    <col min="7941" max="7941" width="14.36328125" style="1198" bestFit="1" customWidth="1"/>
    <col min="7942" max="7942" width="13" style="1198" bestFit="1" customWidth="1"/>
    <col min="7943" max="7943" width="22" style="1198" customWidth="1"/>
    <col min="7944" max="7944" width="70.7265625" style="1198" bestFit="1" customWidth="1"/>
    <col min="7945" max="8192" width="8.7265625" style="1198"/>
    <col min="8193" max="8193" width="6.1796875" style="1198" bestFit="1" customWidth="1"/>
    <col min="8194" max="8194" width="19.7265625" style="1198" bestFit="1" customWidth="1"/>
    <col min="8195" max="8195" width="10.1796875" style="1198" bestFit="1" customWidth="1"/>
    <col min="8196" max="8196" width="14" style="1198" customWidth="1"/>
    <col min="8197" max="8197" width="14.36328125" style="1198" bestFit="1" customWidth="1"/>
    <col min="8198" max="8198" width="13" style="1198" bestFit="1" customWidth="1"/>
    <col min="8199" max="8199" width="22" style="1198" customWidth="1"/>
    <col min="8200" max="8200" width="70.7265625" style="1198" bestFit="1" customWidth="1"/>
    <col min="8201" max="8448" width="8.7265625" style="1198"/>
    <col min="8449" max="8449" width="6.1796875" style="1198" bestFit="1" customWidth="1"/>
    <col min="8450" max="8450" width="19.7265625" style="1198" bestFit="1" customWidth="1"/>
    <col min="8451" max="8451" width="10.1796875" style="1198" bestFit="1" customWidth="1"/>
    <col min="8452" max="8452" width="14" style="1198" customWidth="1"/>
    <col min="8453" max="8453" width="14.36328125" style="1198" bestFit="1" customWidth="1"/>
    <col min="8454" max="8454" width="13" style="1198" bestFit="1" customWidth="1"/>
    <col min="8455" max="8455" width="22" style="1198" customWidth="1"/>
    <col min="8456" max="8456" width="70.7265625" style="1198" bestFit="1" customWidth="1"/>
    <col min="8457" max="8704" width="8.7265625" style="1198"/>
    <col min="8705" max="8705" width="6.1796875" style="1198" bestFit="1" customWidth="1"/>
    <col min="8706" max="8706" width="19.7265625" style="1198" bestFit="1" customWidth="1"/>
    <col min="8707" max="8707" width="10.1796875" style="1198" bestFit="1" customWidth="1"/>
    <col min="8708" max="8708" width="14" style="1198" customWidth="1"/>
    <col min="8709" max="8709" width="14.36328125" style="1198" bestFit="1" customWidth="1"/>
    <col min="8710" max="8710" width="13" style="1198" bestFit="1" customWidth="1"/>
    <col min="8711" max="8711" width="22" style="1198" customWidth="1"/>
    <col min="8712" max="8712" width="70.7265625" style="1198" bestFit="1" customWidth="1"/>
    <col min="8713" max="8960" width="8.7265625" style="1198"/>
    <col min="8961" max="8961" width="6.1796875" style="1198" bestFit="1" customWidth="1"/>
    <col min="8962" max="8962" width="19.7265625" style="1198" bestFit="1" customWidth="1"/>
    <col min="8963" max="8963" width="10.1796875" style="1198" bestFit="1" customWidth="1"/>
    <col min="8964" max="8964" width="14" style="1198" customWidth="1"/>
    <col min="8965" max="8965" width="14.36328125" style="1198" bestFit="1" customWidth="1"/>
    <col min="8966" max="8966" width="13" style="1198" bestFit="1" customWidth="1"/>
    <col min="8967" max="8967" width="22" style="1198" customWidth="1"/>
    <col min="8968" max="8968" width="70.7265625" style="1198" bestFit="1" customWidth="1"/>
    <col min="8969" max="9216" width="8.7265625" style="1198"/>
    <col min="9217" max="9217" width="6.1796875" style="1198" bestFit="1" customWidth="1"/>
    <col min="9218" max="9218" width="19.7265625" style="1198" bestFit="1" customWidth="1"/>
    <col min="9219" max="9219" width="10.1796875" style="1198" bestFit="1" customWidth="1"/>
    <col min="9220" max="9220" width="14" style="1198" customWidth="1"/>
    <col min="9221" max="9221" width="14.36328125" style="1198" bestFit="1" customWidth="1"/>
    <col min="9222" max="9222" width="13" style="1198" bestFit="1" customWidth="1"/>
    <col min="9223" max="9223" width="22" style="1198" customWidth="1"/>
    <col min="9224" max="9224" width="70.7265625" style="1198" bestFit="1" customWidth="1"/>
    <col min="9225" max="9472" width="8.7265625" style="1198"/>
    <col min="9473" max="9473" width="6.1796875" style="1198" bestFit="1" customWidth="1"/>
    <col min="9474" max="9474" width="19.7265625" style="1198" bestFit="1" customWidth="1"/>
    <col min="9475" max="9475" width="10.1796875" style="1198" bestFit="1" customWidth="1"/>
    <col min="9476" max="9476" width="14" style="1198" customWidth="1"/>
    <col min="9477" max="9477" width="14.36328125" style="1198" bestFit="1" customWidth="1"/>
    <col min="9478" max="9478" width="13" style="1198" bestFit="1" customWidth="1"/>
    <col min="9479" max="9479" width="22" style="1198" customWidth="1"/>
    <col min="9480" max="9480" width="70.7265625" style="1198" bestFit="1" customWidth="1"/>
    <col min="9481" max="9728" width="8.7265625" style="1198"/>
    <col min="9729" max="9729" width="6.1796875" style="1198" bestFit="1" customWidth="1"/>
    <col min="9730" max="9730" width="19.7265625" style="1198" bestFit="1" customWidth="1"/>
    <col min="9731" max="9731" width="10.1796875" style="1198" bestFit="1" customWidth="1"/>
    <col min="9732" max="9732" width="14" style="1198" customWidth="1"/>
    <col min="9733" max="9733" width="14.36328125" style="1198" bestFit="1" customWidth="1"/>
    <col min="9734" max="9734" width="13" style="1198" bestFit="1" customWidth="1"/>
    <col min="9735" max="9735" width="22" style="1198" customWidth="1"/>
    <col min="9736" max="9736" width="70.7265625" style="1198" bestFit="1" customWidth="1"/>
    <col min="9737" max="9984" width="8.7265625" style="1198"/>
    <col min="9985" max="9985" width="6.1796875" style="1198" bestFit="1" customWidth="1"/>
    <col min="9986" max="9986" width="19.7265625" style="1198" bestFit="1" customWidth="1"/>
    <col min="9987" max="9987" width="10.1796875" style="1198" bestFit="1" customWidth="1"/>
    <col min="9988" max="9988" width="14" style="1198" customWidth="1"/>
    <col min="9989" max="9989" width="14.36328125" style="1198" bestFit="1" customWidth="1"/>
    <col min="9990" max="9990" width="13" style="1198" bestFit="1" customWidth="1"/>
    <col min="9991" max="9991" width="22" style="1198" customWidth="1"/>
    <col min="9992" max="9992" width="70.7265625" style="1198" bestFit="1" customWidth="1"/>
    <col min="9993" max="10240" width="8.7265625" style="1198"/>
    <col min="10241" max="10241" width="6.1796875" style="1198" bestFit="1" customWidth="1"/>
    <col min="10242" max="10242" width="19.7265625" style="1198" bestFit="1" customWidth="1"/>
    <col min="10243" max="10243" width="10.1796875" style="1198" bestFit="1" customWidth="1"/>
    <col min="10244" max="10244" width="14" style="1198" customWidth="1"/>
    <col min="10245" max="10245" width="14.36328125" style="1198" bestFit="1" customWidth="1"/>
    <col min="10246" max="10246" width="13" style="1198" bestFit="1" customWidth="1"/>
    <col min="10247" max="10247" width="22" style="1198" customWidth="1"/>
    <col min="10248" max="10248" width="70.7265625" style="1198" bestFit="1" customWidth="1"/>
    <col min="10249" max="10496" width="8.7265625" style="1198"/>
    <col min="10497" max="10497" width="6.1796875" style="1198" bestFit="1" customWidth="1"/>
    <col min="10498" max="10498" width="19.7265625" style="1198" bestFit="1" customWidth="1"/>
    <col min="10499" max="10499" width="10.1796875" style="1198" bestFit="1" customWidth="1"/>
    <col min="10500" max="10500" width="14" style="1198" customWidth="1"/>
    <col min="10501" max="10501" width="14.36328125" style="1198" bestFit="1" customWidth="1"/>
    <col min="10502" max="10502" width="13" style="1198" bestFit="1" customWidth="1"/>
    <col min="10503" max="10503" width="22" style="1198" customWidth="1"/>
    <col min="10504" max="10504" width="70.7265625" style="1198" bestFit="1" customWidth="1"/>
    <col min="10505" max="10752" width="8.7265625" style="1198"/>
    <col min="10753" max="10753" width="6.1796875" style="1198" bestFit="1" customWidth="1"/>
    <col min="10754" max="10754" width="19.7265625" style="1198" bestFit="1" customWidth="1"/>
    <col min="10755" max="10755" width="10.1796875" style="1198" bestFit="1" customWidth="1"/>
    <col min="10756" max="10756" width="14" style="1198" customWidth="1"/>
    <col min="10757" max="10757" width="14.36328125" style="1198" bestFit="1" customWidth="1"/>
    <col min="10758" max="10758" width="13" style="1198" bestFit="1" customWidth="1"/>
    <col min="10759" max="10759" width="22" style="1198" customWidth="1"/>
    <col min="10760" max="10760" width="70.7265625" style="1198" bestFit="1" customWidth="1"/>
    <col min="10761" max="11008" width="8.7265625" style="1198"/>
    <col min="11009" max="11009" width="6.1796875" style="1198" bestFit="1" customWidth="1"/>
    <col min="11010" max="11010" width="19.7265625" style="1198" bestFit="1" customWidth="1"/>
    <col min="11011" max="11011" width="10.1796875" style="1198" bestFit="1" customWidth="1"/>
    <col min="11012" max="11012" width="14" style="1198" customWidth="1"/>
    <col min="11013" max="11013" width="14.36328125" style="1198" bestFit="1" customWidth="1"/>
    <col min="11014" max="11014" width="13" style="1198" bestFit="1" customWidth="1"/>
    <col min="11015" max="11015" width="22" style="1198" customWidth="1"/>
    <col min="11016" max="11016" width="70.7265625" style="1198" bestFit="1" customWidth="1"/>
    <col min="11017" max="11264" width="8.7265625" style="1198"/>
    <col min="11265" max="11265" width="6.1796875" style="1198" bestFit="1" customWidth="1"/>
    <col min="11266" max="11266" width="19.7265625" style="1198" bestFit="1" customWidth="1"/>
    <col min="11267" max="11267" width="10.1796875" style="1198" bestFit="1" customWidth="1"/>
    <col min="11268" max="11268" width="14" style="1198" customWidth="1"/>
    <col min="11269" max="11269" width="14.36328125" style="1198" bestFit="1" customWidth="1"/>
    <col min="11270" max="11270" width="13" style="1198" bestFit="1" customWidth="1"/>
    <col min="11271" max="11271" width="22" style="1198" customWidth="1"/>
    <col min="11272" max="11272" width="70.7265625" style="1198" bestFit="1" customWidth="1"/>
    <col min="11273" max="11520" width="8.7265625" style="1198"/>
    <col min="11521" max="11521" width="6.1796875" style="1198" bestFit="1" customWidth="1"/>
    <col min="11522" max="11522" width="19.7265625" style="1198" bestFit="1" customWidth="1"/>
    <col min="11523" max="11523" width="10.1796875" style="1198" bestFit="1" customWidth="1"/>
    <col min="11524" max="11524" width="14" style="1198" customWidth="1"/>
    <col min="11525" max="11525" width="14.36328125" style="1198" bestFit="1" customWidth="1"/>
    <col min="11526" max="11526" width="13" style="1198" bestFit="1" customWidth="1"/>
    <col min="11527" max="11527" width="22" style="1198" customWidth="1"/>
    <col min="11528" max="11528" width="70.7265625" style="1198" bestFit="1" customWidth="1"/>
    <col min="11529" max="11776" width="8.7265625" style="1198"/>
    <col min="11777" max="11777" width="6.1796875" style="1198" bestFit="1" customWidth="1"/>
    <col min="11778" max="11778" width="19.7265625" style="1198" bestFit="1" customWidth="1"/>
    <col min="11779" max="11779" width="10.1796875" style="1198" bestFit="1" customWidth="1"/>
    <col min="11780" max="11780" width="14" style="1198" customWidth="1"/>
    <col min="11781" max="11781" width="14.36328125" style="1198" bestFit="1" customWidth="1"/>
    <col min="11782" max="11782" width="13" style="1198" bestFit="1" customWidth="1"/>
    <col min="11783" max="11783" width="22" style="1198" customWidth="1"/>
    <col min="11784" max="11784" width="70.7265625" style="1198" bestFit="1" customWidth="1"/>
    <col min="11785" max="12032" width="8.7265625" style="1198"/>
    <col min="12033" max="12033" width="6.1796875" style="1198" bestFit="1" customWidth="1"/>
    <col min="12034" max="12034" width="19.7265625" style="1198" bestFit="1" customWidth="1"/>
    <col min="12035" max="12035" width="10.1796875" style="1198" bestFit="1" customWidth="1"/>
    <col min="12036" max="12036" width="14" style="1198" customWidth="1"/>
    <col min="12037" max="12037" width="14.36328125" style="1198" bestFit="1" customWidth="1"/>
    <col min="12038" max="12038" width="13" style="1198" bestFit="1" customWidth="1"/>
    <col min="12039" max="12039" width="22" style="1198" customWidth="1"/>
    <col min="12040" max="12040" width="70.7265625" style="1198" bestFit="1" customWidth="1"/>
    <col min="12041" max="12288" width="8.7265625" style="1198"/>
    <col min="12289" max="12289" width="6.1796875" style="1198" bestFit="1" customWidth="1"/>
    <col min="12290" max="12290" width="19.7265625" style="1198" bestFit="1" customWidth="1"/>
    <col min="12291" max="12291" width="10.1796875" style="1198" bestFit="1" customWidth="1"/>
    <col min="12292" max="12292" width="14" style="1198" customWidth="1"/>
    <col min="12293" max="12293" width="14.36328125" style="1198" bestFit="1" customWidth="1"/>
    <col min="12294" max="12294" width="13" style="1198" bestFit="1" customWidth="1"/>
    <col min="12295" max="12295" width="22" style="1198" customWidth="1"/>
    <col min="12296" max="12296" width="70.7265625" style="1198" bestFit="1" customWidth="1"/>
    <col min="12297" max="12544" width="8.7265625" style="1198"/>
    <col min="12545" max="12545" width="6.1796875" style="1198" bestFit="1" customWidth="1"/>
    <col min="12546" max="12546" width="19.7265625" style="1198" bestFit="1" customWidth="1"/>
    <col min="12547" max="12547" width="10.1796875" style="1198" bestFit="1" customWidth="1"/>
    <col min="12548" max="12548" width="14" style="1198" customWidth="1"/>
    <col min="12549" max="12549" width="14.36328125" style="1198" bestFit="1" customWidth="1"/>
    <col min="12550" max="12550" width="13" style="1198" bestFit="1" customWidth="1"/>
    <col min="12551" max="12551" width="22" style="1198" customWidth="1"/>
    <col min="12552" max="12552" width="70.7265625" style="1198" bestFit="1" customWidth="1"/>
    <col min="12553" max="12800" width="8.7265625" style="1198"/>
    <col min="12801" max="12801" width="6.1796875" style="1198" bestFit="1" customWidth="1"/>
    <col min="12802" max="12802" width="19.7265625" style="1198" bestFit="1" customWidth="1"/>
    <col min="12803" max="12803" width="10.1796875" style="1198" bestFit="1" customWidth="1"/>
    <col min="12804" max="12804" width="14" style="1198" customWidth="1"/>
    <col min="12805" max="12805" width="14.36328125" style="1198" bestFit="1" customWidth="1"/>
    <col min="12806" max="12806" width="13" style="1198" bestFit="1" customWidth="1"/>
    <col min="12807" max="12807" width="22" style="1198" customWidth="1"/>
    <col min="12808" max="12808" width="70.7265625" style="1198" bestFit="1" customWidth="1"/>
    <col min="12809" max="13056" width="8.7265625" style="1198"/>
    <col min="13057" max="13057" width="6.1796875" style="1198" bestFit="1" customWidth="1"/>
    <col min="13058" max="13058" width="19.7265625" style="1198" bestFit="1" customWidth="1"/>
    <col min="13059" max="13059" width="10.1796875" style="1198" bestFit="1" customWidth="1"/>
    <col min="13060" max="13060" width="14" style="1198" customWidth="1"/>
    <col min="13061" max="13061" width="14.36328125" style="1198" bestFit="1" customWidth="1"/>
    <col min="13062" max="13062" width="13" style="1198" bestFit="1" customWidth="1"/>
    <col min="13063" max="13063" width="22" style="1198" customWidth="1"/>
    <col min="13064" max="13064" width="70.7265625" style="1198" bestFit="1" customWidth="1"/>
    <col min="13065" max="13312" width="8.7265625" style="1198"/>
    <col min="13313" max="13313" width="6.1796875" style="1198" bestFit="1" customWidth="1"/>
    <col min="13314" max="13314" width="19.7265625" style="1198" bestFit="1" customWidth="1"/>
    <col min="13315" max="13315" width="10.1796875" style="1198" bestFit="1" customWidth="1"/>
    <col min="13316" max="13316" width="14" style="1198" customWidth="1"/>
    <col min="13317" max="13317" width="14.36328125" style="1198" bestFit="1" customWidth="1"/>
    <col min="13318" max="13318" width="13" style="1198" bestFit="1" customWidth="1"/>
    <col min="13319" max="13319" width="22" style="1198" customWidth="1"/>
    <col min="13320" max="13320" width="70.7265625" style="1198" bestFit="1" customWidth="1"/>
    <col min="13321" max="13568" width="8.7265625" style="1198"/>
    <col min="13569" max="13569" width="6.1796875" style="1198" bestFit="1" customWidth="1"/>
    <col min="13570" max="13570" width="19.7265625" style="1198" bestFit="1" customWidth="1"/>
    <col min="13571" max="13571" width="10.1796875" style="1198" bestFit="1" customWidth="1"/>
    <col min="13572" max="13572" width="14" style="1198" customWidth="1"/>
    <col min="13573" max="13573" width="14.36328125" style="1198" bestFit="1" customWidth="1"/>
    <col min="13574" max="13574" width="13" style="1198" bestFit="1" customWidth="1"/>
    <col min="13575" max="13575" width="22" style="1198" customWidth="1"/>
    <col min="13576" max="13576" width="70.7265625" style="1198" bestFit="1" customWidth="1"/>
    <col min="13577" max="13824" width="8.7265625" style="1198"/>
    <col min="13825" max="13825" width="6.1796875" style="1198" bestFit="1" customWidth="1"/>
    <col min="13826" max="13826" width="19.7265625" style="1198" bestFit="1" customWidth="1"/>
    <col min="13827" max="13827" width="10.1796875" style="1198" bestFit="1" customWidth="1"/>
    <col min="13828" max="13828" width="14" style="1198" customWidth="1"/>
    <col min="13829" max="13829" width="14.36328125" style="1198" bestFit="1" customWidth="1"/>
    <col min="13830" max="13830" width="13" style="1198" bestFit="1" customWidth="1"/>
    <col min="13831" max="13831" width="22" style="1198" customWidth="1"/>
    <col min="13832" max="13832" width="70.7265625" style="1198" bestFit="1" customWidth="1"/>
    <col min="13833" max="14080" width="8.7265625" style="1198"/>
    <col min="14081" max="14081" width="6.1796875" style="1198" bestFit="1" customWidth="1"/>
    <col min="14082" max="14082" width="19.7265625" style="1198" bestFit="1" customWidth="1"/>
    <col min="14083" max="14083" width="10.1796875" style="1198" bestFit="1" customWidth="1"/>
    <col min="14084" max="14084" width="14" style="1198" customWidth="1"/>
    <col min="14085" max="14085" width="14.36328125" style="1198" bestFit="1" customWidth="1"/>
    <col min="14086" max="14086" width="13" style="1198" bestFit="1" customWidth="1"/>
    <col min="14087" max="14087" width="22" style="1198" customWidth="1"/>
    <col min="14088" max="14088" width="70.7265625" style="1198" bestFit="1" customWidth="1"/>
    <col min="14089" max="14336" width="8.7265625" style="1198"/>
    <col min="14337" max="14337" width="6.1796875" style="1198" bestFit="1" customWidth="1"/>
    <col min="14338" max="14338" width="19.7265625" style="1198" bestFit="1" customWidth="1"/>
    <col min="14339" max="14339" width="10.1796875" style="1198" bestFit="1" customWidth="1"/>
    <col min="14340" max="14340" width="14" style="1198" customWidth="1"/>
    <col min="14341" max="14341" width="14.36328125" style="1198" bestFit="1" customWidth="1"/>
    <col min="14342" max="14342" width="13" style="1198" bestFit="1" customWidth="1"/>
    <col min="14343" max="14343" width="22" style="1198" customWidth="1"/>
    <col min="14344" max="14344" width="70.7265625" style="1198" bestFit="1" customWidth="1"/>
    <col min="14345" max="14592" width="8.7265625" style="1198"/>
    <col min="14593" max="14593" width="6.1796875" style="1198" bestFit="1" customWidth="1"/>
    <col min="14594" max="14594" width="19.7265625" style="1198" bestFit="1" customWidth="1"/>
    <col min="14595" max="14595" width="10.1796875" style="1198" bestFit="1" customWidth="1"/>
    <col min="14596" max="14596" width="14" style="1198" customWidth="1"/>
    <col min="14597" max="14597" width="14.36328125" style="1198" bestFit="1" customWidth="1"/>
    <col min="14598" max="14598" width="13" style="1198" bestFit="1" customWidth="1"/>
    <col min="14599" max="14599" width="22" style="1198" customWidth="1"/>
    <col min="14600" max="14600" width="70.7265625" style="1198" bestFit="1" customWidth="1"/>
    <col min="14601" max="14848" width="8.7265625" style="1198"/>
    <col min="14849" max="14849" width="6.1796875" style="1198" bestFit="1" customWidth="1"/>
    <col min="14850" max="14850" width="19.7265625" style="1198" bestFit="1" customWidth="1"/>
    <col min="14851" max="14851" width="10.1796875" style="1198" bestFit="1" customWidth="1"/>
    <col min="14852" max="14852" width="14" style="1198" customWidth="1"/>
    <col min="14853" max="14853" width="14.36328125" style="1198" bestFit="1" customWidth="1"/>
    <col min="14854" max="14854" width="13" style="1198" bestFit="1" customWidth="1"/>
    <col min="14855" max="14855" width="22" style="1198" customWidth="1"/>
    <col min="14856" max="14856" width="70.7265625" style="1198" bestFit="1" customWidth="1"/>
    <col min="14857" max="15104" width="8.7265625" style="1198"/>
    <col min="15105" max="15105" width="6.1796875" style="1198" bestFit="1" customWidth="1"/>
    <col min="15106" max="15106" width="19.7265625" style="1198" bestFit="1" customWidth="1"/>
    <col min="15107" max="15107" width="10.1796875" style="1198" bestFit="1" customWidth="1"/>
    <col min="15108" max="15108" width="14" style="1198" customWidth="1"/>
    <col min="15109" max="15109" width="14.36328125" style="1198" bestFit="1" customWidth="1"/>
    <col min="15110" max="15110" width="13" style="1198" bestFit="1" customWidth="1"/>
    <col min="15111" max="15111" width="22" style="1198" customWidth="1"/>
    <col min="15112" max="15112" width="70.7265625" style="1198" bestFit="1" customWidth="1"/>
    <col min="15113" max="15360" width="8.7265625" style="1198"/>
    <col min="15361" max="15361" width="6.1796875" style="1198" bestFit="1" customWidth="1"/>
    <col min="15362" max="15362" width="19.7265625" style="1198" bestFit="1" customWidth="1"/>
    <col min="15363" max="15363" width="10.1796875" style="1198" bestFit="1" customWidth="1"/>
    <col min="15364" max="15364" width="14" style="1198" customWidth="1"/>
    <col min="15365" max="15365" width="14.36328125" style="1198" bestFit="1" customWidth="1"/>
    <col min="15366" max="15366" width="13" style="1198" bestFit="1" customWidth="1"/>
    <col min="15367" max="15367" width="22" style="1198" customWidth="1"/>
    <col min="15368" max="15368" width="70.7265625" style="1198" bestFit="1" customWidth="1"/>
    <col min="15369" max="15616" width="8.7265625" style="1198"/>
    <col min="15617" max="15617" width="6.1796875" style="1198" bestFit="1" customWidth="1"/>
    <col min="15618" max="15618" width="19.7265625" style="1198" bestFit="1" customWidth="1"/>
    <col min="15619" max="15619" width="10.1796875" style="1198" bestFit="1" customWidth="1"/>
    <col min="15620" max="15620" width="14" style="1198" customWidth="1"/>
    <col min="15621" max="15621" width="14.36328125" style="1198" bestFit="1" customWidth="1"/>
    <col min="15622" max="15622" width="13" style="1198" bestFit="1" customWidth="1"/>
    <col min="15623" max="15623" width="22" style="1198" customWidth="1"/>
    <col min="15624" max="15624" width="70.7265625" style="1198" bestFit="1" customWidth="1"/>
    <col min="15625" max="15872" width="8.7265625" style="1198"/>
    <col min="15873" max="15873" width="6.1796875" style="1198" bestFit="1" customWidth="1"/>
    <col min="15874" max="15874" width="19.7265625" style="1198" bestFit="1" customWidth="1"/>
    <col min="15875" max="15875" width="10.1796875" style="1198" bestFit="1" customWidth="1"/>
    <col min="15876" max="15876" width="14" style="1198" customWidth="1"/>
    <col min="15877" max="15877" width="14.36328125" style="1198" bestFit="1" customWidth="1"/>
    <col min="15878" max="15878" width="13" style="1198" bestFit="1" customWidth="1"/>
    <col min="15879" max="15879" width="22" style="1198" customWidth="1"/>
    <col min="15880" max="15880" width="70.7265625" style="1198" bestFit="1" customWidth="1"/>
    <col min="15881" max="16128" width="8.7265625" style="1198"/>
    <col min="16129" max="16129" width="6.1796875" style="1198" bestFit="1" customWidth="1"/>
    <col min="16130" max="16130" width="19.7265625" style="1198" bestFit="1" customWidth="1"/>
    <col min="16131" max="16131" width="10.1796875" style="1198" bestFit="1" customWidth="1"/>
    <col min="16132" max="16132" width="14" style="1198" customWidth="1"/>
    <col min="16133" max="16133" width="14.36328125" style="1198" bestFit="1" customWidth="1"/>
    <col min="16134" max="16134" width="13" style="1198" bestFit="1" customWidth="1"/>
    <col min="16135" max="16135" width="22" style="1198" customWidth="1"/>
    <col min="16136" max="16136" width="70.7265625" style="1198" bestFit="1" customWidth="1"/>
    <col min="16137" max="16384" width="8.7265625" style="1198"/>
  </cols>
  <sheetData>
    <row r="1" spans="1:8" ht="13">
      <c r="A1" s="1596" t="s">
        <v>3452</v>
      </c>
      <c r="B1" s="1596"/>
      <c r="C1" s="1596"/>
      <c r="D1" s="1596"/>
      <c r="E1" s="1596"/>
      <c r="F1" s="1596"/>
      <c r="G1" s="1596"/>
      <c r="H1" s="1596"/>
    </row>
    <row r="2" spans="1:8" ht="40.5" customHeight="1">
      <c r="A2" s="1199" t="s">
        <v>2877</v>
      </c>
      <c r="B2" s="1199" t="s">
        <v>3267</v>
      </c>
      <c r="C2" s="1200" t="s">
        <v>2683</v>
      </c>
      <c r="D2" s="1200" t="s">
        <v>3453</v>
      </c>
      <c r="E2" s="1200" t="s">
        <v>3454</v>
      </c>
      <c r="F2" s="1200" t="s">
        <v>3581</v>
      </c>
      <c r="G2" s="1209" t="s">
        <v>3582</v>
      </c>
      <c r="H2" s="1199" t="s">
        <v>19</v>
      </c>
    </row>
    <row r="3" spans="1:8" ht="14.5">
      <c r="A3" s="1597" t="s">
        <v>1675</v>
      </c>
      <c r="B3" s="1201" t="s">
        <v>3438</v>
      </c>
      <c r="C3" s="1211" t="s">
        <v>1857</v>
      </c>
      <c r="D3" s="1203">
        <v>1</v>
      </c>
      <c r="E3" s="1203">
        <v>2</v>
      </c>
      <c r="F3" s="1203">
        <f>D3-E3</f>
        <v>-1</v>
      </c>
      <c r="G3" s="1204"/>
      <c r="H3" s="1205" t="s">
        <v>3444</v>
      </c>
    </row>
    <row r="4" spans="1:8" ht="14.5">
      <c r="A4" s="1597"/>
      <c r="B4" s="1201" t="s">
        <v>3439</v>
      </c>
      <c r="C4" s="1211" t="s">
        <v>3455</v>
      </c>
      <c r="D4" s="1203"/>
      <c r="E4" s="1203">
        <v>0</v>
      </c>
      <c r="F4" s="1203">
        <f t="shared" ref="F4:F44" si="0">D4-E4</f>
        <v>0</v>
      </c>
      <c r="G4" s="1204"/>
      <c r="H4" s="1212"/>
    </row>
    <row r="5" spans="1:8" ht="14.5">
      <c r="A5" s="1597"/>
      <c r="B5" s="1201" t="s">
        <v>3441</v>
      </c>
      <c r="C5" s="1211" t="s">
        <v>3455</v>
      </c>
      <c r="D5" s="1203"/>
      <c r="E5" s="1203">
        <v>2</v>
      </c>
      <c r="F5" s="1203">
        <f t="shared" si="0"/>
        <v>-2</v>
      </c>
      <c r="G5" s="1204"/>
      <c r="H5" s="1205" t="s">
        <v>3444</v>
      </c>
    </row>
    <row r="6" spans="1:8" ht="14.5">
      <c r="A6" s="1597"/>
      <c r="B6" s="1201" t="s">
        <v>3442</v>
      </c>
      <c r="C6" s="1211" t="s">
        <v>3455</v>
      </c>
      <c r="D6" s="1203"/>
      <c r="E6" s="1203">
        <v>0</v>
      </c>
      <c r="F6" s="1203">
        <f t="shared" si="0"/>
        <v>0</v>
      </c>
      <c r="G6" s="1204"/>
      <c r="H6" s="1205"/>
    </row>
    <row r="7" spans="1:8" ht="14.5">
      <c r="A7" s="1597"/>
      <c r="B7" s="1201" t="s">
        <v>3443</v>
      </c>
      <c r="C7" s="1211" t="s">
        <v>3455</v>
      </c>
      <c r="D7" s="1203"/>
      <c r="E7" s="1203">
        <v>0</v>
      </c>
      <c r="F7" s="1203">
        <f t="shared" si="0"/>
        <v>0</v>
      </c>
      <c r="G7" s="1204"/>
      <c r="H7" s="1206"/>
    </row>
    <row r="8" spans="1:8" ht="14.5">
      <c r="A8" s="1597" t="s">
        <v>2397</v>
      </c>
      <c r="B8" s="1201" t="s">
        <v>3438</v>
      </c>
      <c r="C8" s="1211" t="s">
        <v>1857</v>
      </c>
      <c r="D8" s="1203">
        <v>33.5</v>
      </c>
      <c r="E8" s="1203">
        <v>31</v>
      </c>
      <c r="F8" s="1203">
        <f t="shared" si="0"/>
        <v>2.5</v>
      </c>
      <c r="G8" s="1204">
        <v>2</v>
      </c>
      <c r="H8" s="1205"/>
    </row>
    <row r="9" spans="1:8" ht="14.5">
      <c r="A9" s="1597"/>
      <c r="B9" s="1201" t="s">
        <v>3439</v>
      </c>
      <c r="C9" s="1211" t="s">
        <v>3455</v>
      </c>
      <c r="D9" s="1203">
        <v>6</v>
      </c>
      <c r="E9" s="1203">
        <v>6</v>
      </c>
      <c r="F9" s="1203">
        <f t="shared" si="0"/>
        <v>0</v>
      </c>
      <c r="G9" s="1204"/>
      <c r="H9" s="1206"/>
    </row>
    <row r="10" spans="1:8" ht="14.5">
      <c r="A10" s="1597"/>
      <c r="B10" s="1201" t="s">
        <v>3441</v>
      </c>
      <c r="C10" s="1211" t="s">
        <v>3455</v>
      </c>
      <c r="D10" s="1203">
        <v>16</v>
      </c>
      <c r="E10" s="1203">
        <v>15</v>
      </c>
      <c r="F10" s="1203">
        <f t="shared" si="0"/>
        <v>1</v>
      </c>
      <c r="G10" s="1204">
        <v>1</v>
      </c>
      <c r="H10" s="1205"/>
    </row>
    <row r="11" spans="1:8" ht="14.5">
      <c r="A11" s="1597"/>
      <c r="B11" s="1201" t="s">
        <v>3442</v>
      </c>
      <c r="C11" s="1211" t="s">
        <v>3455</v>
      </c>
      <c r="D11" s="1203">
        <v>4</v>
      </c>
      <c r="E11" s="1203">
        <v>4</v>
      </c>
      <c r="F11" s="1203">
        <f t="shared" si="0"/>
        <v>0</v>
      </c>
      <c r="G11" s="1204"/>
      <c r="H11" s="1205"/>
    </row>
    <row r="12" spans="1:8" ht="14.5">
      <c r="A12" s="1597"/>
      <c r="B12" s="1201" t="s">
        <v>3445</v>
      </c>
      <c r="C12" s="1211" t="s">
        <v>3455</v>
      </c>
      <c r="D12" s="1203">
        <v>8</v>
      </c>
      <c r="E12" s="1203">
        <v>8</v>
      </c>
      <c r="F12" s="1203">
        <f t="shared" si="0"/>
        <v>0</v>
      </c>
      <c r="G12" s="1204"/>
      <c r="H12" s="1206"/>
    </row>
    <row r="13" spans="1:8" ht="14.5">
      <c r="A13" s="1597"/>
      <c r="B13" s="1201" t="s">
        <v>3448</v>
      </c>
      <c r="C13" s="1211" t="s">
        <v>3455</v>
      </c>
      <c r="D13" s="1203">
        <v>1</v>
      </c>
      <c r="E13" s="1203">
        <v>0</v>
      </c>
      <c r="F13" s="1203">
        <f t="shared" si="0"/>
        <v>1</v>
      </c>
      <c r="G13" s="1204">
        <v>1</v>
      </c>
      <c r="H13" s="1212"/>
    </row>
    <row r="14" spans="1:8" ht="14.5">
      <c r="A14" s="1597"/>
      <c r="B14" s="1201" t="s">
        <v>3456</v>
      </c>
      <c r="C14" s="1211" t="s">
        <v>3455</v>
      </c>
      <c r="D14" s="1203">
        <v>1</v>
      </c>
      <c r="E14" s="1203">
        <v>0</v>
      </c>
      <c r="F14" s="1203">
        <f t="shared" si="0"/>
        <v>1</v>
      </c>
      <c r="G14" s="1204">
        <v>1</v>
      </c>
      <c r="H14" s="1212"/>
    </row>
    <row r="15" spans="1:8" ht="14.5">
      <c r="A15" s="1597"/>
      <c r="B15" s="1201" t="s">
        <v>3457</v>
      </c>
      <c r="C15" s="1211" t="s">
        <v>3455</v>
      </c>
      <c r="D15" s="1203">
        <v>2</v>
      </c>
      <c r="E15" s="1203">
        <v>0</v>
      </c>
      <c r="F15" s="1203">
        <f t="shared" si="0"/>
        <v>2</v>
      </c>
      <c r="G15" s="1204">
        <v>2</v>
      </c>
      <c r="H15" s="1212"/>
    </row>
    <row r="16" spans="1:8" ht="14.5">
      <c r="A16" s="1597"/>
      <c r="B16" s="1201" t="s">
        <v>3458</v>
      </c>
      <c r="C16" s="1211" t="s">
        <v>3455</v>
      </c>
      <c r="D16" s="1203">
        <v>1</v>
      </c>
      <c r="E16" s="1203">
        <v>0</v>
      </c>
      <c r="F16" s="1203">
        <f t="shared" si="0"/>
        <v>1</v>
      </c>
      <c r="G16" s="1204">
        <v>1</v>
      </c>
      <c r="H16" s="1212"/>
    </row>
    <row r="17" spans="1:8" ht="14.5">
      <c r="A17" s="1597" t="s">
        <v>2398</v>
      </c>
      <c r="B17" s="1201" t="s">
        <v>3438</v>
      </c>
      <c r="C17" s="1211" t="s">
        <v>1857</v>
      </c>
      <c r="D17" s="1203">
        <f>133/4</f>
        <v>33.25</v>
      </c>
      <c r="E17" s="1203">
        <v>31</v>
      </c>
      <c r="F17" s="1203">
        <f t="shared" si="0"/>
        <v>2.25</v>
      </c>
      <c r="G17" s="1204">
        <v>2</v>
      </c>
      <c r="H17" s="1205"/>
    </row>
    <row r="18" spans="1:8" ht="14.5">
      <c r="A18" s="1597"/>
      <c r="B18" s="1201" t="s">
        <v>3439</v>
      </c>
      <c r="C18" s="1211" t="s">
        <v>3455</v>
      </c>
      <c r="D18" s="1203">
        <v>7</v>
      </c>
      <c r="E18" s="1203">
        <v>7</v>
      </c>
      <c r="F18" s="1203">
        <f t="shared" si="0"/>
        <v>0</v>
      </c>
      <c r="G18" s="1204"/>
      <c r="H18" s="1205"/>
    </row>
    <row r="19" spans="1:8" ht="14.5">
      <c r="A19" s="1597"/>
      <c r="B19" s="1201" t="s">
        <v>3441</v>
      </c>
      <c r="C19" s="1211" t="s">
        <v>3455</v>
      </c>
      <c r="D19" s="1203">
        <v>4</v>
      </c>
      <c r="E19" s="1203">
        <v>4</v>
      </c>
      <c r="F19" s="1203">
        <f t="shared" si="0"/>
        <v>0</v>
      </c>
      <c r="G19" s="1204"/>
      <c r="H19" s="1205"/>
    </row>
    <row r="20" spans="1:8" ht="14.5">
      <c r="A20" s="1597"/>
      <c r="B20" s="1201" t="s">
        <v>3442</v>
      </c>
      <c r="C20" s="1211" t="s">
        <v>3455</v>
      </c>
      <c r="D20" s="1203">
        <v>8</v>
      </c>
      <c r="E20" s="1203">
        <v>7</v>
      </c>
      <c r="F20" s="1203">
        <f t="shared" si="0"/>
        <v>1</v>
      </c>
      <c r="G20" s="1204">
        <v>1</v>
      </c>
      <c r="H20" s="1205"/>
    </row>
    <row r="21" spans="1:8" ht="14.5">
      <c r="A21" s="1597"/>
      <c r="B21" s="1201" t="s">
        <v>3443</v>
      </c>
      <c r="C21" s="1211" t="s">
        <v>3455</v>
      </c>
      <c r="D21" s="1203"/>
      <c r="E21" s="1203">
        <v>0</v>
      </c>
      <c r="F21" s="1203">
        <f t="shared" si="0"/>
        <v>0</v>
      </c>
      <c r="G21" s="1204"/>
      <c r="H21" s="1205"/>
    </row>
    <row r="22" spans="1:8" ht="14.5">
      <c r="A22" s="1597"/>
      <c r="B22" s="1201" t="s">
        <v>3445</v>
      </c>
      <c r="C22" s="1211" t="s">
        <v>3455</v>
      </c>
      <c r="D22" s="1203">
        <v>8</v>
      </c>
      <c r="E22" s="1203">
        <v>8</v>
      </c>
      <c r="F22" s="1203">
        <f t="shared" si="0"/>
        <v>0</v>
      </c>
      <c r="G22" s="1204"/>
      <c r="H22" s="1206"/>
    </row>
    <row r="23" spans="1:8" ht="14.5">
      <c r="A23" s="1597"/>
      <c r="B23" s="1201" t="s">
        <v>3447</v>
      </c>
      <c r="C23" s="1211" t="s">
        <v>3455</v>
      </c>
      <c r="D23" s="1203">
        <v>1</v>
      </c>
      <c r="E23" s="1203">
        <v>0</v>
      </c>
      <c r="F23" s="1203">
        <f t="shared" si="0"/>
        <v>1</v>
      </c>
      <c r="G23" s="1204">
        <v>1</v>
      </c>
      <c r="H23" s="1212"/>
    </row>
    <row r="24" spans="1:8" ht="14.5">
      <c r="A24" s="1597"/>
      <c r="B24" s="1201" t="s">
        <v>3448</v>
      </c>
      <c r="C24" s="1211" t="s">
        <v>3455</v>
      </c>
      <c r="D24" s="1203">
        <v>2</v>
      </c>
      <c r="E24" s="1203">
        <v>2</v>
      </c>
      <c r="F24" s="1203">
        <f t="shared" si="0"/>
        <v>0</v>
      </c>
      <c r="G24" s="1204"/>
      <c r="H24" s="1206"/>
    </row>
    <row r="25" spans="1:8" ht="14.5">
      <c r="A25" s="1597"/>
      <c r="B25" s="1201" t="s">
        <v>3457</v>
      </c>
      <c r="C25" s="1211" t="s">
        <v>3455</v>
      </c>
      <c r="D25" s="1203">
        <v>1</v>
      </c>
      <c r="E25" s="1203">
        <v>0</v>
      </c>
      <c r="F25" s="1203">
        <f t="shared" si="0"/>
        <v>1</v>
      </c>
      <c r="G25" s="1204">
        <v>1</v>
      </c>
      <c r="H25" s="1212"/>
    </row>
    <row r="26" spans="1:8" ht="14.5">
      <c r="A26" s="1597"/>
      <c r="B26" s="1201" t="s">
        <v>3459</v>
      </c>
      <c r="C26" s="1211" t="s">
        <v>3455</v>
      </c>
      <c r="D26" s="1203">
        <v>2</v>
      </c>
      <c r="E26" s="1203">
        <v>0</v>
      </c>
      <c r="F26" s="1203">
        <f t="shared" si="0"/>
        <v>2</v>
      </c>
      <c r="G26" s="1204">
        <v>2</v>
      </c>
      <c r="H26" s="1212"/>
    </row>
    <row r="27" spans="1:8" ht="14.5">
      <c r="A27" s="1598" t="s">
        <v>2425</v>
      </c>
      <c r="B27" s="1201" t="s">
        <v>3438</v>
      </c>
      <c r="C27" s="1211" t="s">
        <v>1857</v>
      </c>
      <c r="D27" s="1203">
        <v>33.5</v>
      </c>
      <c r="E27" s="1203">
        <v>28</v>
      </c>
      <c r="F27" s="1203">
        <f t="shared" si="0"/>
        <v>5.5</v>
      </c>
      <c r="G27" s="1204">
        <v>3</v>
      </c>
      <c r="H27" s="1205"/>
    </row>
    <row r="28" spans="1:8" ht="14.5">
      <c r="A28" s="1599"/>
      <c r="B28" s="1201" t="s">
        <v>3439</v>
      </c>
      <c r="C28" s="1211" t="s">
        <v>3455</v>
      </c>
      <c r="D28" s="1203">
        <v>4</v>
      </c>
      <c r="E28" s="1203">
        <v>5</v>
      </c>
      <c r="F28" s="1203">
        <f t="shared" si="0"/>
        <v>-1</v>
      </c>
      <c r="G28" s="1204"/>
      <c r="H28" s="1205" t="s">
        <v>3444</v>
      </c>
    </row>
    <row r="29" spans="1:8" ht="14.5">
      <c r="A29" s="1599"/>
      <c r="B29" s="1201" t="s">
        <v>3441</v>
      </c>
      <c r="C29" s="1211" t="s">
        <v>3455</v>
      </c>
      <c r="D29" s="1203">
        <v>6</v>
      </c>
      <c r="E29" s="1203">
        <v>5</v>
      </c>
      <c r="F29" s="1203">
        <f t="shared" si="0"/>
        <v>1</v>
      </c>
      <c r="G29" s="1204"/>
      <c r="H29" s="1205"/>
    </row>
    <row r="30" spans="1:8" ht="14.5">
      <c r="A30" s="1599"/>
      <c r="B30" s="1201" t="s">
        <v>3442</v>
      </c>
      <c r="C30" s="1211" t="s">
        <v>3455</v>
      </c>
      <c r="D30" s="1203">
        <v>10</v>
      </c>
      <c r="E30" s="1203">
        <v>9</v>
      </c>
      <c r="F30" s="1203">
        <f t="shared" si="0"/>
        <v>1</v>
      </c>
      <c r="G30" s="1204">
        <v>1</v>
      </c>
      <c r="H30" s="1205"/>
    </row>
    <row r="31" spans="1:8" ht="14.5">
      <c r="A31" s="1599"/>
      <c r="B31" s="1201" t="s">
        <v>3445</v>
      </c>
      <c r="C31" s="1211" t="s">
        <v>3455</v>
      </c>
      <c r="D31" s="1203">
        <v>5</v>
      </c>
      <c r="E31" s="1203">
        <v>5</v>
      </c>
      <c r="F31" s="1203">
        <f t="shared" si="0"/>
        <v>0</v>
      </c>
      <c r="G31" s="1204"/>
      <c r="H31" s="1205"/>
    </row>
    <row r="32" spans="1:8" ht="14.5">
      <c r="A32" s="1599"/>
      <c r="B32" s="1201" t="s">
        <v>3447</v>
      </c>
      <c r="C32" s="1211" t="s">
        <v>3455</v>
      </c>
      <c r="D32" s="1203">
        <v>3</v>
      </c>
      <c r="E32" s="1203">
        <v>3</v>
      </c>
      <c r="F32" s="1203">
        <f t="shared" si="0"/>
        <v>0</v>
      </c>
      <c r="G32" s="1204"/>
      <c r="H32" s="1206"/>
    </row>
    <row r="33" spans="1:8" ht="14.5">
      <c r="A33" s="1599"/>
      <c r="B33" s="1201" t="s">
        <v>3448</v>
      </c>
      <c r="C33" s="1211" t="s">
        <v>3455</v>
      </c>
      <c r="D33" s="1203">
        <v>1</v>
      </c>
      <c r="E33" s="1203">
        <v>1</v>
      </c>
      <c r="F33" s="1203">
        <f t="shared" si="0"/>
        <v>0</v>
      </c>
      <c r="G33" s="1204"/>
      <c r="H33" s="1206"/>
    </row>
    <row r="34" spans="1:8" ht="14.5">
      <c r="A34" s="1599"/>
      <c r="B34" s="1201" t="s">
        <v>3456</v>
      </c>
      <c r="C34" s="1211" t="s">
        <v>3455</v>
      </c>
      <c r="D34" s="1203">
        <v>6</v>
      </c>
      <c r="E34" s="1203">
        <v>6</v>
      </c>
      <c r="F34" s="1203">
        <f t="shared" si="0"/>
        <v>0</v>
      </c>
      <c r="G34" s="1204"/>
      <c r="H34" s="1206"/>
    </row>
    <row r="35" spans="1:8" ht="14.5">
      <c r="A35" s="1599"/>
      <c r="B35" s="1201" t="s">
        <v>3474</v>
      </c>
      <c r="C35" s="1211" t="s">
        <v>3455</v>
      </c>
      <c r="D35" s="1203">
        <v>1</v>
      </c>
      <c r="E35" s="1203"/>
      <c r="F35" s="1203"/>
      <c r="G35" s="1204"/>
      <c r="H35" s="1206"/>
    </row>
    <row r="36" spans="1:8" ht="14.5">
      <c r="A36" s="1599"/>
      <c r="B36" s="1201" t="s">
        <v>3460</v>
      </c>
      <c r="C36" s="1211" t="s">
        <v>3455</v>
      </c>
      <c r="D36" s="1203">
        <v>1</v>
      </c>
      <c r="E36" s="1203">
        <v>1</v>
      </c>
      <c r="F36" s="1203">
        <f t="shared" si="0"/>
        <v>0</v>
      </c>
      <c r="G36" s="1204"/>
      <c r="H36" s="1206"/>
    </row>
    <row r="37" spans="1:8" ht="14.5">
      <c r="A37" s="1599"/>
      <c r="B37" s="1201" t="s">
        <v>3446</v>
      </c>
      <c r="C37" s="1211" t="s">
        <v>1857</v>
      </c>
      <c r="D37" s="1203">
        <v>8.5</v>
      </c>
      <c r="E37" s="1203">
        <v>5</v>
      </c>
      <c r="F37" s="1203">
        <f t="shared" si="0"/>
        <v>3.5</v>
      </c>
      <c r="G37" s="1204">
        <v>1</v>
      </c>
      <c r="H37" s="1205"/>
    </row>
    <row r="38" spans="1:8" ht="14.5">
      <c r="A38" s="1599"/>
      <c r="B38" s="1201" t="s">
        <v>3439</v>
      </c>
      <c r="C38" s="1211" t="s">
        <v>3455</v>
      </c>
      <c r="D38" s="1203">
        <v>1</v>
      </c>
      <c r="E38" s="1203">
        <v>1</v>
      </c>
      <c r="F38" s="1203">
        <f t="shared" si="0"/>
        <v>0</v>
      </c>
      <c r="G38" s="1204"/>
      <c r="H38" s="1205"/>
    </row>
    <row r="39" spans="1:8" ht="14.5">
      <c r="A39" s="1599"/>
      <c r="B39" s="1201" t="s">
        <v>3441</v>
      </c>
      <c r="C39" s="1211" t="s">
        <v>3455</v>
      </c>
      <c r="D39" s="1203">
        <v>1</v>
      </c>
      <c r="E39" s="1203">
        <v>1</v>
      </c>
      <c r="F39" s="1203">
        <f t="shared" si="0"/>
        <v>0</v>
      </c>
      <c r="G39" s="1204"/>
      <c r="H39" s="1205"/>
    </row>
    <row r="40" spans="1:8" ht="14.5">
      <c r="A40" s="1599"/>
      <c r="B40" s="1201" t="s">
        <v>3442</v>
      </c>
      <c r="C40" s="1211" t="s">
        <v>3455</v>
      </c>
      <c r="D40" s="1203">
        <v>7</v>
      </c>
      <c r="E40" s="1203">
        <v>5</v>
      </c>
      <c r="F40" s="1203">
        <f t="shared" si="0"/>
        <v>2</v>
      </c>
      <c r="G40" s="1204">
        <v>2</v>
      </c>
      <c r="H40" s="1205"/>
    </row>
    <row r="41" spans="1:8" ht="14.5">
      <c r="A41" s="1599"/>
      <c r="B41" s="1201" t="s">
        <v>3447</v>
      </c>
      <c r="C41" s="1211" t="s">
        <v>3455</v>
      </c>
      <c r="D41" s="1203">
        <v>8</v>
      </c>
      <c r="E41" s="1203">
        <v>3</v>
      </c>
      <c r="F41" s="1203">
        <f t="shared" si="0"/>
        <v>5</v>
      </c>
      <c r="G41" s="1204"/>
      <c r="H41" s="1205"/>
    </row>
    <row r="42" spans="1:8" ht="14.5">
      <c r="A42" s="1599"/>
      <c r="B42" s="1201" t="s">
        <v>3445</v>
      </c>
      <c r="C42" s="1211" t="s">
        <v>3455</v>
      </c>
      <c r="D42" s="1203">
        <v>3</v>
      </c>
      <c r="E42" s="1203">
        <v>2</v>
      </c>
      <c r="F42" s="1203">
        <f t="shared" si="0"/>
        <v>1</v>
      </c>
      <c r="G42" s="1204">
        <v>1</v>
      </c>
      <c r="H42" s="1206"/>
    </row>
    <row r="43" spans="1:8" ht="14.5">
      <c r="A43" s="1599"/>
      <c r="B43" s="1201" t="s">
        <v>3448</v>
      </c>
      <c r="C43" s="1211" t="s">
        <v>3455</v>
      </c>
      <c r="D43" s="1203">
        <v>4</v>
      </c>
      <c r="E43" s="1203">
        <v>2</v>
      </c>
      <c r="F43" s="1203">
        <f t="shared" si="0"/>
        <v>2</v>
      </c>
      <c r="G43" s="1204"/>
      <c r="H43" s="1206"/>
    </row>
    <row r="44" spans="1:8" ht="14.5">
      <c r="A44" s="1600"/>
      <c r="B44" s="1201" t="s">
        <v>3474</v>
      </c>
      <c r="C44" s="1211" t="s">
        <v>3455</v>
      </c>
      <c r="D44" s="1203">
        <v>1</v>
      </c>
      <c r="E44" s="1203"/>
      <c r="F44" s="1203">
        <f t="shared" si="0"/>
        <v>1</v>
      </c>
      <c r="G44" s="1204"/>
      <c r="H44" s="1206"/>
    </row>
    <row r="45" spans="1:8" ht="14">
      <c r="A45" s="1601" t="s">
        <v>994</v>
      </c>
      <c r="B45" s="1601"/>
      <c r="C45" s="1274" t="s">
        <v>1857</v>
      </c>
      <c r="D45" s="1274">
        <f>D3+D8+D17+D27+D37+((D4)/4)+(D29/4)+(D39/4)+(D9/4)+(D18/4)+(D28/4)+(D38/4)</f>
        <v>116</v>
      </c>
      <c r="E45" s="1274">
        <f>E3+E8+E17+E27+E37+((E4)/4)+(E29/4)+(E39/4)+(E9/4)+(E18/4)+(E28/4)+(E38/4)</f>
        <v>103.25</v>
      </c>
      <c r="F45" s="1274">
        <f>F3+F8+F17+F27+F37+((F4)/4)+(F29/4)+(F39/4)+(F9/4)+(F18/4)+(F28/4)+(F38/4)</f>
        <v>12.75</v>
      </c>
      <c r="G45" s="1274">
        <f>G3+G8+G17+G27+G37+((G4)/4)+(G29/4)+(G39/4)+(G9/4)+(G18/4)+(G28/4)+(G38/4)</f>
        <v>8</v>
      </c>
      <c r="H45" s="1274"/>
    </row>
  </sheetData>
  <autoFilter ref="A2:H45" xr:uid="{A638F906-F760-4055-A5AB-E48EC4058432}"/>
  <mergeCells count="6">
    <mergeCell ref="A45:B45"/>
    <mergeCell ref="A1:H1"/>
    <mergeCell ref="A3:A7"/>
    <mergeCell ref="A8:A16"/>
    <mergeCell ref="A17:A26"/>
    <mergeCell ref="A27:A44"/>
  </mergeCells>
  <conditionalFormatting sqref="F1:G44 F46:G65536">
    <cfRule type="cellIs" dxfId="3575" priority="1" stopIfTrue="1" operator="lessThan">
      <formula>0</formula>
    </cfRule>
  </conditionalFormatting>
  <conditionalFormatting sqref="H2:H3 H5:H12 H17:H22 H24 H27:H44 H46:H65536">
    <cfRule type="cellIs" dxfId="3574" priority="2" stopIfTrue="1" operator="equal">
      <formula>#REF!</formula>
    </cfRule>
  </conditionalFormatting>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59624-3683-40D5-8D7C-A8CAFA0D2885}">
  <sheetPr>
    <tabColor rgb="FF00B050"/>
  </sheetPr>
  <dimension ref="A1:O33"/>
  <sheetViews>
    <sheetView showZeros="0" zoomScale="102" zoomScaleNormal="100" workbookViewId="0">
      <pane xSplit="1" ySplit="3" topLeftCell="E7"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10" width="11.08984375" style="1198" customWidth="1"/>
    <col min="11" max="11" width="8.08984375" style="1198" customWidth="1"/>
    <col min="12" max="12" width="37.90625" style="1198" bestFit="1" customWidth="1"/>
    <col min="13"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6" width="11.08984375" style="1198" customWidth="1"/>
    <col min="267" max="267" width="8.08984375" style="1198" customWidth="1"/>
    <col min="268" max="268" width="37.90625" style="1198" bestFit="1" customWidth="1"/>
    <col min="269"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2" width="11.08984375" style="1198" customWidth="1"/>
    <col min="523" max="523" width="8.08984375" style="1198" customWidth="1"/>
    <col min="524" max="524" width="37.90625" style="1198" bestFit="1" customWidth="1"/>
    <col min="525"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8" width="11.08984375" style="1198" customWidth="1"/>
    <col min="779" max="779" width="8.08984375" style="1198" customWidth="1"/>
    <col min="780" max="780" width="37.90625" style="1198" bestFit="1" customWidth="1"/>
    <col min="781"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4" width="11.08984375" style="1198" customWidth="1"/>
    <col min="1035" max="1035" width="8.08984375" style="1198" customWidth="1"/>
    <col min="1036" max="1036" width="37.90625" style="1198" bestFit="1" customWidth="1"/>
    <col min="1037"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90" width="11.08984375" style="1198" customWidth="1"/>
    <col min="1291" max="1291" width="8.08984375" style="1198" customWidth="1"/>
    <col min="1292" max="1292" width="37.90625" style="1198" bestFit="1" customWidth="1"/>
    <col min="1293"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6" width="11.08984375" style="1198" customWidth="1"/>
    <col min="1547" max="1547" width="8.08984375" style="1198" customWidth="1"/>
    <col min="1548" max="1548" width="37.90625" style="1198" bestFit="1" customWidth="1"/>
    <col min="1549"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2" width="11.08984375" style="1198" customWidth="1"/>
    <col min="1803" max="1803" width="8.08984375" style="1198" customWidth="1"/>
    <col min="1804" max="1804" width="37.90625" style="1198" bestFit="1" customWidth="1"/>
    <col min="1805"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8" width="11.08984375" style="1198" customWidth="1"/>
    <col min="2059" max="2059" width="8.08984375" style="1198" customWidth="1"/>
    <col min="2060" max="2060" width="37.90625" style="1198" bestFit="1" customWidth="1"/>
    <col min="2061"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4" width="11.08984375" style="1198" customWidth="1"/>
    <col min="2315" max="2315" width="8.08984375" style="1198" customWidth="1"/>
    <col min="2316" max="2316" width="37.90625" style="1198" bestFit="1" customWidth="1"/>
    <col min="2317"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70" width="11.08984375" style="1198" customWidth="1"/>
    <col min="2571" max="2571" width="8.08984375" style="1198" customWidth="1"/>
    <col min="2572" max="2572" width="37.90625" style="1198" bestFit="1" customWidth="1"/>
    <col min="2573"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6" width="11.08984375" style="1198" customWidth="1"/>
    <col min="2827" max="2827" width="8.08984375" style="1198" customWidth="1"/>
    <col min="2828" max="2828" width="37.90625" style="1198" bestFit="1" customWidth="1"/>
    <col min="2829"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2" width="11.08984375" style="1198" customWidth="1"/>
    <col min="3083" max="3083" width="8.08984375" style="1198" customWidth="1"/>
    <col min="3084" max="3084" width="37.90625" style="1198" bestFit="1" customWidth="1"/>
    <col min="3085"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8" width="11.08984375" style="1198" customWidth="1"/>
    <col min="3339" max="3339" width="8.08984375" style="1198" customWidth="1"/>
    <col min="3340" max="3340" width="37.90625" style="1198" bestFit="1" customWidth="1"/>
    <col min="3341"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4" width="11.08984375" style="1198" customWidth="1"/>
    <col min="3595" max="3595" width="8.08984375" style="1198" customWidth="1"/>
    <col min="3596" max="3596" width="37.90625" style="1198" bestFit="1" customWidth="1"/>
    <col min="3597"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50" width="11.08984375" style="1198" customWidth="1"/>
    <col min="3851" max="3851" width="8.08984375" style="1198" customWidth="1"/>
    <col min="3852" max="3852" width="37.90625" style="1198" bestFit="1" customWidth="1"/>
    <col min="3853"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6" width="11.08984375" style="1198" customWidth="1"/>
    <col min="4107" max="4107" width="8.08984375" style="1198" customWidth="1"/>
    <col min="4108" max="4108" width="37.90625" style="1198" bestFit="1" customWidth="1"/>
    <col min="4109"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2" width="11.08984375" style="1198" customWidth="1"/>
    <col min="4363" max="4363" width="8.08984375" style="1198" customWidth="1"/>
    <col min="4364" max="4364" width="37.90625" style="1198" bestFit="1" customWidth="1"/>
    <col min="4365"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8" width="11.08984375" style="1198" customWidth="1"/>
    <col min="4619" max="4619" width="8.08984375" style="1198" customWidth="1"/>
    <col min="4620" max="4620" width="37.90625" style="1198" bestFit="1" customWidth="1"/>
    <col min="4621"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4" width="11.08984375" style="1198" customWidth="1"/>
    <col min="4875" max="4875" width="8.08984375" style="1198" customWidth="1"/>
    <col min="4876" max="4876" width="37.90625" style="1198" bestFit="1" customWidth="1"/>
    <col min="4877"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30" width="11.08984375" style="1198" customWidth="1"/>
    <col min="5131" max="5131" width="8.08984375" style="1198" customWidth="1"/>
    <col min="5132" max="5132" width="37.90625" style="1198" bestFit="1" customWidth="1"/>
    <col min="5133"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6" width="11.08984375" style="1198" customWidth="1"/>
    <col min="5387" max="5387" width="8.08984375" style="1198" customWidth="1"/>
    <col min="5388" max="5388" width="37.90625" style="1198" bestFit="1" customWidth="1"/>
    <col min="5389"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2" width="11.08984375" style="1198" customWidth="1"/>
    <col min="5643" max="5643" width="8.08984375" style="1198" customWidth="1"/>
    <col min="5644" max="5644" width="37.90625" style="1198" bestFit="1" customWidth="1"/>
    <col min="5645"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8" width="11.08984375" style="1198" customWidth="1"/>
    <col min="5899" max="5899" width="8.08984375" style="1198" customWidth="1"/>
    <col min="5900" max="5900" width="37.90625" style="1198" bestFit="1" customWidth="1"/>
    <col min="5901"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4" width="11.08984375" style="1198" customWidth="1"/>
    <col min="6155" max="6155" width="8.08984375" style="1198" customWidth="1"/>
    <col min="6156" max="6156" width="37.90625" style="1198" bestFit="1" customWidth="1"/>
    <col min="6157"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10" width="11.08984375" style="1198" customWidth="1"/>
    <col min="6411" max="6411" width="8.08984375" style="1198" customWidth="1"/>
    <col min="6412" max="6412" width="37.90625" style="1198" bestFit="1" customWidth="1"/>
    <col min="6413"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6" width="11.08984375" style="1198" customWidth="1"/>
    <col min="6667" max="6667" width="8.08984375" style="1198" customWidth="1"/>
    <col min="6668" max="6668" width="37.90625" style="1198" bestFit="1" customWidth="1"/>
    <col min="6669"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2" width="11.08984375" style="1198" customWidth="1"/>
    <col min="6923" max="6923" width="8.08984375" style="1198" customWidth="1"/>
    <col min="6924" max="6924" width="37.90625" style="1198" bestFit="1" customWidth="1"/>
    <col min="6925"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8" width="11.08984375" style="1198" customWidth="1"/>
    <col min="7179" max="7179" width="8.08984375" style="1198" customWidth="1"/>
    <col min="7180" max="7180" width="37.90625" style="1198" bestFit="1" customWidth="1"/>
    <col min="7181"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4" width="11.08984375" style="1198" customWidth="1"/>
    <col min="7435" max="7435" width="8.08984375" style="1198" customWidth="1"/>
    <col min="7436" max="7436" width="37.90625" style="1198" bestFit="1" customWidth="1"/>
    <col min="7437"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90" width="11.08984375" style="1198" customWidth="1"/>
    <col min="7691" max="7691" width="8.08984375" style="1198" customWidth="1"/>
    <col min="7692" max="7692" width="37.90625" style="1198" bestFit="1" customWidth="1"/>
    <col min="7693"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6" width="11.08984375" style="1198" customWidth="1"/>
    <col min="7947" max="7947" width="8.08984375" style="1198" customWidth="1"/>
    <col min="7948" max="7948" width="37.90625" style="1198" bestFit="1" customWidth="1"/>
    <col min="7949"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2" width="11.08984375" style="1198" customWidth="1"/>
    <col min="8203" max="8203" width="8.08984375" style="1198" customWidth="1"/>
    <col min="8204" max="8204" width="37.90625" style="1198" bestFit="1" customWidth="1"/>
    <col min="8205"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8" width="11.08984375" style="1198" customWidth="1"/>
    <col min="8459" max="8459" width="8.08984375" style="1198" customWidth="1"/>
    <col min="8460" max="8460" width="37.90625" style="1198" bestFit="1" customWidth="1"/>
    <col min="8461"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4" width="11.08984375" style="1198" customWidth="1"/>
    <col min="8715" max="8715" width="8.08984375" style="1198" customWidth="1"/>
    <col min="8716" max="8716" width="37.90625" style="1198" bestFit="1" customWidth="1"/>
    <col min="8717"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70" width="11.08984375" style="1198" customWidth="1"/>
    <col min="8971" max="8971" width="8.08984375" style="1198" customWidth="1"/>
    <col min="8972" max="8972" width="37.90625" style="1198" bestFit="1" customWidth="1"/>
    <col min="8973"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6" width="11.08984375" style="1198" customWidth="1"/>
    <col min="9227" max="9227" width="8.08984375" style="1198" customWidth="1"/>
    <col min="9228" max="9228" width="37.90625" style="1198" bestFit="1" customWidth="1"/>
    <col min="9229"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2" width="11.08984375" style="1198" customWidth="1"/>
    <col min="9483" max="9483" width="8.08984375" style="1198" customWidth="1"/>
    <col min="9484" max="9484" width="37.90625" style="1198" bestFit="1" customWidth="1"/>
    <col min="9485"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8" width="11.08984375" style="1198" customWidth="1"/>
    <col min="9739" max="9739" width="8.08984375" style="1198" customWidth="1"/>
    <col min="9740" max="9740" width="37.90625" style="1198" bestFit="1" customWidth="1"/>
    <col min="9741"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4" width="11.08984375" style="1198" customWidth="1"/>
    <col min="9995" max="9995" width="8.08984375" style="1198" customWidth="1"/>
    <col min="9996" max="9996" width="37.90625" style="1198" bestFit="1" customWidth="1"/>
    <col min="9997"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50" width="11.08984375" style="1198" customWidth="1"/>
    <col min="10251" max="10251" width="8.08984375" style="1198" customWidth="1"/>
    <col min="10252" max="10252" width="37.90625" style="1198" bestFit="1" customWidth="1"/>
    <col min="10253"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6" width="11.08984375" style="1198" customWidth="1"/>
    <col min="10507" max="10507" width="8.08984375" style="1198" customWidth="1"/>
    <col min="10508" max="10508" width="37.90625" style="1198" bestFit="1" customWidth="1"/>
    <col min="10509"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2" width="11.08984375" style="1198" customWidth="1"/>
    <col min="10763" max="10763" width="8.08984375" style="1198" customWidth="1"/>
    <col min="10764" max="10764" width="37.90625" style="1198" bestFit="1" customWidth="1"/>
    <col min="10765"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8" width="11.08984375" style="1198" customWidth="1"/>
    <col min="11019" max="11019" width="8.08984375" style="1198" customWidth="1"/>
    <col min="11020" max="11020" width="37.90625" style="1198" bestFit="1" customWidth="1"/>
    <col min="11021"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4" width="11.08984375" style="1198" customWidth="1"/>
    <col min="11275" max="11275" width="8.08984375" style="1198" customWidth="1"/>
    <col min="11276" max="11276" width="37.90625" style="1198" bestFit="1" customWidth="1"/>
    <col min="11277"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30" width="11.08984375" style="1198" customWidth="1"/>
    <col min="11531" max="11531" width="8.08984375" style="1198" customWidth="1"/>
    <col min="11532" max="11532" width="37.90625" style="1198" bestFit="1" customWidth="1"/>
    <col min="11533"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6" width="11.08984375" style="1198" customWidth="1"/>
    <col min="11787" max="11787" width="8.08984375" style="1198" customWidth="1"/>
    <col min="11788" max="11788" width="37.90625" style="1198" bestFit="1" customWidth="1"/>
    <col min="11789"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2" width="11.08984375" style="1198" customWidth="1"/>
    <col min="12043" max="12043" width="8.08984375" style="1198" customWidth="1"/>
    <col min="12044" max="12044" width="37.90625" style="1198" bestFit="1" customWidth="1"/>
    <col min="12045"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8" width="11.08984375" style="1198" customWidth="1"/>
    <col min="12299" max="12299" width="8.08984375" style="1198" customWidth="1"/>
    <col min="12300" max="12300" width="37.90625" style="1198" bestFit="1" customWidth="1"/>
    <col min="12301"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4" width="11.08984375" style="1198" customWidth="1"/>
    <col min="12555" max="12555" width="8.08984375" style="1198" customWidth="1"/>
    <col min="12556" max="12556" width="37.90625" style="1198" bestFit="1" customWidth="1"/>
    <col min="12557"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10" width="11.08984375" style="1198" customWidth="1"/>
    <col min="12811" max="12811" width="8.08984375" style="1198" customWidth="1"/>
    <col min="12812" max="12812" width="37.90625" style="1198" bestFit="1" customWidth="1"/>
    <col min="12813"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6" width="11.08984375" style="1198" customWidth="1"/>
    <col min="13067" max="13067" width="8.08984375" style="1198" customWidth="1"/>
    <col min="13068" max="13068" width="37.90625" style="1198" bestFit="1" customWidth="1"/>
    <col min="13069"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2" width="11.08984375" style="1198" customWidth="1"/>
    <col min="13323" max="13323" width="8.08984375" style="1198" customWidth="1"/>
    <col min="13324" max="13324" width="37.90625" style="1198" bestFit="1" customWidth="1"/>
    <col min="13325"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8" width="11.08984375" style="1198" customWidth="1"/>
    <col min="13579" max="13579" width="8.08984375" style="1198" customWidth="1"/>
    <col min="13580" max="13580" width="37.90625" style="1198" bestFit="1" customWidth="1"/>
    <col min="13581"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4" width="11.08984375" style="1198" customWidth="1"/>
    <col min="13835" max="13835" width="8.08984375" style="1198" customWidth="1"/>
    <col min="13836" max="13836" width="37.90625" style="1198" bestFit="1" customWidth="1"/>
    <col min="13837"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90" width="11.08984375" style="1198" customWidth="1"/>
    <col min="14091" max="14091" width="8.08984375" style="1198" customWidth="1"/>
    <col min="14092" max="14092" width="37.90625" style="1198" bestFit="1" customWidth="1"/>
    <col min="14093"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6" width="11.08984375" style="1198" customWidth="1"/>
    <col min="14347" max="14347" width="8.08984375" style="1198" customWidth="1"/>
    <col min="14348" max="14348" width="37.90625" style="1198" bestFit="1" customWidth="1"/>
    <col min="14349"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2" width="11.08984375" style="1198" customWidth="1"/>
    <col min="14603" max="14603" width="8.08984375" style="1198" customWidth="1"/>
    <col min="14604" max="14604" width="37.90625" style="1198" bestFit="1" customWidth="1"/>
    <col min="14605"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8" width="11.08984375" style="1198" customWidth="1"/>
    <col min="14859" max="14859" width="8.08984375" style="1198" customWidth="1"/>
    <col min="14860" max="14860" width="37.90625" style="1198" bestFit="1" customWidth="1"/>
    <col min="14861"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4" width="11.08984375" style="1198" customWidth="1"/>
    <col min="15115" max="15115" width="8.08984375" style="1198" customWidth="1"/>
    <col min="15116" max="15116" width="37.90625" style="1198" bestFit="1" customWidth="1"/>
    <col min="15117"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70" width="11.08984375" style="1198" customWidth="1"/>
    <col min="15371" max="15371" width="8.08984375" style="1198" customWidth="1"/>
    <col min="15372" max="15372" width="37.90625" style="1198" bestFit="1" customWidth="1"/>
    <col min="15373"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6" width="11.08984375" style="1198" customWidth="1"/>
    <col min="15627" max="15627" width="8.08984375" style="1198" customWidth="1"/>
    <col min="15628" max="15628" width="37.90625" style="1198" bestFit="1" customWidth="1"/>
    <col min="15629"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2" width="11.08984375" style="1198" customWidth="1"/>
    <col min="15883" max="15883" width="8.08984375" style="1198" customWidth="1"/>
    <col min="15884" max="15884" width="37.90625" style="1198" bestFit="1" customWidth="1"/>
    <col min="15885"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8" width="11.08984375" style="1198" customWidth="1"/>
    <col min="16139" max="16139" width="8.08984375" style="1198" customWidth="1"/>
    <col min="16140" max="16140" width="37.90625" style="1198" bestFit="1" customWidth="1"/>
    <col min="16141" max="16384" width="8.7265625" style="1198"/>
  </cols>
  <sheetData>
    <row r="1" spans="1:15" ht="13">
      <c r="A1" s="1602" t="s">
        <v>3449</v>
      </c>
      <c r="B1" s="1603"/>
      <c r="C1" s="1603"/>
      <c r="D1" s="1603"/>
      <c r="E1" s="1603"/>
      <c r="F1" s="1603"/>
      <c r="G1" s="1603"/>
      <c r="H1" s="1603"/>
      <c r="I1" s="1603"/>
      <c r="J1" s="1603"/>
      <c r="K1" s="1603"/>
      <c r="L1" s="1603"/>
    </row>
    <row r="2" spans="1:15" ht="66.5" customHeight="1">
      <c r="A2" s="1199" t="s">
        <v>2877</v>
      </c>
      <c r="B2" s="1199" t="s">
        <v>3267</v>
      </c>
      <c r="C2" s="1200" t="s">
        <v>3432</v>
      </c>
      <c r="D2" s="1200" t="s">
        <v>3433</v>
      </c>
      <c r="E2" s="1209" t="s">
        <v>3434</v>
      </c>
      <c r="F2" s="1200" t="s">
        <v>3435</v>
      </c>
      <c r="G2" s="1200" t="s">
        <v>3436</v>
      </c>
      <c r="H2" s="1209" t="s">
        <v>3437</v>
      </c>
      <c r="I2" s="1604" t="s">
        <v>3583</v>
      </c>
      <c r="J2" s="1605"/>
      <c r="K2" s="1200" t="s">
        <v>593</v>
      </c>
      <c r="L2" s="1199" t="s">
        <v>19</v>
      </c>
    </row>
    <row r="3" spans="1:15" ht="13">
      <c r="A3" s="1199"/>
      <c r="B3" s="1199"/>
      <c r="C3" s="1200"/>
      <c r="D3" s="1200"/>
      <c r="E3" s="1209"/>
      <c r="F3" s="1200"/>
      <c r="G3" s="1200"/>
      <c r="H3" s="1209"/>
      <c r="I3" s="1200" t="s">
        <v>2371</v>
      </c>
      <c r="J3" s="1200" t="s">
        <v>2376</v>
      </c>
      <c r="K3" s="1200"/>
      <c r="L3" s="1199"/>
    </row>
    <row r="4" spans="1:15" ht="13">
      <c r="A4" s="1597" t="s">
        <v>1675</v>
      </c>
      <c r="B4" s="1201" t="s">
        <v>3268</v>
      </c>
      <c r="C4" s="1205">
        <v>75</v>
      </c>
      <c r="D4" s="1205">
        <v>128</v>
      </c>
      <c r="E4" s="1204">
        <f>C4+D4</f>
        <v>203</v>
      </c>
      <c r="F4" s="1205">
        <v>84</v>
      </c>
      <c r="G4" s="1205">
        <v>100</v>
      </c>
      <c r="H4" s="1204">
        <f>F4+G4</f>
        <v>184</v>
      </c>
      <c r="I4" s="1215"/>
      <c r="J4" s="1215"/>
      <c r="K4" s="1205">
        <f t="shared" ref="K4:K32" si="0">E4-H4-I4-J4</f>
        <v>19</v>
      </c>
      <c r="L4" s="1205"/>
    </row>
    <row r="5" spans="1:15" ht="13">
      <c r="A5" s="1597"/>
      <c r="B5" s="1210" t="s">
        <v>3269</v>
      </c>
      <c r="C5" s="1205">
        <v>51</v>
      </c>
      <c r="D5" s="1205">
        <v>91</v>
      </c>
      <c r="E5" s="1204">
        <f t="shared" ref="E5:E32" si="1">C5+D5</f>
        <v>142</v>
      </c>
      <c r="F5" s="1205">
        <v>62</v>
      </c>
      <c r="G5" s="1205">
        <v>61</v>
      </c>
      <c r="H5" s="1204">
        <f t="shared" ref="H5:H32" si="2">F5+G5</f>
        <v>123</v>
      </c>
      <c r="I5" s="1215"/>
      <c r="J5" s="1215"/>
      <c r="K5" s="1205">
        <f t="shared" si="0"/>
        <v>19</v>
      </c>
      <c r="L5" s="1205"/>
    </row>
    <row r="6" spans="1:15" ht="13">
      <c r="A6" s="1597"/>
      <c r="B6" s="1210" t="s">
        <v>3270</v>
      </c>
      <c r="C6" s="1205">
        <v>24</v>
      </c>
      <c r="D6" s="1205">
        <v>37</v>
      </c>
      <c r="E6" s="1204">
        <f t="shared" si="1"/>
        <v>61</v>
      </c>
      <c r="F6" s="1205">
        <v>22</v>
      </c>
      <c r="G6" s="1205">
        <v>39</v>
      </c>
      <c r="H6" s="1204">
        <f t="shared" si="2"/>
        <v>61</v>
      </c>
      <c r="I6" s="1215"/>
      <c r="J6" s="1215"/>
      <c r="K6" s="1205">
        <f t="shared" si="0"/>
        <v>0</v>
      </c>
      <c r="L6" s="1205"/>
    </row>
    <row r="7" spans="1:15" ht="13">
      <c r="A7" s="1597"/>
      <c r="B7" s="1210" t="s">
        <v>3271</v>
      </c>
      <c r="C7" s="1205">
        <v>10</v>
      </c>
      <c r="D7" s="1205">
        <v>15</v>
      </c>
      <c r="E7" s="1204">
        <f t="shared" si="1"/>
        <v>25</v>
      </c>
      <c r="F7" s="1205">
        <v>10</v>
      </c>
      <c r="G7" s="1205">
        <v>14</v>
      </c>
      <c r="H7" s="1204">
        <f t="shared" si="2"/>
        <v>24</v>
      </c>
      <c r="I7" s="1215"/>
      <c r="J7" s="1215"/>
      <c r="K7" s="1205">
        <f t="shared" si="0"/>
        <v>1</v>
      </c>
      <c r="L7" s="1205"/>
    </row>
    <row r="8" spans="1:15" ht="13">
      <c r="A8" s="1597"/>
      <c r="B8" s="1210" t="s">
        <v>3272</v>
      </c>
      <c r="C8" s="1205">
        <v>2</v>
      </c>
      <c r="D8" s="1205">
        <v>6</v>
      </c>
      <c r="E8" s="1204">
        <f t="shared" si="1"/>
        <v>8</v>
      </c>
      <c r="F8" s="1205">
        <v>2</v>
      </c>
      <c r="G8" s="1205">
        <v>5</v>
      </c>
      <c r="H8" s="1204">
        <f t="shared" si="2"/>
        <v>7</v>
      </c>
      <c r="I8" s="1215"/>
      <c r="J8" s="1215"/>
      <c r="K8" s="1205">
        <f t="shared" si="0"/>
        <v>1</v>
      </c>
      <c r="L8" s="1205"/>
    </row>
    <row r="9" spans="1:15" ht="7.5" customHeight="1">
      <c r="A9" s="1201"/>
      <c r="B9" s="1201"/>
      <c r="C9" s="1205"/>
      <c r="D9" s="1205"/>
      <c r="E9" s="1204">
        <f t="shared" si="1"/>
        <v>0</v>
      </c>
      <c r="F9" s="1205">
        <v>0</v>
      </c>
      <c r="G9" s="1205">
        <v>0</v>
      </c>
      <c r="H9" s="1204">
        <f t="shared" si="2"/>
        <v>0</v>
      </c>
      <c r="I9" s="1215"/>
      <c r="J9" s="1215"/>
      <c r="K9" s="1205">
        <f t="shared" si="0"/>
        <v>0</v>
      </c>
      <c r="L9" s="1205"/>
    </row>
    <row r="10" spans="1:15" ht="13">
      <c r="A10" s="1597" t="s">
        <v>2397</v>
      </c>
      <c r="B10" s="1201" t="s">
        <v>3268</v>
      </c>
      <c r="C10" s="1205">
        <v>18</v>
      </c>
      <c r="D10" s="1205">
        <v>42</v>
      </c>
      <c r="E10" s="1204">
        <f t="shared" si="1"/>
        <v>60</v>
      </c>
      <c r="F10" s="1205">
        <v>12</v>
      </c>
      <c r="G10" s="1205">
        <v>42</v>
      </c>
      <c r="H10" s="1204">
        <f t="shared" si="2"/>
        <v>54</v>
      </c>
      <c r="I10" s="1215"/>
      <c r="J10" s="1215"/>
      <c r="K10" s="1205">
        <f t="shared" si="0"/>
        <v>6</v>
      </c>
      <c r="L10" s="1205"/>
    </row>
    <row r="11" spans="1:15" ht="13">
      <c r="A11" s="1597"/>
      <c r="B11" s="1210" t="s">
        <v>3269</v>
      </c>
      <c r="C11" s="1205">
        <v>17</v>
      </c>
      <c r="D11" s="1205">
        <v>36</v>
      </c>
      <c r="E11" s="1204">
        <f t="shared" si="1"/>
        <v>53</v>
      </c>
      <c r="F11" s="1205">
        <v>6</v>
      </c>
      <c r="G11" s="1205">
        <v>33</v>
      </c>
      <c r="H11" s="1204">
        <f t="shared" si="2"/>
        <v>39</v>
      </c>
      <c r="I11" s="1215">
        <v>5</v>
      </c>
      <c r="J11" s="1215">
        <v>3</v>
      </c>
      <c r="K11" s="1205">
        <f t="shared" si="0"/>
        <v>6</v>
      </c>
      <c r="L11" s="1205"/>
    </row>
    <row r="12" spans="1:15" ht="13">
      <c r="A12" s="1597"/>
      <c r="B12" s="1210" t="s">
        <v>3270</v>
      </c>
      <c r="C12" s="1205">
        <v>1</v>
      </c>
      <c r="D12" s="1205">
        <v>6</v>
      </c>
      <c r="E12" s="1204">
        <f t="shared" si="1"/>
        <v>7</v>
      </c>
      <c r="F12" s="1205">
        <v>1</v>
      </c>
      <c r="G12" s="1205">
        <v>6</v>
      </c>
      <c r="H12" s="1204">
        <f t="shared" si="2"/>
        <v>7</v>
      </c>
      <c r="I12" s="1215"/>
      <c r="J12" s="1215"/>
      <c r="K12" s="1205">
        <f t="shared" si="0"/>
        <v>0</v>
      </c>
      <c r="L12" s="1205"/>
    </row>
    <row r="13" spans="1:15" ht="13">
      <c r="A13" s="1597"/>
      <c r="B13" s="1210" t="s">
        <v>3271</v>
      </c>
      <c r="C13" s="1205">
        <v>2</v>
      </c>
      <c r="D13" s="1205">
        <v>4</v>
      </c>
      <c r="E13" s="1204">
        <f t="shared" si="1"/>
        <v>6</v>
      </c>
      <c r="F13" s="1205">
        <v>1</v>
      </c>
      <c r="G13" s="1205">
        <v>2</v>
      </c>
      <c r="H13" s="1204">
        <f t="shared" si="2"/>
        <v>3</v>
      </c>
      <c r="I13" s="1215"/>
      <c r="J13" s="1215">
        <v>2</v>
      </c>
      <c r="K13" s="1205">
        <f t="shared" si="0"/>
        <v>1</v>
      </c>
      <c r="L13" s="1205"/>
    </row>
    <row r="14" spans="1:15" ht="13">
      <c r="A14" s="1597"/>
      <c r="B14" s="1210" t="s">
        <v>3272</v>
      </c>
      <c r="C14" s="1205">
        <v>2</v>
      </c>
      <c r="D14" s="1205">
        <v>7</v>
      </c>
      <c r="E14" s="1204">
        <f t="shared" si="1"/>
        <v>9</v>
      </c>
      <c r="F14" s="1205">
        <v>2</v>
      </c>
      <c r="G14" s="1205">
        <v>5</v>
      </c>
      <c r="H14" s="1204">
        <f t="shared" si="2"/>
        <v>7</v>
      </c>
      <c r="I14" s="1215"/>
      <c r="J14" s="1215">
        <v>1</v>
      </c>
      <c r="K14" s="1205">
        <f t="shared" si="0"/>
        <v>1</v>
      </c>
      <c r="L14" s="1205"/>
      <c r="O14" s="1198">
        <f>229*75</f>
        <v>17175</v>
      </c>
    </row>
    <row r="15" spans="1:15" ht="7.5" customHeight="1">
      <c r="A15" s="1201"/>
      <c r="B15" s="1201"/>
      <c r="C15" s="1205"/>
      <c r="D15" s="1205"/>
      <c r="E15" s="1204">
        <f t="shared" si="1"/>
        <v>0</v>
      </c>
      <c r="F15" s="1205">
        <v>0</v>
      </c>
      <c r="G15" s="1205">
        <v>0</v>
      </c>
      <c r="H15" s="1204">
        <f t="shared" si="2"/>
        <v>0</v>
      </c>
      <c r="I15" s="1215"/>
      <c r="J15" s="1215"/>
      <c r="K15" s="1205">
        <f t="shared" si="0"/>
        <v>0</v>
      </c>
      <c r="L15" s="1205"/>
    </row>
    <row r="16" spans="1:15" ht="13">
      <c r="A16" s="1597" t="s">
        <v>2398</v>
      </c>
      <c r="B16" s="1201" t="s">
        <v>3268</v>
      </c>
      <c r="C16" s="1205">
        <v>12</v>
      </c>
      <c r="D16" s="1205">
        <v>31</v>
      </c>
      <c r="E16" s="1204">
        <f t="shared" si="1"/>
        <v>43</v>
      </c>
      <c r="F16" s="1205">
        <v>27</v>
      </c>
      <c r="G16" s="1205">
        <v>16</v>
      </c>
      <c r="H16" s="1204">
        <f t="shared" si="2"/>
        <v>43</v>
      </c>
      <c r="I16" s="1215"/>
      <c r="J16" s="1215"/>
      <c r="K16" s="1205">
        <f t="shared" si="0"/>
        <v>0</v>
      </c>
      <c r="L16" s="1205"/>
    </row>
    <row r="17" spans="1:12" ht="13">
      <c r="A17" s="1597"/>
      <c r="B17" s="1210" t="s">
        <v>3269</v>
      </c>
      <c r="C17" s="1205">
        <v>8</v>
      </c>
      <c r="D17" s="1205">
        <v>24</v>
      </c>
      <c r="E17" s="1204">
        <f t="shared" si="1"/>
        <v>32</v>
      </c>
      <c r="F17" s="1205">
        <v>21</v>
      </c>
      <c r="G17" s="1205">
        <v>6</v>
      </c>
      <c r="H17" s="1204">
        <f t="shared" si="2"/>
        <v>27</v>
      </c>
      <c r="I17" s="1215">
        <v>2</v>
      </c>
      <c r="J17" s="1215">
        <v>3</v>
      </c>
      <c r="K17" s="1205">
        <f t="shared" si="0"/>
        <v>0</v>
      </c>
      <c r="L17" s="1205"/>
    </row>
    <row r="18" spans="1:12" ht="13">
      <c r="A18" s="1597"/>
      <c r="B18" s="1210" t="s">
        <v>3270</v>
      </c>
      <c r="C18" s="1205">
        <v>4</v>
      </c>
      <c r="D18" s="1205">
        <v>7</v>
      </c>
      <c r="E18" s="1204">
        <f t="shared" si="1"/>
        <v>11</v>
      </c>
      <c r="F18" s="1205">
        <v>4</v>
      </c>
      <c r="G18" s="1205">
        <v>6</v>
      </c>
      <c r="H18" s="1204">
        <f t="shared" si="2"/>
        <v>10</v>
      </c>
      <c r="I18" s="1215"/>
      <c r="J18" s="1215">
        <v>1</v>
      </c>
      <c r="K18" s="1205">
        <f t="shared" si="0"/>
        <v>0</v>
      </c>
      <c r="L18" s="1205"/>
    </row>
    <row r="19" spans="1:12" ht="13">
      <c r="A19" s="1597"/>
      <c r="B19" s="1210" t="s">
        <v>3271</v>
      </c>
      <c r="C19" s="1205">
        <v>1</v>
      </c>
      <c r="D19" s="1205">
        <v>1</v>
      </c>
      <c r="E19" s="1204">
        <f t="shared" si="1"/>
        <v>2</v>
      </c>
      <c r="F19" s="1205">
        <v>0</v>
      </c>
      <c r="G19" s="1205">
        <v>2</v>
      </c>
      <c r="H19" s="1204">
        <f t="shared" si="2"/>
        <v>2</v>
      </c>
      <c r="I19" s="1215">
        <v>1</v>
      </c>
      <c r="J19" s="1215"/>
      <c r="K19" s="1205">
        <f t="shared" si="0"/>
        <v>-1</v>
      </c>
      <c r="L19" s="1275" t="s">
        <v>3584</v>
      </c>
    </row>
    <row r="20" spans="1:12" ht="13">
      <c r="A20" s="1597"/>
      <c r="B20" s="1210" t="s">
        <v>3272</v>
      </c>
      <c r="C20" s="1205">
        <v>1</v>
      </c>
      <c r="D20" s="1205">
        <v>4</v>
      </c>
      <c r="E20" s="1204">
        <f t="shared" si="1"/>
        <v>5</v>
      </c>
      <c r="F20" s="1205">
        <v>1</v>
      </c>
      <c r="G20" s="1205">
        <v>4</v>
      </c>
      <c r="H20" s="1204">
        <f t="shared" si="2"/>
        <v>5</v>
      </c>
      <c r="I20" s="1215">
        <v>1</v>
      </c>
      <c r="J20" s="1215"/>
      <c r="K20" s="1205">
        <f t="shared" si="0"/>
        <v>-1</v>
      </c>
      <c r="L20" s="1275" t="s">
        <v>3584</v>
      </c>
    </row>
    <row r="21" spans="1:12" ht="7" customHeight="1">
      <c r="A21" s="1201"/>
      <c r="B21" s="1201"/>
      <c r="C21" s="1205"/>
      <c r="D21" s="1205"/>
      <c r="E21" s="1204">
        <f t="shared" si="1"/>
        <v>0</v>
      </c>
      <c r="F21" s="1205">
        <v>0</v>
      </c>
      <c r="G21" s="1205">
        <v>0</v>
      </c>
      <c r="H21" s="1204">
        <f t="shared" si="2"/>
        <v>0</v>
      </c>
      <c r="I21" s="1215"/>
      <c r="J21" s="1215"/>
      <c r="K21" s="1205">
        <f t="shared" si="0"/>
        <v>0</v>
      </c>
      <c r="L21" s="1205"/>
    </row>
    <row r="22" spans="1:12" ht="13">
      <c r="A22" s="1598" t="s">
        <v>2425</v>
      </c>
      <c r="B22" s="1201" t="s">
        <v>3268</v>
      </c>
      <c r="C22" s="1205">
        <v>21</v>
      </c>
      <c r="D22" s="1205">
        <v>60</v>
      </c>
      <c r="E22" s="1204">
        <f t="shared" si="1"/>
        <v>81</v>
      </c>
      <c r="F22" s="1205">
        <v>19</v>
      </c>
      <c r="G22" s="1205">
        <v>37</v>
      </c>
      <c r="H22" s="1204">
        <f t="shared" si="2"/>
        <v>56</v>
      </c>
      <c r="I22" s="1215"/>
      <c r="J22" s="1215"/>
      <c r="K22" s="1205">
        <f t="shared" si="0"/>
        <v>25</v>
      </c>
      <c r="L22" s="1205"/>
    </row>
    <row r="23" spans="1:12" ht="13">
      <c r="A23" s="1599"/>
      <c r="B23" s="1210" t="s">
        <v>3269</v>
      </c>
      <c r="C23" s="1205">
        <v>20</v>
      </c>
      <c r="D23" s="1205">
        <v>53</v>
      </c>
      <c r="E23" s="1204">
        <f t="shared" si="1"/>
        <v>73</v>
      </c>
      <c r="F23" s="1205">
        <v>17</v>
      </c>
      <c r="G23" s="1205">
        <v>30</v>
      </c>
      <c r="H23" s="1204">
        <f t="shared" si="2"/>
        <v>47</v>
      </c>
      <c r="I23" s="1215">
        <v>1</v>
      </c>
      <c r="J23" s="1215">
        <v>2</v>
      </c>
      <c r="K23" s="1205">
        <f t="shared" si="0"/>
        <v>23</v>
      </c>
      <c r="L23" s="1205"/>
    </row>
    <row r="24" spans="1:12" ht="13">
      <c r="A24" s="1599"/>
      <c r="B24" s="1210" t="s">
        <v>3270</v>
      </c>
      <c r="C24" s="1205">
        <v>1</v>
      </c>
      <c r="D24" s="1205">
        <v>7</v>
      </c>
      <c r="E24" s="1204">
        <f t="shared" si="1"/>
        <v>8</v>
      </c>
      <c r="F24" s="1205">
        <v>1</v>
      </c>
      <c r="G24" s="1205">
        <v>5</v>
      </c>
      <c r="H24" s="1204">
        <f t="shared" si="2"/>
        <v>6</v>
      </c>
      <c r="I24" s="1215"/>
      <c r="J24" s="1215"/>
      <c r="K24" s="1205">
        <f t="shared" si="0"/>
        <v>2</v>
      </c>
      <c r="L24" s="1205"/>
    </row>
    <row r="25" spans="1:12" ht="13">
      <c r="A25" s="1599"/>
      <c r="B25" s="1210" t="s">
        <v>3271</v>
      </c>
      <c r="C25" s="1205">
        <v>1</v>
      </c>
      <c r="D25" s="1205">
        <v>3</v>
      </c>
      <c r="E25" s="1204">
        <f t="shared" si="1"/>
        <v>4</v>
      </c>
      <c r="F25" s="1205">
        <v>1</v>
      </c>
      <c r="G25" s="1205">
        <v>2</v>
      </c>
      <c r="H25" s="1204">
        <f t="shared" si="2"/>
        <v>3</v>
      </c>
      <c r="I25" s="1215"/>
      <c r="J25" s="1215"/>
      <c r="K25" s="1205">
        <f t="shared" si="0"/>
        <v>1</v>
      </c>
      <c r="L25" s="1205"/>
    </row>
    <row r="26" spans="1:12" ht="13">
      <c r="A26" s="1599"/>
      <c r="B26" s="1210" t="s">
        <v>3272</v>
      </c>
      <c r="C26" s="1205">
        <v>3</v>
      </c>
      <c r="D26" s="1205">
        <v>5</v>
      </c>
      <c r="E26" s="1204">
        <f t="shared" si="1"/>
        <v>8</v>
      </c>
      <c r="F26" s="1205">
        <v>3</v>
      </c>
      <c r="G26" s="1205">
        <v>5</v>
      </c>
      <c r="H26" s="1204">
        <f t="shared" si="2"/>
        <v>8</v>
      </c>
      <c r="I26" s="1215"/>
      <c r="J26" s="1215"/>
      <c r="K26" s="1205">
        <f t="shared" si="0"/>
        <v>0</v>
      </c>
      <c r="L26" s="1205"/>
    </row>
    <row r="27" spans="1:12" ht="13">
      <c r="A27" s="1599"/>
      <c r="B27" s="1210" t="s">
        <v>3273</v>
      </c>
      <c r="C27" s="1205">
        <v>1</v>
      </c>
      <c r="D27" s="1205">
        <v>11</v>
      </c>
      <c r="E27" s="1204">
        <f t="shared" si="1"/>
        <v>12</v>
      </c>
      <c r="F27" s="1205">
        <v>1</v>
      </c>
      <c r="G27" s="1205">
        <v>9</v>
      </c>
      <c r="H27" s="1204">
        <f t="shared" si="2"/>
        <v>10</v>
      </c>
      <c r="I27" s="1215"/>
      <c r="J27" s="1215"/>
      <c r="K27" s="1205">
        <f t="shared" si="0"/>
        <v>2</v>
      </c>
      <c r="L27" s="1275" t="s">
        <v>3585</v>
      </c>
    </row>
    <row r="28" spans="1:12" ht="13">
      <c r="A28" s="1599"/>
      <c r="B28" s="1210" t="s">
        <v>3274</v>
      </c>
      <c r="C28" s="1205">
        <v>4</v>
      </c>
      <c r="D28" s="1205">
        <v>10</v>
      </c>
      <c r="E28" s="1204">
        <f t="shared" si="1"/>
        <v>14</v>
      </c>
      <c r="F28" s="1205">
        <v>5</v>
      </c>
      <c r="G28" s="1205">
        <v>5</v>
      </c>
      <c r="H28" s="1204">
        <f t="shared" si="2"/>
        <v>10</v>
      </c>
      <c r="I28" s="1215"/>
      <c r="J28" s="1215">
        <v>1</v>
      </c>
      <c r="K28" s="1205">
        <f t="shared" si="0"/>
        <v>3</v>
      </c>
      <c r="L28" s="1275" t="s">
        <v>3585</v>
      </c>
    </row>
    <row r="29" spans="1:12" ht="13">
      <c r="A29" s="1600"/>
      <c r="B29" s="1210" t="s">
        <v>3275</v>
      </c>
      <c r="C29" s="1205">
        <v>6</v>
      </c>
      <c r="D29" s="1205">
        <v>11</v>
      </c>
      <c r="E29" s="1204">
        <f t="shared" si="1"/>
        <v>17</v>
      </c>
      <c r="F29" s="1205">
        <v>3</v>
      </c>
      <c r="G29" s="1205">
        <v>4</v>
      </c>
      <c r="H29" s="1204">
        <f t="shared" si="2"/>
        <v>7</v>
      </c>
      <c r="I29" s="1215"/>
      <c r="J29" s="1215">
        <v>1</v>
      </c>
      <c r="K29" s="1205">
        <f t="shared" si="0"/>
        <v>9</v>
      </c>
      <c r="L29" s="1275" t="s">
        <v>3585</v>
      </c>
    </row>
    <row r="30" spans="1:12" ht="9" customHeight="1">
      <c r="A30" s="1207"/>
      <c r="B30" s="1210"/>
      <c r="C30" s="1205"/>
      <c r="D30" s="1205"/>
      <c r="E30" s="1204">
        <f t="shared" si="1"/>
        <v>0</v>
      </c>
      <c r="F30" s="1205">
        <v>0</v>
      </c>
      <c r="G30" s="1205">
        <v>0</v>
      </c>
      <c r="H30" s="1204">
        <f t="shared" si="2"/>
        <v>0</v>
      </c>
      <c r="I30" s="1215"/>
      <c r="J30" s="1215"/>
      <c r="K30" s="1205">
        <f t="shared" si="0"/>
        <v>0</v>
      </c>
      <c r="L30" s="1205"/>
    </row>
    <row r="31" spans="1:12" ht="13">
      <c r="A31" s="1598" t="s">
        <v>3451</v>
      </c>
      <c r="B31" s="1201" t="s">
        <v>3268</v>
      </c>
      <c r="C31" s="1205"/>
      <c r="D31" s="1205">
        <v>2</v>
      </c>
      <c r="E31" s="1204">
        <f t="shared" si="1"/>
        <v>2</v>
      </c>
      <c r="F31" s="1205">
        <v>0</v>
      </c>
      <c r="G31" s="1205">
        <v>0</v>
      </c>
      <c r="H31" s="1204">
        <f t="shared" si="2"/>
        <v>0</v>
      </c>
      <c r="I31" s="1215"/>
      <c r="J31" s="1215"/>
      <c r="K31" s="1205">
        <f t="shared" si="0"/>
        <v>2</v>
      </c>
      <c r="L31" s="1205"/>
    </row>
    <row r="32" spans="1:12" ht="13">
      <c r="A32" s="1600"/>
      <c r="B32" s="1210" t="s">
        <v>3269</v>
      </c>
      <c r="C32" s="1205"/>
      <c r="D32" s="1205">
        <v>2</v>
      </c>
      <c r="E32" s="1204">
        <f t="shared" si="1"/>
        <v>2</v>
      </c>
      <c r="F32" s="1205">
        <v>0</v>
      </c>
      <c r="G32" s="1205">
        <v>0</v>
      </c>
      <c r="H32" s="1204">
        <f t="shared" si="2"/>
        <v>0</v>
      </c>
      <c r="I32" s="1215"/>
      <c r="J32" s="1215"/>
      <c r="K32" s="1205">
        <f t="shared" si="0"/>
        <v>2</v>
      </c>
      <c r="L32" s="1205"/>
    </row>
    <row r="33" spans="1:12" ht="13">
      <c r="A33" s="1596" t="s">
        <v>994</v>
      </c>
      <c r="B33" s="1596"/>
      <c r="C33" s="1197">
        <f t="shared" ref="C33:K33" si="3">C22+C16+C10+C4+C31</f>
        <v>126</v>
      </c>
      <c r="D33" s="1197">
        <f t="shared" si="3"/>
        <v>263</v>
      </c>
      <c r="E33" s="1197">
        <f t="shared" si="3"/>
        <v>389</v>
      </c>
      <c r="F33" s="1197">
        <f>F22+F16+F10+F4+F31</f>
        <v>142</v>
      </c>
      <c r="G33" s="1197">
        <f t="shared" si="3"/>
        <v>195</v>
      </c>
      <c r="H33" s="1197">
        <f t="shared" si="3"/>
        <v>337</v>
      </c>
      <c r="I33" s="1197">
        <f t="shared" si="3"/>
        <v>0</v>
      </c>
      <c r="J33" s="1197">
        <f t="shared" si="3"/>
        <v>0</v>
      </c>
      <c r="K33" s="1197">
        <f t="shared" si="3"/>
        <v>52</v>
      </c>
      <c r="L33" s="1197"/>
    </row>
  </sheetData>
  <autoFilter ref="A2:L33" xr:uid="{644DFE42-40C4-414D-9F1D-776F5C76BCC1}"/>
  <mergeCells count="8">
    <mergeCell ref="A31:A32"/>
    <mergeCell ref="A33:B33"/>
    <mergeCell ref="A1:L1"/>
    <mergeCell ref="I2:J2"/>
    <mergeCell ref="A4:A8"/>
    <mergeCell ref="A10:A14"/>
    <mergeCell ref="A16:A20"/>
    <mergeCell ref="A22:A29"/>
  </mergeCells>
  <conditionalFormatting sqref="K1:K32 K34:K65536">
    <cfRule type="cellIs" dxfId="3573" priority="1" stopIfTrue="1" operator="lessThan">
      <formula>0</formula>
    </cfRule>
  </conditionalFormatting>
  <pageMargins left="0.7" right="0.7" top="0.75" bottom="0.75" header="0.3" footer="0.3"/>
  <pageSetup scale="63"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541FC-64A4-4B2F-8157-1EC6AD67D89E}">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4" width="15.90625" style="1198" customWidth="1"/>
    <col min="5" max="5" width="12.363281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0" width="15.90625" style="1198" customWidth="1"/>
    <col min="261" max="261" width="12.363281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6" width="15.90625" style="1198" customWidth="1"/>
    <col min="517" max="517" width="12.363281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2" width="15.90625" style="1198" customWidth="1"/>
    <col min="773" max="773" width="12.363281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8" width="15.90625" style="1198" customWidth="1"/>
    <col min="1029" max="1029" width="12.363281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4" width="15.90625" style="1198" customWidth="1"/>
    <col min="1285" max="1285" width="12.363281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0" width="15.90625" style="1198" customWidth="1"/>
    <col min="1541" max="1541" width="12.363281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6" width="15.90625" style="1198" customWidth="1"/>
    <col min="1797" max="1797" width="12.363281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2" width="15.90625" style="1198" customWidth="1"/>
    <col min="2053" max="2053" width="12.363281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8" width="15.90625" style="1198" customWidth="1"/>
    <col min="2309" max="2309" width="12.363281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4" width="15.90625" style="1198" customWidth="1"/>
    <col min="2565" max="2565" width="12.363281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0" width="15.90625" style="1198" customWidth="1"/>
    <col min="2821" max="2821" width="12.363281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6" width="15.90625" style="1198" customWidth="1"/>
    <col min="3077" max="3077" width="12.363281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2" width="15.90625" style="1198" customWidth="1"/>
    <col min="3333" max="3333" width="12.363281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8" width="15.90625" style="1198" customWidth="1"/>
    <col min="3589" max="3589" width="12.363281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4" width="15.90625" style="1198" customWidth="1"/>
    <col min="3845" max="3845" width="12.363281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0" width="15.90625" style="1198" customWidth="1"/>
    <col min="4101" max="4101" width="12.363281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6" width="15.90625" style="1198" customWidth="1"/>
    <col min="4357" max="4357" width="12.363281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2" width="15.90625" style="1198" customWidth="1"/>
    <col min="4613" max="4613" width="12.363281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8" width="15.90625" style="1198" customWidth="1"/>
    <col min="4869" max="4869" width="12.363281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4" width="15.90625" style="1198" customWidth="1"/>
    <col min="5125" max="5125" width="12.363281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0" width="15.90625" style="1198" customWidth="1"/>
    <col min="5381" max="5381" width="12.363281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6" width="15.90625" style="1198" customWidth="1"/>
    <col min="5637" max="5637" width="12.363281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2" width="15.90625" style="1198" customWidth="1"/>
    <col min="5893" max="5893" width="12.363281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8" width="15.90625" style="1198" customWidth="1"/>
    <col min="6149" max="6149" width="12.363281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4" width="15.90625" style="1198" customWidth="1"/>
    <col min="6405" max="6405" width="12.363281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0" width="15.90625" style="1198" customWidth="1"/>
    <col min="6661" max="6661" width="12.363281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6" width="15.90625" style="1198" customWidth="1"/>
    <col min="6917" max="6917" width="12.363281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2" width="15.90625" style="1198" customWidth="1"/>
    <col min="7173" max="7173" width="12.363281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8" width="15.90625" style="1198" customWidth="1"/>
    <col min="7429" max="7429" width="12.363281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4" width="15.90625" style="1198" customWidth="1"/>
    <col min="7685" max="7685" width="12.363281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0" width="15.90625" style="1198" customWidth="1"/>
    <col min="7941" max="7941" width="12.363281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6" width="15.90625" style="1198" customWidth="1"/>
    <col min="8197" max="8197" width="12.363281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2" width="15.90625" style="1198" customWidth="1"/>
    <col min="8453" max="8453" width="12.363281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8" width="15.90625" style="1198" customWidth="1"/>
    <col min="8709" max="8709" width="12.363281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4" width="15.90625" style="1198" customWidth="1"/>
    <col min="8965" max="8965" width="12.363281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0" width="15.90625" style="1198" customWidth="1"/>
    <col min="9221" max="9221" width="12.363281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6" width="15.90625" style="1198" customWidth="1"/>
    <col min="9477" max="9477" width="12.363281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2" width="15.90625" style="1198" customWidth="1"/>
    <col min="9733" max="9733" width="12.363281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8" width="15.90625" style="1198" customWidth="1"/>
    <col min="9989" max="9989" width="12.363281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4" width="15.90625" style="1198" customWidth="1"/>
    <col min="10245" max="10245" width="12.363281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0" width="15.90625" style="1198" customWidth="1"/>
    <col min="10501" max="10501" width="12.363281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6" width="15.90625" style="1198" customWidth="1"/>
    <col min="10757" max="10757" width="12.363281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2" width="15.90625" style="1198" customWidth="1"/>
    <col min="11013" max="11013" width="12.363281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8" width="15.90625" style="1198" customWidth="1"/>
    <col min="11269" max="11269" width="12.363281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4" width="15.90625" style="1198" customWidth="1"/>
    <col min="11525" max="11525" width="12.363281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0" width="15.90625" style="1198" customWidth="1"/>
    <col min="11781" max="11781" width="12.363281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6" width="15.90625" style="1198" customWidth="1"/>
    <col min="12037" max="12037" width="12.363281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2" width="15.90625" style="1198" customWidth="1"/>
    <col min="12293" max="12293" width="12.363281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8" width="15.90625" style="1198" customWidth="1"/>
    <col min="12549" max="12549" width="12.363281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4" width="15.90625" style="1198" customWidth="1"/>
    <col min="12805" max="12805" width="12.363281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0" width="15.90625" style="1198" customWidth="1"/>
    <col min="13061" max="13061" width="12.363281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6" width="15.90625" style="1198" customWidth="1"/>
    <col min="13317" max="13317" width="12.363281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2" width="15.90625" style="1198" customWidth="1"/>
    <col min="13573" max="13573" width="12.363281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8" width="15.90625" style="1198" customWidth="1"/>
    <col min="13829" max="13829" width="12.363281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4" width="15.90625" style="1198" customWidth="1"/>
    <col min="14085" max="14085" width="12.363281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0" width="15.90625" style="1198" customWidth="1"/>
    <col min="14341" max="14341" width="12.363281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6" width="15.90625" style="1198" customWidth="1"/>
    <col min="14597" max="14597" width="12.363281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2" width="15.90625" style="1198" customWidth="1"/>
    <col min="14853" max="14853" width="12.363281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8" width="15.90625" style="1198" customWidth="1"/>
    <col min="15109" max="15109" width="12.363281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4" width="15.90625" style="1198" customWidth="1"/>
    <col min="15365" max="15365" width="12.363281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0" width="15.90625" style="1198" customWidth="1"/>
    <col min="15621" max="15621" width="12.363281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6" width="15.90625" style="1198" customWidth="1"/>
    <col min="15877" max="15877" width="12.363281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2" width="15.90625" style="1198" customWidth="1"/>
    <col min="16133" max="16133" width="12.36328125" style="1198" customWidth="1"/>
    <col min="16134" max="16134" width="11.81640625" style="1198" customWidth="1"/>
    <col min="16135" max="16135" width="18.36328125" style="1198" bestFit="1" customWidth="1"/>
    <col min="16136" max="16384" width="8.7265625" style="1198"/>
  </cols>
  <sheetData>
    <row r="1" spans="1:7" ht="13">
      <c r="A1" s="1597" t="s">
        <v>3461</v>
      </c>
      <c r="B1" s="1597"/>
      <c r="C1" s="1597"/>
      <c r="D1" s="1597"/>
      <c r="E1" s="1597"/>
      <c r="F1" s="1597"/>
      <c r="G1" s="1597"/>
    </row>
    <row r="2" spans="1:7" ht="26">
      <c r="A2" s="1199" t="s">
        <v>2877</v>
      </c>
      <c r="B2" s="1199" t="s">
        <v>3267</v>
      </c>
      <c r="C2" s="1200" t="s">
        <v>3453</v>
      </c>
      <c r="D2" s="1200" t="s">
        <v>3586</v>
      </c>
      <c r="E2" s="1209" t="s">
        <v>3587</v>
      </c>
      <c r="F2" s="1200" t="s">
        <v>593</v>
      </c>
      <c r="G2" s="1199" t="s">
        <v>19</v>
      </c>
    </row>
    <row r="3" spans="1:7" ht="13">
      <c r="A3" s="1597" t="s">
        <v>1675</v>
      </c>
      <c r="B3" s="1201" t="s">
        <v>3268</v>
      </c>
      <c r="C3" s="1205">
        <v>1</v>
      </c>
      <c r="D3" s="1205">
        <v>1</v>
      </c>
      <c r="E3" s="1204"/>
      <c r="F3" s="1205">
        <f>C3-D3-E3</f>
        <v>0</v>
      </c>
      <c r="G3" s="1205"/>
    </row>
    <row r="4" spans="1:7" ht="13">
      <c r="A4" s="1597"/>
      <c r="B4" s="1210" t="s">
        <v>3269</v>
      </c>
      <c r="C4" s="1205">
        <v>1</v>
      </c>
      <c r="D4" s="1205">
        <v>1</v>
      </c>
      <c r="E4" s="1204"/>
      <c r="F4" s="1205">
        <f t="shared" ref="F4:F51" si="0">C4-D4-E4</f>
        <v>0</v>
      </c>
      <c r="G4" s="1205"/>
    </row>
    <row r="5" spans="1:7" ht="7.5" customHeight="1">
      <c r="A5" s="1201"/>
      <c r="B5" s="1201"/>
      <c r="C5" s="1205"/>
      <c r="D5" s="1205">
        <v>0</v>
      </c>
      <c r="E5" s="1204"/>
      <c r="F5" s="1205">
        <f t="shared" si="0"/>
        <v>0</v>
      </c>
      <c r="G5" s="1205"/>
    </row>
    <row r="6" spans="1:7" ht="13">
      <c r="A6" s="1598" t="s">
        <v>2397</v>
      </c>
      <c r="B6" s="1201" t="s">
        <v>3268</v>
      </c>
      <c r="C6" s="1205">
        <v>35</v>
      </c>
      <c r="D6" s="1205">
        <v>33</v>
      </c>
      <c r="E6" s="1204"/>
      <c r="F6" s="1205">
        <f t="shared" si="0"/>
        <v>2</v>
      </c>
      <c r="G6" s="1205"/>
    </row>
    <row r="7" spans="1:7" ht="13">
      <c r="A7" s="1599"/>
      <c r="B7" s="1210" t="s">
        <v>3269</v>
      </c>
      <c r="C7" s="1205">
        <v>13</v>
      </c>
      <c r="D7" s="1205">
        <v>14</v>
      </c>
      <c r="E7" s="1204"/>
      <c r="F7" s="1205">
        <f t="shared" si="0"/>
        <v>-1</v>
      </c>
      <c r="G7" s="1205" t="s">
        <v>3463</v>
      </c>
    </row>
    <row r="8" spans="1:7" ht="13">
      <c r="A8" s="1599"/>
      <c r="B8" s="1210" t="s">
        <v>3270</v>
      </c>
      <c r="C8" s="1205">
        <v>3</v>
      </c>
      <c r="D8" s="1205">
        <v>2</v>
      </c>
      <c r="E8" s="1204"/>
      <c r="F8" s="1205">
        <f t="shared" si="0"/>
        <v>1</v>
      </c>
      <c r="G8" s="1205"/>
    </row>
    <row r="9" spans="1:7" ht="13">
      <c r="A9" s="1599"/>
      <c r="B9" s="1210" t="s">
        <v>3271</v>
      </c>
      <c r="C9" s="1205">
        <v>1</v>
      </c>
      <c r="D9" s="1205">
        <v>1</v>
      </c>
      <c r="E9" s="1204"/>
      <c r="F9" s="1205">
        <f t="shared" si="0"/>
        <v>0</v>
      </c>
      <c r="G9" s="1205"/>
    </row>
    <row r="10" spans="1:7" ht="13">
      <c r="A10" s="1599"/>
      <c r="B10" s="1210" t="s">
        <v>3272</v>
      </c>
      <c r="C10" s="1205">
        <v>6</v>
      </c>
      <c r="D10" s="1205">
        <v>5</v>
      </c>
      <c r="E10" s="1204">
        <v>1</v>
      </c>
      <c r="F10" s="1205">
        <f t="shared" si="0"/>
        <v>0</v>
      </c>
      <c r="G10" s="1205"/>
    </row>
    <row r="11" spans="1:7" ht="13">
      <c r="A11" s="1599"/>
      <c r="B11" s="1214" t="s">
        <v>3464</v>
      </c>
      <c r="C11" s="1205">
        <v>28</v>
      </c>
      <c r="D11" s="1205">
        <v>11</v>
      </c>
      <c r="E11" s="1204">
        <v>13</v>
      </c>
      <c r="F11" s="1205">
        <f t="shared" si="0"/>
        <v>4</v>
      </c>
      <c r="G11" s="1205"/>
    </row>
    <row r="12" spans="1:7" ht="13">
      <c r="A12" s="1599"/>
      <c r="B12" s="1214" t="s">
        <v>3465</v>
      </c>
      <c r="C12" s="1205">
        <v>9</v>
      </c>
      <c r="D12" s="1205">
        <v>6</v>
      </c>
      <c r="E12" s="1204">
        <v>3</v>
      </c>
      <c r="F12" s="1205">
        <f t="shared" si="0"/>
        <v>0</v>
      </c>
      <c r="G12" s="1205"/>
    </row>
    <row r="13" spans="1:7" ht="13">
      <c r="A13" s="1599"/>
      <c r="B13" s="1214" t="s">
        <v>3466</v>
      </c>
      <c r="C13" s="1205">
        <v>12</v>
      </c>
      <c r="D13" s="1205">
        <v>8</v>
      </c>
      <c r="E13" s="1204"/>
      <c r="F13" s="1205">
        <f t="shared" si="0"/>
        <v>4</v>
      </c>
      <c r="G13" s="1205"/>
    </row>
    <row r="14" spans="1:7" ht="13">
      <c r="A14" s="1599"/>
      <c r="B14" s="1214" t="s">
        <v>3467</v>
      </c>
      <c r="C14" s="1205">
        <v>10</v>
      </c>
      <c r="D14" s="1205">
        <v>8</v>
      </c>
      <c r="E14" s="1204">
        <v>2</v>
      </c>
      <c r="F14" s="1205">
        <f t="shared" si="0"/>
        <v>0</v>
      </c>
      <c r="G14" s="1205"/>
    </row>
    <row r="15" spans="1:7" ht="13">
      <c r="A15" s="1599"/>
      <c r="B15" s="1214" t="s">
        <v>3468</v>
      </c>
      <c r="C15" s="1205">
        <v>17</v>
      </c>
      <c r="D15" s="1205">
        <v>7</v>
      </c>
      <c r="E15" s="1204">
        <v>10</v>
      </c>
      <c r="F15" s="1205">
        <f t="shared" si="0"/>
        <v>0</v>
      </c>
      <c r="G15" s="1205"/>
    </row>
    <row r="16" spans="1:7" ht="13">
      <c r="A16" s="1599"/>
      <c r="B16" s="1214" t="s">
        <v>3469</v>
      </c>
      <c r="C16" s="1205">
        <v>1</v>
      </c>
      <c r="D16" s="1205">
        <v>1</v>
      </c>
      <c r="E16" s="1204"/>
      <c r="F16" s="1205">
        <f t="shared" si="0"/>
        <v>0</v>
      </c>
      <c r="G16" s="1205"/>
    </row>
    <row r="17" spans="1:7" ht="13">
      <c r="A17" s="1599"/>
      <c r="B17" s="1214" t="s">
        <v>3470</v>
      </c>
      <c r="C17" s="1205">
        <v>7</v>
      </c>
      <c r="D17" s="1205">
        <v>2</v>
      </c>
      <c r="E17" s="1204">
        <v>5</v>
      </c>
      <c r="F17" s="1205">
        <f t="shared" si="0"/>
        <v>0</v>
      </c>
      <c r="G17" s="1205"/>
    </row>
    <row r="18" spans="1:7" ht="13">
      <c r="A18" s="1599"/>
      <c r="B18" s="1214" t="s">
        <v>3471</v>
      </c>
      <c r="C18" s="1205">
        <v>1</v>
      </c>
      <c r="D18" s="1205">
        <v>1</v>
      </c>
      <c r="E18" s="1204"/>
      <c r="F18" s="1205">
        <f t="shared" si="0"/>
        <v>0</v>
      </c>
      <c r="G18" s="1205"/>
    </row>
    <row r="19" spans="1:7" ht="13">
      <c r="A19" s="1599"/>
      <c r="B19" s="1214" t="s">
        <v>3472</v>
      </c>
      <c r="C19" s="1205">
        <v>7</v>
      </c>
      <c r="D19" s="1205">
        <v>0</v>
      </c>
      <c r="E19" s="1204">
        <v>7</v>
      </c>
      <c r="F19" s="1205">
        <f t="shared" si="0"/>
        <v>0</v>
      </c>
      <c r="G19" s="1205"/>
    </row>
    <row r="20" spans="1:7" ht="7.5" customHeight="1">
      <c r="A20" s="1201"/>
      <c r="B20" s="1201"/>
      <c r="C20" s="1205"/>
      <c r="D20" s="1205">
        <v>0</v>
      </c>
      <c r="E20" s="1204"/>
      <c r="F20" s="1205">
        <f t="shared" si="0"/>
        <v>0</v>
      </c>
      <c r="G20" s="1205"/>
    </row>
    <row r="21" spans="1:7" ht="13">
      <c r="A21" s="1598" t="s">
        <v>2398</v>
      </c>
      <c r="B21" s="1201" t="s">
        <v>3268</v>
      </c>
      <c r="C21" s="1205">
        <v>35</v>
      </c>
      <c r="D21" s="1205">
        <v>33</v>
      </c>
      <c r="E21" s="1204"/>
      <c r="F21" s="1205">
        <f t="shared" si="0"/>
        <v>2</v>
      </c>
      <c r="G21" s="1205"/>
    </row>
    <row r="22" spans="1:7" ht="13">
      <c r="A22" s="1599"/>
      <c r="B22" s="1210" t="s">
        <v>3269</v>
      </c>
      <c r="C22" s="1205">
        <v>13</v>
      </c>
      <c r="D22" s="1205">
        <v>12</v>
      </c>
      <c r="E22" s="1204"/>
      <c r="F22" s="1205">
        <f t="shared" si="0"/>
        <v>1</v>
      </c>
      <c r="G22" s="1205"/>
    </row>
    <row r="23" spans="1:7" ht="13">
      <c r="A23" s="1599"/>
      <c r="B23" s="1210" t="s">
        <v>3270</v>
      </c>
      <c r="C23" s="1205">
        <v>1</v>
      </c>
      <c r="D23" s="1205">
        <v>1</v>
      </c>
      <c r="E23" s="1204"/>
      <c r="F23" s="1205">
        <f t="shared" si="0"/>
        <v>0</v>
      </c>
      <c r="G23" s="1205"/>
    </row>
    <row r="24" spans="1:7" ht="13">
      <c r="A24" s="1599"/>
      <c r="B24" s="1210" t="s">
        <v>3271</v>
      </c>
      <c r="C24" s="1205"/>
      <c r="D24" s="1205">
        <v>0</v>
      </c>
      <c r="E24" s="1204"/>
      <c r="F24" s="1205">
        <f t="shared" si="0"/>
        <v>0</v>
      </c>
      <c r="G24" s="1205"/>
    </row>
    <row r="25" spans="1:7" ht="13">
      <c r="A25" s="1599"/>
      <c r="B25" s="1210" t="s">
        <v>3272</v>
      </c>
      <c r="C25" s="1205">
        <v>5</v>
      </c>
      <c r="D25" s="1205">
        <v>3</v>
      </c>
      <c r="E25" s="1204">
        <v>2</v>
      </c>
      <c r="F25" s="1205">
        <f t="shared" si="0"/>
        <v>0</v>
      </c>
      <c r="G25" s="1205"/>
    </row>
    <row r="26" spans="1:7" ht="13">
      <c r="A26" s="1599"/>
      <c r="B26" s="1214" t="s">
        <v>3464</v>
      </c>
      <c r="C26" s="1205">
        <v>31</v>
      </c>
      <c r="D26" s="1205">
        <v>19</v>
      </c>
      <c r="E26" s="1204">
        <v>12</v>
      </c>
      <c r="F26" s="1205">
        <f t="shared" si="0"/>
        <v>0</v>
      </c>
      <c r="G26" s="1205"/>
    </row>
    <row r="27" spans="1:7" ht="13">
      <c r="A27" s="1599"/>
      <c r="B27" s="1214" t="s">
        <v>3465</v>
      </c>
      <c r="C27" s="1205">
        <v>13</v>
      </c>
      <c r="D27" s="1205">
        <v>8</v>
      </c>
      <c r="E27" s="1204">
        <v>5</v>
      </c>
      <c r="F27" s="1205">
        <f t="shared" si="0"/>
        <v>0</v>
      </c>
      <c r="G27" s="1205"/>
    </row>
    <row r="28" spans="1:7" ht="13">
      <c r="A28" s="1599"/>
      <c r="B28" s="1214" t="s">
        <v>3466</v>
      </c>
      <c r="C28" s="1205">
        <v>15</v>
      </c>
      <c r="D28" s="1205">
        <v>7</v>
      </c>
      <c r="E28" s="1204">
        <v>4</v>
      </c>
      <c r="F28" s="1205">
        <f t="shared" si="0"/>
        <v>4</v>
      </c>
      <c r="G28" s="1205"/>
    </row>
    <row r="29" spans="1:7" ht="13">
      <c r="A29" s="1599"/>
      <c r="B29" s="1214" t="s">
        <v>3467</v>
      </c>
      <c r="C29" s="1205">
        <v>7</v>
      </c>
      <c r="D29" s="1205">
        <v>3</v>
      </c>
      <c r="E29" s="1204">
        <v>4</v>
      </c>
      <c r="F29" s="1205">
        <f t="shared" si="0"/>
        <v>0</v>
      </c>
      <c r="G29" s="1205"/>
    </row>
    <row r="30" spans="1:7" ht="13">
      <c r="A30" s="1599"/>
      <c r="B30" s="1214" t="s">
        <v>3468</v>
      </c>
      <c r="C30" s="1205">
        <v>18</v>
      </c>
      <c r="D30" s="1205">
        <v>7</v>
      </c>
      <c r="E30" s="1204">
        <v>11</v>
      </c>
      <c r="F30" s="1205">
        <f t="shared" si="0"/>
        <v>0</v>
      </c>
      <c r="G30" s="1205"/>
    </row>
    <row r="31" spans="1:7" ht="13">
      <c r="A31" s="1599"/>
      <c r="B31" s="1214" t="s">
        <v>3469</v>
      </c>
      <c r="C31" s="1205">
        <v>2</v>
      </c>
      <c r="D31" s="1205">
        <v>0</v>
      </c>
      <c r="E31" s="1204"/>
      <c r="F31" s="1205">
        <f t="shared" si="0"/>
        <v>2</v>
      </c>
      <c r="G31" s="1205"/>
    </row>
    <row r="32" spans="1:7" ht="13">
      <c r="A32" s="1599"/>
      <c r="B32" s="1214" t="s">
        <v>3470</v>
      </c>
      <c r="C32" s="1205">
        <v>5</v>
      </c>
      <c r="D32" s="1205">
        <v>1</v>
      </c>
      <c r="E32" s="1204">
        <v>4</v>
      </c>
      <c r="F32" s="1205">
        <f t="shared" si="0"/>
        <v>0</v>
      </c>
      <c r="G32" s="1205"/>
    </row>
    <row r="33" spans="1:7" ht="13">
      <c r="A33" s="1599"/>
      <c r="B33" s="1214" t="s">
        <v>3471</v>
      </c>
      <c r="C33" s="1205">
        <v>5</v>
      </c>
      <c r="D33" s="1205">
        <v>1</v>
      </c>
      <c r="E33" s="1204">
        <v>4</v>
      </c>
      <c r="F33" s="1205">
        <f t="shared" si="0"/>
        <v>0</v>
      </c>
      <c r="G33" s="1205"/>
    </row>
    <row r="34" spans="1:7" ht="13">
      <c r="A34" s="1599"/>
      <c r="B34" s="1214" t="s">
        <v>3472</v>
      </c>
      <c r="C34" s="1205">
        <v>16</v>
      </c>
      <c r="D34" s="1205">
        <v>6</v>
      </c>
      <c r="E34" s="1204">
        <v>8</v>
      </c>
      <c r="F34" s="1205">
        <f t="shared" si="0"/>
        <v>2</v>
      </c>
      <c r="G34" s="1205"/>
    </row>
    <row r="35" spans="1:7" ht="7" customHeight="1">
      <c r="A35" s="1201"/>
      <c r="B35" s="1201"/>
      <c r="C35" s="1205"/>
      <c r="D35" s="1205">
        <v>0</v>
      </c>
      <c r="E35" s="1204"/>
      <c r="F35" s="1205">
        <f t="shared" si="0"/>
        <v>0</v>
      </c>
      <c r="G35" s="1205"/>
    </row>
    <row r="36" spans="1:7" ht="13">
      <c r="A36" s="1597" t="s">
        <v>2425</v>
      </c>
      <c r="B36" s="1201" t="s">
        <v>3268</v>
      </c>
      <c r="C36" s="1205">
        <v>41</v>
      </c>
      <c r="D36" s="1205">
        <v>35</v>
      </c>
      <c r="E36" s="1204"/>
      <c r="F36" s="1205">
        <f t="shared" si="0"/>
        <v>6</v>
      </c>
      <c r="G36" s="1205"/>
    </row>
    <row r="37" spans="1:7" ht="13">
      <c r="A37" s="1597"/>
      <c r="B37" s="1210" t="s">
        <v>3269</v>
      </c>
      <c r="C37" s="1205">
        <v>27</v>
      </c>
      <c r="D37" s="1205">
        <v>15</v>
      </c>
      <c r="E37" s="1204">
        <v>7</v>
      </c>
      <c r="F37" s="1205">
        <f t="shared" si="0"/>
        <v>5</v>
      </c>
      <c r="G37" s="1205"/>
    </row>
    <row r="38" spans="1:7" ht="13">
      <c r="A38" s="1597"/>
      <c r="B38" s="1210" t="s">
        <v>3270</v>
      </c>
      <c r="C38" s="1205">
        <v>1</v>
      </c>
      <c r="D38" s="1205">
        <v>1</v>
      </c>
      <c r="E38" s="1204"/>
      <c r="F38" s="1205">
        <f t="shared" si="0"/>
        <v>0</v>
      </c>
      <c r="G38" s="1205"/>
    </row>
    <row r="39" spans="1:7" ht="13">
      <c r="A39" s="1597"/>
      <c r="B39" s="1210" t="s">
        <v>3271</v>
      </c>
      <c r="C39" s="1205">
        <v>1</v>
      </c>
      <c r="D39" s="1205">
        <v>0</v>
      </c>
      <c r="E39" s="1204"/>
      <c r="F39" s="1205">
        <f t="shared" si="0"/>
        <v>1</v>
      </c>
      <c r="G39" s="1205"/>
    </row>
    <row r="40" spans="1:7" ht="13">
      <c r="A40" s="1597"/>
      <c r="B40" s="1210" t="s">
        <v>3272</v>
      </c>
      <c r="C40" s="1205">
        <v>9</v>
      </c>
      <c r="D40" s="1205">
        <v>5</v>
      </c>
      <c r="E40" s="1204">
        <v>1</v>
      </c>
      <c r="F40" s="1205">
        <f t="shared" si="0"/>
        <v>3</v>
      </c>
      <c r="G40" s="1205"/>
    </row>
    <row r="41" spans="1:7" ht="13">
      <c r="A41" s="1597"/>
      <c r="B41" s="1214" t="s">
        <v>3464</v>
      </c>
      <c r="C41" s="1205">
        <v>10</v>
      </c>
      <c r="D41" s="1205">
        <v>7</v>
      </c>
      <c r="E41" s="1204">
        <v>3</v>
      </c>
      <c r="F41" s="1205">
        <f t="shared" si="0"/>
        <v>0</v>
      </c>
      <c r="G41" s="1205"/>
    </row>
    <row r="42" spans="1:7" ht="13">
      <c r="A42" s="1597"/>
      <c r="B42" s="1214" t="s">
        <v>3465</v>
      </c>
      <c r="C42" s="1205">
        <v>5</v>
      </c>
      <c r="D42" s="1205">
        <v>2</v>
      </c>
      <c r="E42" s="1204">
        <v>1</v>
      </c>
      <c r="F42" s="1205">
        <f t="shared" si="0"/>
        <v>2</v>
      </c>
      <c r="G42" s="1205"/>
    </row>
    <row r="43" spans="1:7" ht="13">
      <c r="A43" s="1597"/>
      <c r="B43" s="1214" t="s">
        <v>3466</v>
      </c>
      <c r="C43" s="1205">
        <v>24</v>
      </c>
      <c r="D43" s="1205">
        <v>9</v>
      </c>
      <c r="E43" s="1204">
        <v>13</v>
      </c>
      <c r="F43" s="1205">
        <f t="shared" si="0"/>
        <v>2</v>
      </c>
      <c r="G43" s="1205"/>
    </row>
    <row r="44" spans="1:7" ht="13">
      <c r="A44" s="1597"/>
      <c r="B44" s="1214" t="s">
        <v>3467</v>
      </c>
      <c r="C44" s="1205">
        <v>5</v>
      </c>
      <c r="D44" s="1205">
        <v>3</v>
      </c>
      <c r="E44" s="1204">
        <v>2</v>
      </c>
      <c r="F44" s="1205">
        <f t="shared" si="0"/>
        <v>0</v>
      </c>
      <c r="G44" s="1205"/>
    </row>
    <row r="45" spans="1:7" ht="13">
      <c r="A45" s="1597"/>
      <c r="B45" s="1214" t="s">
        <v>3468</v>
      </c>
      <c r="C45" s="1205">
        <v>8</v>
      </c>
      <c r="D45" s="1205">
        <v>7</v>
      </c>
      <c r="E45" s="1204"/>
      <c r="F45" s="1205">
        <f t="shared" si="0"/>
        <v>1</v>
      </c>
      <c r="G45" s="1205"/>
    </row>
    <row r="46" spans="1:7" ht="13">
      <c r="A46" s="1597"/>
      <c r="B46" s="1214" t="s">
        <v>3469</v>
      </c>
      <c r="C46" s="1205"/>
      <c r="D46" s="1205">
        <v>0</v>
      </c>
      <c r="E46" s="1204"/>
      <c r="F46" s="1205">
        <f t="shared" si="0"/>
        <v>0</v>
      </c>
      <c r="G46" s="1205"/>
    </row>
    <row r="47" spans="1:7" ht="13">
      <c r="A47" s="1597"/>
      <c r="B47" s="1214" t="s">
        <v>3470</v>
      </c>
      <c r="C47" s="1205">
        <v>5</v>
      </c>
      <c r="D47" s="1205">
        <v>1</v>
      </c>
      <c r="E47" s="1204">
        <v>3</v>
      </c>
      <c r="F47" s="1205">
        <f t="shared" si="0"/>
        <v>1</v>
      </c>
      <c r="G47" s="1205"/>
    </row>
    <row r="48" spans="1:7" ht="13">
      <c r="A48" s="1597"/>
      <c r="B48" s="1214" t="s">
        <v>3471</v>
      </c>
      <c r="C48" s="1205">
        <v>3</v>
      </c>
      <c r="D48" s="1205">
        <v>0</v>
      </c>
      <c r="E48" s="1204"/>
      <c r="F48" s="1205">
        <f t="shared" si="0"/>
        <v>3</v>
      </c>
      <c r="G48" s="1205"/>
    </row>
    <row r="49" spans="1:7" ht="13">
      <c r="A49" s="1597"/>
      <c r="B49" s="1214" t="s">
        <v>3472</v>
      </c>
      <c r="C49" s="1205">
        <v>12</v>
      </c>
      <c r="D49" s="1205">
        <v>0</v>
      </c>
      <c r="E49" s="1204">
        <v>12</v>
      </c>
      <c r="F49" s="1205">
        <f t="shared" si="0"/>
        <v>0</v>
      </c>
      <c r="G49" s="1205"/>
    </row>
    <row r="50" spans="1:7" ht="13">
      <c r="A50" s="1597"/>
      <c r="B50" s="1210" t="s">
        <v>3273</v>
      </c>
      <c r="C50" s="1205">
        <v>6</v>
      </c>
      <c r="D50" s="1205">
        <v>0</v>
      </c>
      <c r="E50" s="1204">
        <v>1</v>
      </c>
      <c r="F50" s="1205">
        <f t="shared" si="0"/>
        <v>5</v>
      </c>
      <c r="G50" s="1205"/>
    </row>
    <row r="51" spans="1:7" ht="13">
      <c r="A51" s="1597"/>
      <c r="B51" s="1210" t="s">
        <v>3274</v>
      </c>
      <c r="C51" s="1205">
        <v>1</v>
      </c>
      <c r="D51" s="1205">
        <v>0</v>
      </c>
      <c r="E51" s="1204"/>
      <c r="F51" s="1205">
        <f t="shared" si="0"/>
        <v>1</v>
      </c>
      <c r="G51" s="1205"/>
    </row>
    <row r="52" spans="1:7" ht="13">
      <c r="A52" s="1597" t="s">
        <v>994</v>
      </c>
      <c r="B52" s="1597"/>
      <c r="C52" s="1201">
        <f t="shared" ref="C52:F52" si="1">C36+C21+C6+C3</f>
        <v>112</v>
      </c>
      <c r="D52" s="1201">
        <f t="shared" si="1"/>
        <v>102</v>
      </c>
      <c r="E52" s="1201">
        <f t="shared" si="1"/>
        <v>0</v>
      </c>
      <c r="F52" s="1201">
        <f t="shared" si="1"/>
        <v>10</v>
      </c>
      <c r="G52" s="1201"/>
    </row>
  </sheetData>
  <autoFilter ref="A2:G52" xr:uid="{956D983F-9657-488C-9D37-87F2C9F12BEA}"/>
  <mergeCells count="6">
    <mergeCell ref="A52:B52"/>
    <mergeCell ref="A1:G1"/>
    <mergeCell ref="A3:A4"/>
    <mergeCell ref="A6:A19"/>
    <mergeCell ref="A21:A34"/>
    <mergeCell ref="A36:A51"/>
  </mergeCells>
  <conditionalFormatting sqref="F1:F51 F53:F65536">
    <cfRule type="cellIs" dxfId="3572" priority="1" stopIfTrue="1" operator="lessThan">
      <formula>0</formula>
    </cfRule>
  </conditionalFormatting>
  <pageMargins left="0.7" right="0.7" top="0.75" bottom="0.75" header="0.3" footer="0.3"/>
  <pageSetup scale="63"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3194-6CE6-4667-A961-0A428EE3BB68}">
  <dimension ref="B2:G21"/>
  <sheetViews>
    <sheetView workbookViewId="0">
      <selection activeCell="H1" sqref="H1:R4"/>
    </sheetView>
  </sheetViews>
  <sheetFormatPr defaultRowHeight="14.5"/>
  <cols>
    <col min="1" max="1" width="2.36328125" customWidth="1"/>
    <col min="2" max="2" width="4.6328125" bestFit="1" customWidth="1"/>
    <col min="3" max="3" width="15.54296875" bestFit="1" customWidth="1"/>
    <col min="4" max="4" width="9.453125" style="2" customWidth="1"/>
    <col min="5" max="6" width="12.08984375" style="2" bestFit="1" customWidth="1"/>
    <col min="7" max="7" width="9.54296875" style="2" customWidth="1"/>
  </cols>
  <sheetData>
    <row r="2" spans="2:7">
      <c r="B2" s="1455" t="s">
        <v>28</v>
      </c>
      <c r="C2" s="1455"/>
      <c r="D2" s="1455"/>
      <c r="E2" s="1455"/>
      <c r="F2" s="1455"/>
      <c r="G2" s="1455"/>
    </row>
    <row r="3" spans="2:7">
      <c r="B3" s="1610" t="s">
        <v>1782</v>
      </c>
      <c r="C3" s="1610" t="s">
        <v>2401</v>
      </c>
      <c r="D3" s="1606" t="s">
        <v>3542</v>
      </c>
      <c r="E3" s="1608" t="s">
        <v>3541</v>
      </c>
      <c r="F3" s="1609"/>
      <c r="G3" s="1606" t="s">
        <v>3533</v>
      </c>
    </row>
    <row r="4" spans="2:7" s="368" customFormat="1" ht="29">
      <c r="B4" s="1611"/>
      <c r="C4" s="1611"/>
      <c r="D4" s="1607"/>
      <c r="E4" s="1255" t="s">
        <v>3543</v>
      </c>
      <c r="F4" s="1255" t="s">
        <v>3544</v>
      </c>
      <c r="G4" s="1607"/>
    </row>
    <row r="5" spans="2:7">
      <c r="B5" s="13">
        <v>1</v>
      </c>
      <c r="C5" s="12" t="s">
        <v>2691</v>
      </c>
      <c r="D5" s="13">
        <v>18</v>
      </c>
      <c r="E5" s="13">
        <v>1</v>
      </c>
      <c r="F5" s="13">
        <v>4</v>
      </c>
      <c r="G5" s="13">
        <f>SUM(D5:F5)</f>
        <v>23</v>
      </c>
    </row>
    <row r="6" spans="2:7">
      <c r="B6" s="13">
        <f>B5+1</f>
        <v>2</v>
      </c>
      <c r="C6" s="12" t="s">
        <v>2835</v>
      </c>
      <c r="D6" s="13">
        <v>6</v>
      </c>
      <c r="E6" s="13"/>
      <c r="F6" s="13"/>
      <c r="G6" s="13">
        <f>SUM(D6:F6)</f>
        <v>6</v>
      </c>
    </row>
    <row r="7" spans="2:7">
      <c r="B7" s="13">
        <f>B6+1</f>
        <v>3</v>
      </c>
      <c r="C7" s="12" t="s">
        <v>3399</v>
      </c>
      <c r="D7" s="13">
        <v>3</v>
      </c>
      <c r="E7" s="13"/>
      <c r="F7" s="13"/>
      <c r="G7" s="13">
        <f>SUM(D7:F7)</f>
        <v>3</v>
      </c>
    </row>
    <row r="8" spans="2:7" s="756" customFormat="1">
      <c r="D8" s="9">
        <f>SUM(D5:D7)</f>
        <v>27</v>
      </c>
      <c r="E8" s="9">
        <f t="shared" ref="E8:G8" si="0">SUM(E5:E7)</f>
        <v>1</v>
      </c>
      <c r="F8" s="9">
        <f t="shared" si="0"/>
        <v>4</v>
      </c>
      <c r="G8" s="9">
        <f t="shared" si="0"/>
        <v>32</v>
      </c>
    </row>
    <row r="10" spans="2:7">
      <c r="B10" s="1455" t="s">
        <v>610</v>
      </c>
      <c r="C10" s="1455"/>
      <c r="D10" s="1455"/>
      <c r="E10" s="1455"/>
      <c r="F10" s="1455"/>
      <c r="G10" s="1455"/>
    </row>
    <row r="11" spans="2:7" ht="14.5" customHeight="1">
      <c r="B11" s="1610" t="s">
        <v>1782</v>
      </c>
      <c r="C11" s="1610" t="s">
        <v>2401</v>
      </c>
      <c r="D11" s="1606" t="s">
        <v>3542</v>
      </c>
      <c r="E11" s="1608" t="s">
        <v>3541</v>
      </c>
      <c r="F11" s="1609"/>
      <c r="G11" s="1002"/>
    </row>
    <row r="12" spans="2:7" ht="29">
      <c r="B12" s="1611"/>
      <c r="C12" s="1611"/>
      <c r="D12" s="1607"/>
      <c r="E12" s="1255" t="s">
        <v>3543</v>
      </c>
      <c r="F12" s="1255" t="s">
        <v>3544</v>
      </c>
      <c r="G12" s="1255" t="s">
        <v>3533</v>
      </c>
    </row>
    <row r="13" spans="2:7">
      <c r="B13" s="13">
        <v>1</v>
      </c>
      <c r="C13" s="12" t="s">
        <v>2691</v>
      </c>
      <c r="D13" s="13">
        <v>9</v>
      </c>
      <c r="E13" s="13">
        <v>3</v>
      </c>
      <c r="F13" s="13">
        <v>4</v>
      </c>
      <c r="G13" s="13">
        <f>SUM(D13:F13)</f>
        <v>16</v>
      </c>
    </row>
    <row r="14" spans="2:7">
      <c r="B14" s="13">
        <f>B13+1</f>
        <v>2</v>
      </c>
      <c r="C14" s="12" t="s">
        <v>2835</v>
      </c>
      <c r="D14" s="13"/>
      <c r="E14" s="13"/>
      <c r="F14" s="13">
        <v>4</v>
      </c>
      <c r="G14" s="13">
        <f>SUM(D14:F14)</f>
        <v>4</v>
      </c>
    </row>
    <row r="15" spans="2:7">
      <c r="B15" s="756"/>
      <c r="C15" s="756"/>
      <c r="D15" s="9">
        <f>SUM(D13:D14)</f>
        <v>9</v>
      </c>
      <c r="E15" s="9">
        <f t="shared" ref="E15:G15" si="1">SUM(E13:E14)</f>
        <v>3</v>
      </c>
      <c r="F15" s="9">
        <f t="shared" si="1"/>
        <v>8</v>
      </c>
      <c r="G15" s="9">
        <f t="shared" si="1"/>
        <v>20</v>
      </c>
    </row>
    <row r="17" spans="2:7">
      <c r="B17" s="1455" t="s">
        <v>614</v>
      </c>
      <c r="C17" s="1455"/>
      <c r="D17" s="1455"/>
      <c r="E17" s="1455"/>
      <c r="F17" s="1455"/>
      <c r="G17" s="1455"/>
    </row>
    <row r="18" spans="2:7">
      <c r="B18" s="1610" t="s">
        <v>1782</v>
      </c>
      <c r="C18" s="1610" t="s">
        <v>2401</v>
      </c>
      <c r="D18" s="1606" t="s">
        <v>3542</v>
      </c>
      <c r="E18" s="1608" t="s">
        <v>3541</v>
      </c>
      <c r="F18" s="1609"/>
      <c r="G18" s="1002"/>
    </row>
    <row r="19" spans="2:7" ht="29">
      <c r="B19" s="1611"/>
      <c r="C19" s="1611"/>
      <c r="D19" s="1607"/>
      <c r="E19" s="1255" t="s">
        <v>3543</v>
      </c>
      <c r="F19" s="1255" t="s">
        <v>3544</v>
      </c>
      <c r="G19" s="1255" t="s">
        <v>3533</v>
      </c>
    </row>
    <row r="20" spans="2:7">
      <c r="B20" s="13">
        <v>1</v>
      </c>
      <c r="C20" s="12" t="s">
        <v>2691</v>
      </c>
      <c r="D20" s="13"/>
      <c r="E20" s="13"/>
      <c r="F20" s="13">
        <v>1</v>
      </c>
      <c r="G20" s="13">
        <f>SUM(D20:F20)</f>
        <v>1</v>
      </c>
    </row>
    <row r="21" spans="2:7">
      <c r="B21" s="756"/>
      <c r="C21" s="756"/>
      <c r="D21" s="9"/>
      <c r="E21" s="9"/>
      <c r="F21" s="9">
        <f>SUM(F20:F20)</f>
        <v>1</v>
      </c>
      <c r="G21" s="9">
        <f>SUM(G20:G20)</f>
        <v>1</v>
      </c>
    </row>
  </sheetData>
  <mergeCells count="16">
    <mergeCell ref="B18:B19"/>
    <mergeCell ref="C18:C19"/>
    <mergeCell ref="D18:D19"/>
    <mergeCell ref="E18:F18"/>
    <mergeCell ref="E11:F11"/>
    <mergeCell ref="D11:D12"/>
    <mergeCell ref="B11:B12"/>
    <mergeCell ref="C11:C12"/>
    <mergeCell ref="G3:G4"/>
    <mergeCell ref="B17:G17"/>
    <mergeCell ref="B2:G2"/>
    <mergeCell ref="B10:G10"/>
    <mergeCell ref="E3:F3"/>
    <mergeCell ref="D3:D4"/>
    <mergeCell ref="C3:C4"/>
    <mergeCell ref="B3:B4"/>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BC652-C123-4B10-B0A8-760A89D4461F}">
  <dimension ref="B1:R51"/>
  <sheetViews>
    <sheetView zoomScale="91" workbookViewId="0">
      <pane ySplit="1" topLeftCell="A18" activePane="bottomLeft" state="frozen"/>
      <selection activeCell="J1" sqref="J1:O4"/>
      <selection pane="bottomLeft" activeCell="H1" sqref="H1:R4"/>
    </sheetView>
  </sheetViews>
  <sheetFormatPr defaultRowHeight="14.5"/>
  <cols>
    <col min="1" max="1" width="1" customWidth="1"/>
    <col min="2" max="2" width="4.6328125" style="2" bestFit="1" customWidth="1"/>
    <col min="3" max="3" width="15.6328125" bestFit="1" customWidth="1"/>
    <col min="4" max="4" width="8.36328125" style="2" bestFit="1" customWidth="1"/>
    <col min="5" max="5" width="11.453125" style="2" customWidth="1"/>
    <col min="6" max="6" width="22.90625" bestFit="1" customWidth="1"/>
    <col min="7" max="7" width="1.453125" customWidth="1"/>
    <col min="8" max="8" width="4.6328125" bestFit="1" customWidth="1"/>
    <col min="9" max="9" width="18.54296875" bestFit="1" customWidth="1"/>
    <col min="11" max="11" width="13.81640625" customWidth="1"/>
    <col min="12" max="12" width="22.90625" bestFit="1" customWidth="1"/>
    <col min="13" max="13" width="1.453125" customWidth="1"/>
    <col min="15" max="15" width="17.1796875" bestFit="1" customWidth="1"/>
    <col min="17" max="17" width="11.81640625" customWidth="1"/>
    <col min="18" max="18" width="22.90625" bestFit="1" customWidth="1"/>
  </cols>
  <sheetData>
    <row r="1" spans="2:18">
      <c r="B1" s="1612" t="s">
        <v>28</v>
      </c>
      <c r="C1" s="1612"/>
      <c r="D1" s="1612"/>
      <c r="E1" s="1612"/>
      <c r="F1" s="1612"/>
      <c r="H1" s="1612" t="s">
        <v>610</v>
      </c>
      <c r="I1" s="1612"/>
      <c r="J1" s="1612"/>
      <c r="K1" s="1612"/>
      <c r="L1" s="1612"/>
      <c r="N1" s="1612" t="s">
        <v>614</v>
      </c>
      <c r="O1" s="1612"/>
      <c r="P1" s="1612"/>
      <c r="Q1" s="1612"/>
      <c r="R1" s="1612"/>
    </row>
    <row r="2" spans="2:18">
      <c r="B2" s="1455" t="s">
        <v>3520</v>
      </c>
      <c r="C2" s="1455"/>
      <c r="D2" s="1455"/>
      <c r="E2" s="1455"/>
      <c r="F2" s="1455"/>
      <c r="H2" s="1455" t="s">
        <v>3520</v>
      </c>
      <c r="I2" s="1455"/>
      <c r="J2" s="1455"/>
      <c r="K2" s="1455"/>
      <c r="L2" s="1455"/>
      <c r="N2" s="1455" t="s">
        <v>3531</v>
      </c>
      <c r="O2" s="1455"/>
      <c r="P2" s="1455"/>
      <c r="Q2" s="1455"/>
      <c r="R2" s="1455"/>
    </row>
    <row r="3" spans="2:18" s="368" customFormat="1" ht="29">
      <c r="B3" s="269" t="s">
        <v>1782</v>
      </c>
      <c r="C3" s="269" t="s">
        <v>3502</v>
      </c>
      <c r="D3" s="269" t="s">
        <v>3507</v>
      </c>
      <c r="E3" s="1255" t="s">
        <v>3545</v>
      </c>
      <c r="F3" s="269" t="s">
        <v>19</v>
      </c>
      <c r="H3" s="269" t="s">
        <v>1782</v>
      </c>
      <c r="I3" s="269" t="s">
        <v>3502</v>
      </c>
      <c r="J3" s="269" t="s">
        <v>3507</v>
      </c>
      <c r="K3" s="1255" t="s">
        <v>3545</v>
      </c>
      <c r="L3" s="269" t="s">
        <v>19</v>
      </c>
      <c r="N3" s="269" t="s">
        <v>1782</v>
      </c>
      <c r="O3" s="269" t="s">
        <v>3502</v>
      </c>
      <c r="P3" s="269" t="s">
        <v>3507</v>
      </c>
      <c r="Q3" s="1255" t="s">
        <v>3545</v>
      </c>
      <c r="R3" s="269" t="s">
        <v>19</v>
      </c>
    </row>
    <row r="4" spans="2:18">
      <c r="B4" s="13">
        <v>1</v>
      </c>
      <c r="C4" s="12" t="s">
        <v>3503</v>
      </c>
      <c r="D4" s="13">
        <v>11</v>
      </c>
      <c r="E4" s="13"/>
      <c r="F4" s="12"/>
      <c r="H4" s="13">
        <v>1</v>
      </c>
      <c r="I4" s="1249" t="s">
        <v>3416</v>
      </c>
      <c r="J4" s="13">
        <v>20</v>
      </c>
      <c r="K4" s="13"/>
      <c r="L4" s="12"/>
      <c r="N4" s="13">
        <v>1</v>
      </c>
      <c r="O4" s="1249" t="s">
        <v>3532</v>
      </c>
      <c r="P4" s="13"/>
      <c r="Q4" s="13">
        <v>10</v>
      </c>
      <c r="R4" s="1249" t="s">
        <v>3517</v>
      </c>
    </row>
    <row r="5" spans="2:18">
      <c r="B5" s="13">
        <f>B4+1</f>
        <v>2</v>
      </c>
      <c r="C5" s="12" t="s">
        <v>3504</v>
      </c>
      <c r="D5" s="13">
        <v>10</v>
      </c>
      <c r="E5" s="13"/>
      <c r="F5" s="12"/>
      <c r="H5" s="13">
        <f>H4+1</f>
        <v>2</v>
      </c>
      <c r="I5" s="1249" t="s">
        <v>3414</v>
      </c>
      <c r="J5" s="13">
        <v>22</v>
      </c>
      <c r="K5" s="13"/>
      <c r="L5" s="12"/>
      <c r="N5" s="1608" t="s">
        <v>994</v>
      </c>
      <c r="O5" s="1609"/>
      <c r="P5" s="1002"/>
      <c r="Q5" s="1002">
        <f>SUM(Q1:Q4)</f>
        <v>10</v>
      </c>
      <c r="R5" s="1252"/>
    </row>
    <row r="6" spans="2:18">
      <c r="B6" s="13">
        <f t="shared" ref="B6:B12" si="0">B5+1</f>
        <v>3</v>
      </c>
      <c r="C6" s="12" t="s">
        <v>3413</v>
      </c>
      <c r="D6" s="13">
        <v>12</v>
      </c>
      <c r="E6" s="13"/>
      <c r="F6" s="12"/>
      <c r="H6" s="13">
        <f t="shared" ref="H6:H7" si="1">H5+1</f>
        <v>3</v>
      </c>
      <c r="I6" s="1249" t="s">
        <v>3522</v>
      </c>
      <c r="J6" s="13">
        <v>23</v>
      </c>
      <c r="K6" s="13"/>
      <c r="L6" s="12"/>
    </row>
    <row r="7" spans="2:18">
      <c r="B7" s="13">
        <f t="shared" si="0"/>
        <v>4</v>
      </c>
      <c r="C7" s="12" t="s">
        <v>3408</v>
      </c>
      <c r="D7" s="13">
        <v>10</v>
      </c>
      <c r="E7" s="13"/>
      <c r="F7" s="12"/>
      <c r="H7" s="13">
        <f t="shared" si="1"/>
        <v>4</v>
      </c>
      <c r="I7" s="1249" t="s">
        <v>3415</v>
      </c>
      <c r="J7" s="13"/>
      <c r="K7" s="13">
        <v>20</v>
      </c>
      <c r="L7" s="1249" t="s">
        <v>3534</v>
      </c>
    </row>
    <row r="8" spans="2:18">
      <c r="B8" s="13">
        <f t="shared" si="0"/>
        <v>5</v>
      </c>
      <c r="C8" s="12" t="s">
        <v>3133</v>
      </c>
      <c r="D8" s="13">
        <v>10</v>
      </c>
      <c r="E8" s="13"/>
      <c r="F8" s="12"/>
      <c r="H8" s="1608" t="s">
        <v>994</v>
      </c>
      <c r="I8" s="1609"/>
      <c r="J8" s="1002">
        <f>SUM(J4:J7)</f>
        <v>65</v>
      </c>
      <c r="K8" s="1002">
        <f>SUM(K4:K7)</f>
        <v>20</v>
      </c>
      <c r="L8" s="1252"/>
    </row>
    <row r="9" spans="2:18">
      <c r="B9" s="13">
        <f t="shared" si="0"/>
        <v>6</v>
      </c>
      <c r="C9" s="12" t="s">
        <v>3505</v>
      </c>
      <c r="D9" s="13">
        <v>10</v>
      </c>
      <c r="E9" s="13"/>
      <c r="F9" s="12"/>
    </row>
    <row r="10" spans="2:18">
      <c r="B10" s="13">
        <f t="shared" si="0"/>
        <v>7</v>
      </c>
      <c r="C10" s="12" t="s">
        <v>3506</v>
      </c>
      <c r="D10" s="13"/>
      <c r="E10" s="13">
        <v>12</v>
      </c>
      <c r="F10" s="1249" t="s">
        <v>3517</v>
      </c>
    </row>
    <row r="11" spans="2:18">
      <c r="B11" s="13">
        <f t="shared" si="0"/>
        <v>8</v>
      </c>
      <c r="C11" s="1249" t="s">
        <v>3508</v>
      </c>
      <c r="D11" s="13"/>
      <c r="E11" s="13">
        <v>13</v>
      </c>
      <c r="F11" s="1249" t="s">
        <v>3509</v>
      </c>
    </row>
    <row r="12" spans="2:18">
      <c r="B12" s="24">
        <f t="shared" si="0"/>
        <v>9</v>
      </c>
      <c r="C12" s="1251" t="s">
        <v>3510</v>
      </c>
      <c r="D12" s="13"/>
      <c r="E12" s="24">
        <v>12</v>
      </c>
      <c r="F12" s="1251" t="s">
        <v>3511</v>
      </c>
    </row>
    <row r="13" spans="2:18">
      <c r="B13" s="1608" t="s">
        <v>994</v>
      </c>
      <c r="C13" s="1609"/>
      <c r="D13" s="1002">
        <f>SUM(D4:D12)</f>
        <v>63</v>
      </c>
      <c r="E13" s="1002">
        <f>SUM(E4:E12)</f>
        <v>37</v>
      </c>
      <c r="F13" s="1252"/>
    </row>
    <row r="15" spans="2:18">
      <c r="B15" s="1455" t="s">
        <v>3521</v>
      </c>
      <c r="C15" s="1455"/>
      <c r="D15" s="1455"/>
      <c r="E15" s="1455"/>
      <c r="F15" s="1455"/>
      <c r="H15" s="1455" t="s">
        <v>3523</v>
      </c>
      <c r="I15" s="1455"/>
      <c r="J15" s="1455"/>
      <c r="K15" s="1455"/>
      <c r="L15" s="1455"/>
    </row>
    <row r="16" spans="2:18" ht="29">
      <c r="B16" s="269" t="s">
        <v>1782</v>
      </c>
      <c r="C16" s="269" t="s">
        <v>3502</v>
      </c>
      <c r="D16" s="269" t="s">
        <v>3507</v>
      </c>
      <c r="E16" s="1255" t="s">
        <v>3545</v>
      </c>
      <c r="F16" s="269" t="s">
        <v>19</v>
      </c>
      <c r="H16" s="269" t="s">
        <v>1782</v>
      </c>
      <c r="I16" s="269" t="s">
        <v>3502</v>
      </c>
      <c r="J16" s="269" t="s">
        <v>3507</v>
      </c>
      <c r="K16" s="1255" t="s">
        <v>3545</v>
      </c>
      <c r="L16" s="269" t="s">
        <v>19</v>
      </c>
    </row>
    <row r="17" spans="2:12">
      <c r="B17" s="13">
        <v>1</v>
      </c>
      <c r="C17" s="1253" t="s">
        <v>3494</v>
      </c>
      <c r="D17" s="13">
        <v>11</v>
      </c>
      <c r="E17" s="13"/>
      <c r="F17" s="12"/>
      <c r="H17" s="13">
        <v>1</v>
      </c>
      <c r="I17" s="1253" t="s">
        <v>3264</v>
      </c>
      <c r="J17" s="13">
        <v>24</v>
      </c>
      <c r="K17" s="13"/>
      <c r="L17" s="13"/>
    </row>
    <row r="18" spans="2:12">
      <c r="B18" s="13">
        <f>B17+1</f>
        <v>2</v>
      </c>
      <c r="C18" s="1253" t="s">
        <v>3299</v>
      </c>
      <c r="D18" s="13">
        <v>11</v>
      </c>
      <c r="E18" s="13"/>
      <c r="F18" s="12"/>
      <c r="H18" s="13">
        <f>H17+1</f>
        <v>2</v>
      </c>
      <c r="I18" s="1253" t="s">
        <v>3284</v>
      </c>
      <c r="J18" s="13">
        <v>25</v>
      </c>
      <c r="K18" s="13"/>
      <c r="L18" s="13"/>
    </row>
    <row r="19" spans="2:12">
      <c r="B19" s="13">
        <f t="shared" ref="B19:B30" si="2">B18+1</f>
        <v>3</v>
      </c>
      <c r="C19" s="1253" t="s">
        <v>3300</v>
      </c>
      <c r="D19" s="13">
        <v>10</v>
      </c>
      <c r="E19" s="13"/>
      <c r="F19" s="12"/>
      <c r="H19" s="13">
        <f t="shared" ref="H19:H28" si="3">H18+1</f>
        <v>3</v>
      </c>
      <c r="I19" s="1253" t="s">
        <v>3524</v>
      </c>
      <c r="J19" s="13">
        <v>20</v>
      </c>
      <c r="K19" s="13"/>
      <c r="L19" s="13"/>
    </row>
    <row r="20" spans="2:12">
      <c r="B20" s="13">
        <f t="shared" si="2"/>
        <v>4</v>
      </c>
      <c r="C20" s="1253" t="s">
        <v>3303</v>
      </c>
      <c r="D20" s="13">
        <v>10</v>
      </c>
      <c r="E20" s="13"/>
      <c r="F20" s="12"/>
      <c r="H20" s="13">
        <f t="shared" si="3"/>
        <v>4</v>
      </c>
      <c r="I20" s="1253" t="s">
        <v>3526</v>
      </c>
      <c r="J20" s="13">
        <v>21</v>
      </c>
      <c r="K20" s="13"/>
      <c r="L20" s="1250"/>
    </row>
    <row r="21" spans="2:12">
      <c r="B21" s="13">
        <f t="shared" si="2"/>
        <v>5</v>
      </c>
      <c r="C21" s="1253" t="s">
        <v>3499</v>
      </c>
      <c r="D21" s="13">
        <v>12</v>
      </c>
      <c r="E21" s="13"/>
      <c r="F21" s="12"/>
      <c r="H21" s="13">
        <f t="shared" si="3"/>
        <v>5</v>
      </c>
      <c r="I21" s="1253" t="s">
        <v>3528</v>
      </c>
      <c r="J21" s="13">
        <v>23</v>
      </c>
      <c r="K21" s="13"/>
      <c r="L21" s="13"/>
    </row>
    <row r="22" spans="2:12">
      <c r="B22" s="13">
        <f t="shared" si="2"/>
        <v>6</v>
      </c>
      <c r="C22" s="1253" t="s">
        <v>3512</v>
      </c>
      <c r="D22" s="13">
        <v>10</v>
      </c>
      <c r="E22" s="13"/>
      <c r="F22" s="12"/>
      <c r="H22" s="13">
        <f t="shared" si="3"/>
        <v>6</v>
      </c>
      <c r="I22" s="1256" t="s">
        <v>3326</v>
      </c>
      <c r="J22" s="13">
        <v>20</v>
      </c>
      <c r="K22" s="13"/>
      <c r="L22" s="13"/>
    </row>
    <row r="23" spans="2:12">
      <c r="B23" s="13">
        <f t="shared" si="2"/>
        <v>7</v>
      </c>
      <c r="C23" s="1253" t="s">
        <v>2830</v>
      </c>
      <c r="D23" s="13">
        <v>12</v>
      </c>
      <c r="E23" s="13"/>
      <c r="F23" s="1249"/>
      <c r="H23" s="13">
        <f t="shared" si="3"/>
        <v>7</v>
      </c>
      <c r="I23" s="1253" t="s">
        <v>3525</v>
      </c>
      <c r="J23" s="13"/>
      <c r="K23" s="13">
        <v>20</v>
      </c>
      <c r="L23" s="1253" t="s">
        <v>3509</v>
      </c>
    </row>
    <row r="24" spans="2:12">
      <c r="B24" s="13">
        <f t="shared" si="2"/>
        <v>8</v>
      </c>
      <c r="C24" s="1254" t="s">
        <v>3513</v>
      </c>
      <c r="D24" s="797">
        <v>16</v>
      </c>
      <c r="E24" s="797"/>
      <c r="F24" s="1249"/>
      <c r="H24" s="13">
        <f t="shared" si="3"/>
        <v>8</v>
      </c>
      <c r="I24" s="1253" t="s">
        <v>3527</v>
      </c>
      <c r="J24" s="13"/>
      <c r="K24" s="13">
        <v>24</v>
      </c>
      <c r="L24" s="1253" t="s">
        <v>3517</v>
      </c>
    </row>
    <row r="25" spans="2:12">
      <c r="B25" s="13">
        <f t="shared" si="2"/>
        <v>9</v>
      </c>
      <c r="C25" s="1254" t="s">
        <v>3107</v>
      </c>
      <c r="D25" s="797">
        <v>12</v>
      </c>
      <c r="E25" s="797"/>
      <c r="F25" s="1249"/>
      <c r="H25" s="13">
        <f t="shared" si="3"/>
        <v>9</v>
      </c>
      <c r="I25" s="1253" t="s">
        <v>3529</v>
      </c>
      <c r="J25" s="13"/>
      <c r="K25" s="13">
        <v>20</v>
      </c>
      <c r="L25" s="1253" t="s">
        <v>3534</v>
      </c>
    </row>
    <row r="26" spans="2:12">
      <c r="B26" s="13">
        <f t="shared" si="2"/>
        <v>10</v>
      </c>
      <c r="C26" s="1254" t="s">
        <v>2875</v>
      </c>
      <c r="D26" s="797">
        <v>13</v>
      </c>
      <c r="E26" s="797"/>
      <c r="F26" s="12"/>
      <c r="H26" s="13">
        <f t="shared" si="3"/>
        <v>10</v>
      </c>
      <c r="I26" s="1253" t="s">
        <v>3530</v>
      </c>
      <c r="J26" s="13"/>
      <c r="K26" s="13">
        <v>20</v>
      </c>
      <c r="L26" s="1253" t="s">
        <v>3534</v>
      </c>
    </row>
    <row r="27" spans="2:12">
      <c r="B27" s="13">
        <f t="shared" si="2"/>
        <v>11</v>
      </c>
      <c r="C27" s="1254" t="s">
        <v>3304</v>
      </c>
      <c r="D27" s="797">
        <v>12</v>
      </c>
      <c r="E27" s="797"/>
      <c r="F27" s="12"/>
      <c r="H27" s="13">
        <f t="shared" si="3"/>
        <v>11</v>
      </c>
      <c r="I27" s="1253" t="s">
        <v>3539</v>
      </c>
      <c r="J27" s="12"/>
      <c r="K27" s="13">
        <v>22</v>
      </c>
      <c r="L27" s="1253" t="s">
        <v>3511</v>
      </c>
    </row>
    <row r="28" spans="2:12">
      <c r="B28" s="13">
        <f t="shared" si="2"/>
        <v>12</v>
      </c>
      <c r="C28" s="1254" t="s">
        <v>3305</v>
      </c>
      <c r="D28" s="797">
        <v>10</v>
      </c>
      <c r="E28" s="797"/>
      <c r="F28" s="12"/>
      <c r="H28" s="13">
        <f t="shared" si="3"/>
        <v>12</v>
      </c>
      <c r="I28" s="1253" t="s">
        <v>3540</v>
      </c>
      <c r="J28" s="12"/>
      <c r="K28" s="13">
        <v>21</v>
      </c>
      <c r="L28" s="1253" t="s">
        <v>3511</v>
      </c>
    </row>
    <row r="29" spans="2:12">
      <c r="B29" s="13">
        <f t="shared" si="2"/>
        <v>13</v>
      </c>
      <c r="C29" s="1254" t="s">
        <v>3514</v>
      </c>
      <c r="D29" s="13"/>
      <c r="E29" s="797">
        <v>12</v>
      </c>
      <c r="F29" s="1249" t="s">
        <v>3534</v>
      </c>
      <c r="H29" s="1608" t="s">
        <v>994</v>
      </c>
      <c r="I29" s="1609"/>
      <c r="J29" s="1002">
        <f>SUM(J17:J28)</f>
        <v>133</v>
      </c>
      <c r="K29" s="1002">
        <f>SUM(K17:K28)</f>
        <v>127</v>
      </c>
      <c r="L29" s="1252"/>
    </row>
    <row r="30" spans="2:12">
      <c r="B30" s="13">
        <f t="shared" si="2"/>
        <v>14</v>
      </c>
      <c r="C30" s="1254" t="s">
        <v>3515</v>
      </c>
      <c r="D30" s="13"/>
      <c r="E30" s="797">
        <v>12</v>
      </c>
      <c r="F30" s="1249" t="s">
        <v>3516</v>
      </c>
    </row>
    <row r="31" spans="2:12">
      <c r="B31" s="1608" t="s">
        <v>994</v>
      </c>
      <c r="C31" s="1609"/>
      <c r="D31" s="1002">
        <f>SUM(D17:D30)</f>
        <v>139</v>
      </c>
      <c r="E31" s="1002">
        <f>SUM(E17:E30)</f>
        <v>24</v>
      </c>
      <c r="F31" s="1252"/>
    </row>
    <row r="32" spans="2:12">
      <c r="H32" s="1455" t="s">
        <v>2835</v>
      </c>
      <c r="I32" s="1455"/>
      <c r="J32" s="1455"/>
      <c r="K32" s="1455"/>
      <c r="L32" s="1455"/>
    </row>
    <row r="33" spans="2:12" ht="35" customHeight="1">
      <c r="B33" s="1456" t="s">
        <v>2835</v>
      </c>
      <c r="C33" s="1456"/>
      <c r="D33" s="1456"/>
      <c r="E33" s="1456"/>
      <c r="H33" s="269" t="s">
        <v>1782</v>
      </c>
      <c r="I33" s="269" t="s">
        <v>3502</v>
      </c>
      <c r="J33" s="269" t="s">
        <v>3507</v>
      </c>
      <c r="K33" s="1255" t="s">
        <v>3545</v>
      </c>
      <c r="L33" s="269" t="s">
        <v>19</v>
      </c>
    </row>
    <row r="34" spans="2:12">
      <c r="B34" s="269" t="s">
        <v>1782</v>
      </c>
      <c r="C34" s="269" t="s">
        <v>3502</v>
      </c>
      <c r="D34" s="269" t="s">
        <v>3507</v>
      </c>
      <c r="E34" s="269" t="s">
        <v>19</v>
      </c>
      <c r="H34" s="13">
        <v>1</v>
      </c>
      <c r="I34" s="1249" t="s">
        <v>3288</v>
      </c>
      <c r="J34" s="13"/>
      <c r="K34" s="13">
        <v>20</v>
      </c>
      <c r="L34" s="1249" t="s">
        <v>3516</v>
      </c>
    </row>
    <row r="35" spans="2:12">
      <c r="B35" s="13">
        <v>1</v>
      </c>
      <c r="C35" s="1253" t="s">
        <v>2840</v>
      </c>
      <c r="D35" s="13">
        <v>12</v>
      </c>
      <c r="E35" s="13"/>
      <c r="H35" s="13">
        <f>H34+1</f>
        <v>2</v>
      </c>
      <c r="I35" s="12" t="s">
        <v>3535</v>
      </c>
      <c r="J35" s="13"/>
      <c r="K35" s="13">
        <v>22</v>
      </c>
      <c r="L35" s="1249" t="s">
        <v>3538</v>
      </c>
    </row>
    <row r="36" spans="2:12">
      <c r="B36" s="13">
        <f>B35+1</f>
        <v>2</v>
      </c>
      <c r="C36" s="1253" t="s">
        <v>3092</v>
      </c>
      <c r="D36" s="13">
        <v>13</v>
      </c>
      <c r="E36" s="13"/>
      <c r="H36" s="13">
        <f>H35+1</f>
        <v>3</v>
      </c>
      <c r="I36" s="12" t="s">
        <v>3536</v>
      </c>
      <c r="J36" s="13"/>
      <c r="K36" s="13">
        <v>23</v>
      </c>
      <c r="L36" s="1249" t="s">
        <v>3517</v>
      </c>
    </row>
    <row r="37" spans="2:12">
      <c r="B37" s="13">
        <f>B36+1</f>
        <v>3</v>
      </c>
      <c r="C37" s="1253" t="s">
        <v>86</v>
      </c>
      <c r="D37" s="13">
        <v>10</v>
      </c>
      <c r="E37" s="13"/>
      <c r="H37" s="13">
        <f>H36+1</f>
        <v>4</v>
      </c>
      <c r="I37" s="12" t="s">
        <v>3537</v>
      </c>
      <c r="J37" s="13"/>
      <c r="K37" s="13">
        <v>20</v>
      </c>
      <c r="L37" s="1249" t="s">
        <v>3517</v>
      </c>
    </row>
    <row r="38" spans="2:12">
      <c r="B38" s="13">
        <f>B37+1</f>
        <v>4</v>
      </c>
      <c r="C38" s="1253" t="s">
        <v>3496</v>
      </c>
      <c r="D38" s="13">
        <v>10</v>
      </c>
      <c r="E38" s="13"/>
      <c r="H38" s="1455" t="s">
        <v>994</v>
      </c>
      <c r="I38" s="1455"/>
      <c r="J38" s="1002"/>
      <c r="K38" s="1002">
        <f>SUM(K34:K37)</f>
        <v>85</v>
      </c>
      <c r="L38" s="1252"/>
    </row>
    <row r="39" spans="2:12">
      <c r="B39" s="13">
        <f>B38+1</f>
        <v>5</v>
      </c>
      <c r="C39" s="1253" t="s">
        <v>3519</v>
      </c>
      <c r="D39" s="13">
        <v>10</v>
      </c>
      <c r="E39" s="13"/>
    </row>
    <row r="40" spans="2:12">
      <c r="B40" s="13">
        <f>B39+1</f>
        <v>6</v>
      </c>
      <c r="C40" s="1253" t="s">
        <v>3518</v>
      </c>
      <c r="D40" s="13">
        <v>11</v>
      </c>
      <c r="E40" s="13"/>
    </row>
    <row r="41" spans="2:12">
      <c r="B41" s="1608" t="s">
        <v>994</v>
      </c>
      <c r="C41" s="1609"/>
      <c r="D41" s="1002">
        <f>SUM(D35:D40)</f>
        <v>66</v>
      </c>
      <c r="E41" s="1002"/>
    </row>
    <row r="43" spans="2:12">
      <c r="B43" s="1456" t="s">
        <v>3410</v>
      </c>
      <c r="C43" s="1456"/>
      <c r="D43" s="1456"/>
      <c r="E43" s="1456"/>
    </row>
    <row r="44" spans="2:12">
      <c r="B44" s="269" t="s">
        <v>1782</v>
      </c>
      <c r="C44" s="269" t="s">
        <v>3502</v>
      </c>
      <c r="D44" s="269" t="s">
        <v>3507</v>
      </c>
      <c r="E44" s="269" t="s">
        <v>19</v>
      </c>
    </row>
    <row r="45" spans="2:12">
      <c r="B45" s="13">
        <v>1</v>
      </c>
      <c r="C45" s="1253" t="s">
        <v>3204</v>
      </c>
      <c r="D45" s="13">
        <v>8</v>
      </c>
      <c r="E45" s="13"/>
    </row>
    <row r="46" spans="2:12">
      <c r="B46" s="13">
        <f>B45+1</f>
        <v>2</v>
      </c>
      <c r="C46" s="1253" t="s">
        <v>3490</v>
      </c>
      <c r="D46" s="13">
        <v>14</v>
      </c>
      <c r="E46" s="13"/>
    </row>
    <row r="47" spans="2:12">
      <c r="B47" s="13">
        <f>B46+1</f>
        <v>3</v>
      </c>
      <c r="C47" s="1253" t="s">
        <v>3497</v>
      </c>
      <c r="D47" s="13">
        <v>17</v>
      </c>
      <c r="E47" s="13"/>
    </row>
    <row r="48" spans="2:12">
      <c r="B48" s="1608" t="s">
        <v>994</v>
      </c>
      <c r="C48" s="1609"/>
      <c r="D48" s="1002">
        <f>SUM(D45:D47)</f>
        <v>39</v>
      </c>
      <c r="E48" s="1002"/>
    </row>
    <row r="51" spans="10:10">
      <c r="J51" s="2"/>
    </row>
  </sheetData>
  <mergeCells count="19">
    <mergeCell ref="N1:R1"/>
    <mergeCell ref="N2:R2"/>
    <mergeCell ref="N5:O5"/>
    <mergeCell ref="H38:I38"/>
    <mergeCell ref="B1:F1"/>
    <mergeCell ref="H1:L1"/>
    <mergeCell ref="B43:E43"/>
    <mergeCell ref="B48:C48"/>
    <mergeCell ref="B33:E33"/>
    <mergeCell ref="B41:C41"/>
    <mergeCell ref="H2:L2"/>
    <mergeCell ref="H8:I8"/>
    <mergeCell ref="H15:L15"/>
    <mergeCell ref="H29:I29"/>
    <mergeCell ref="H32:L32"/>
    <mergeCell ref="B2:F2"/>
    <mergeCell ref="B15:F15"/>
    <mergeCell ref="B13:C13"/>
    <mergeCell ref="B31:C31"/>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690D4-4317-4916-92CC-B01328B5BBC4}">
  <sheetPr>
    <tabColor rgb="FF00B050"/>
  </sheetPr>
  <dimension ref="A1:O30"/>
  <sheetViews>
    <sheetView showZeros="0" topLeftCell="A8" workbookViewId="0">
      <selection activeCell="I30" sqref="I30"/>
    </sheetView>
  </sheetViews>
  <sheetFormatPr defaultRowHeight="12.5"/>
  <cols>
    <col min="1" max="1" width="6.1796875" style="1198" bestFit="1" customWidth="1"/>
    <col min="2" max="2" width="19.6328125" style="1198" bestFit="1" customWidth="1"/>
    <col min="3" max="3" width="5.08984375" style="1208" bestFit="1" customWidth="1"/>
    <col min="4" max="5" width="12.6328125" style="1198" bestFit="1" customWidth="1"/>
    <col min="6" max="6" width="13.453125" style="1198" customWidth="1"/>
    <col min="7" max="8" width="16.08984375" style="1198" bestFit="1" customWidth="1"/>
    <col min="9" max="9" width="8.6328125" style="1198" bestFit="1" customWidth="1"/>
    <col min="10" max="10" width="7.6328125" style="1198" bestFit="1" customWidth="1"/>
    <col min="11" max="11" width="70.36328125" style="1198" bestFit="1" customWidth="1"/>
    <col min="12" max="255" width="8.7265625" style="1198"/>
    <col min="256" max="256" width="6.1796875" style="1198" bestFit="1" customWidth="1"/>
    <col min="257" max="257" width="19.6328125" style="1198" bestFit="1" customWidth="1"/>
    <col min="258" max="258" width="5.08984375" style="1198" bestFit="1" customWidth="1"/>
    <col min="259" max="260" width="12.6328125" style="1198" bestFit="1" customWidth="1"/>
    <col min="261" max="261" width="13.453125" style="1198" customWidth="1"/>
    <col min="262" max="263" width="16.08984375" style="1198" bestFit="1" customWidth="1"/>
    <col min="264" max="264" width="8.6328125" style="1198" bestFit="1" customWidth="1"/>
    <col min="265" max="265" width="10.6328125" style="1198" bestFit="1" customWidth="1"/>
    <col min="266" max="266" width="7.6328125" style="1198" bestFit="1" customWidth="1"/>
    <col min="267" max="267" width="70.36328125" style="1198" bestFit="1" customWidth="1"/>
    <col min="268" max="511" width="8.7265625" style="1198"/>
    <col min="512" max="512" width="6.1796875" style="1198" bestFit="1" customWidth="1"/>
    <col min="513" max="513" width="19.6328125" style="1198" bestFit="1" customWidth="1"/>
    <col min="514" max="514" width="5.08984375" style="1198" bestFit="1" customWidth="1"/>
    <col min="515" max="516" width="12.6328125" style="1198" bestFit="1" customWidth="1"/>
    <col min="517" max="517" width="13.453125" style="1198" customWidth="1"/>
    <col min="518" max="519" width="16.08984375" style="1198" bestFit="1" customWidth="1"/>
    <col min="520" max="520" width="8.6328125" style="1198" bestFit="1" customWidth="1"/>
    <col min="521" max="521" width="10.6328125" style="1198" bestFit="1" customWidth="1"/>
    <col min="522" max="522" width="7.6328125" style="1198" bestFit="1" customWidth="1"/>
    <col min="523" max="523" width="70.36328125" style="1198" bestFit="1" customWidth="1"/>
    <col min="524" max="767" width="8.7265625" style="1198"/>
    <col min="768" max="768" width="6.1796875" style="1198" bestFit="1" customWidth="1"/>
    <col min="769" max="769" width="19.6328125" style="1198" bestFit="1" customWidth="1"/>
    <col min="770" max="770" width="5.08984375" style="1198" bestFit="1" customWidth="1"/>
    <col min="771" max="772" width="12.6328125" style="1198" bestFit="1" customWidth="1"/>
    <col min="773" max="773" width="13.453125" style="1198" customWidth="1"/>
    <col min="774" max="775" width="16.08984375" style="1198" bestFit="1" customWidth="1"/>
    <col min="776" max="776" width="8.6328125" style="1198" bestFit="1" customWidth="1"/>
    <col min="777" max="777" width="10.6328125" style="1198" bestFit="1" customWidth="1"/>
    <col min="778" max="778" width="7.6328125" style="1198" bestFit="1" customWidth="1"/>
    <col min="779" max="779" width="70.36328125" style="1198" bestFit="1" customWidth="1"/>
    <col min="780" max="1023" width="8.7265625" style="1198"/>
    <col min="1024" max="1024" width="6.1796875" style="1198" bestFit="1" customWidth="1"/>
    <col min="1025" max="1025" width="19.6328125" style="1198" bestFit="1" customWidth="1"/>
    <col min="1026" max="1026" width="5.08984375" style="1198" bestFit="1" customWidth="1"/>
    <col min="1027" max="1028" width="12.6328125" style="1198" bestFit="1" customWidth="1"/>
    <col min="1029" max="1029" width="13.453125" style="1198" customWidth="1"/>
    <col min="1030" max="1031" width="16.08984375" style="1198" bestFit="1" customWidth="1"/>
    <col min="1032" max="1032" width="8.6328125" style="1198" bestFit="1" customWidth="1"/>
    <col min="1033" max="1033" width="10.6328125" style="1198" bestFit="1" customWidth="1"/>
    <col min="1034" max="1034" width="7.6328125" style="1198" bestFit="1" customWidth="1"/>
    <col min="1035" max="1035" width="70.36328125" style="1198" bestFit="1" customWidth="1"/>
    <col min="1036" max="1279" width="8.7265625" style="1198"/>
    <col min="1280" max="1280" width="6.1796875" style="1198" bestFit="1" customWidth="1"/>
    <col min="1281" max="1281" width="19.6328125" style="1198" bestFit="1" customWidth="1"/>
    <col min="1282" max="1282" width="5.08984375" style="1198" bestFit="1" customWidth="1"/>
    <col min="1283" max="1284" width="12.6328125" style="1198" bestFit="1" customWidth="1"/>
    <col min="1285" max="1285" width="13.453125" style="1198" customWidth="1"/>
    <col min="1286" max="1287" width="16.08984375" style="1198" bestFit="1" customWidth="1"/>
    <col min="1288" max="1288" width="8.6328125" style="1198" bestFit="1" customWidth="1"/>
    <col min="1289" max="1289" width="10.6328125" style="1198" bestFit="1" customWidth="1"/>
    <col min="1290" max="1290" width="7.6328125" style="1198" bestFit="1" customWidth="1"/>
    <col min="1291" max="1291" width="70.36328125" style="1198" bestFit="1" customWidth="1"/>
    <col min="1292" max="1535" width="8.7265625" style="1198"/>
    <col min="1536" max="1536" width="6.1796875" style="1198" bestFit="1" customWidth="1"/>
    <col min="1537" max="1537" width="19.6328125" style="1198" bestFit="1" customWidth="1"/>
    <col min="1538" max="1538" width="5.08984375" style="1198" bestFit="1" customWidth="1"/>
    <col min="1539" max="1540" width="12.6328125" style="1198" bestFit="1" customWidth="1"/>
    <col min="1541" max="1541" width="13.453125" style="1198" customWidth="1"/>
    <col min="1542" max="1543" width="16.08984375" style="1198" bestFit="1" customWidth="1"/>
    <col min="1544" max="1544" width="8.6328125" style="1198" bestFit="1" customWidth="1"/>
    <col min="1545" max="1545" width="10.6328125" style="1198" bestFit="1" customWidth="1"/>
    <col min="1546" max="1546" width="7.6328125" style="1198" bestFit="1" customWidth="1"/>
    <col min="1547" max="1547" width="70.36328125" style="1198" bestFit="1" customWidth="1"/>
    <col min="1548" max="1791" width="8.7265625" style="1198"/>
    <col min="1792" max="1792" width="6.1796875" style="1198" bestFit="1" customWidth="1"/>
    <col min="1793" max="1793" width="19.6328125" style="1198" bestFit="1" customWidth="1"/>
    <col min="1794" max="1794" width="5.08984375" style="1198" bestFit="1" customWidth="1"/>
    <col min="1795" max="1796" width="12.6328125" style="1198" bestFit="1" customWidth="1"/>
    <col min="1797" max="1797" width="13.453125" style="1198" customWidth="1"/>
    <col min="1798" max="1799" width="16.08984375" style="1198" bestFit="1" customWidth="1"/>
    <col min="1800" max="1800" width="8.6328125" style="1198" bestFit="1" customWidth="1"/>
    <col min="1801" max="1801" width="10.6328125" style="1198" bestFit="1" customWidth="1"/>
    <col min="1802" max="1802" width="7.6328125" style="1198" bestFit="1" customWidth="1"/>
    <col min="1803" max="1803" width="70.36328125" style="1198" bestFit="1" customWidth="1"/>
    <col min="1804" max="2047" width="8.7265625" style="1198"/>
    <col min="2048" max="2048" width="6.1796875" style="1198" bestFit="1" customWidth="1"/>
    <col min="2049" max="2049" width="19.6328125" style="1198" bestFit="1" customWidth="1"/>
    <col min="2050" max="2050" width="5.08984375" style="1198" bestFit="1" customWidth="1"/>
    <col min="2051" max="2052" width="12.6328125" style="1198" bestFit="1" customWidth="1"/>
    <col min="2053" max="2053" width="13.453125" style="1198" customWidth="1"/>
    <col min="2054" max="2055" width="16.08984375" style="1198" bestFit="1" customWidth="1"/>
    <col min="2056" max="2056" width="8.6328125" style="1198" bestFit="1" customWidth="1"/>
    <col min="2057" max="2057" width="10.6328125" style="1198" bestFit="1" customWidth="1"/>
    <col min="2058" max="2058" width="7.6328125" style="1198" bestFit="1" customWidth="1"/>
    <col min="2059" max="2059" width="70.36328125" style="1198" bestFit="1" customWidth="1"/>
    <col min="2060" max="2303" width="8.7265625" style="1198"/>
    <col min="2304" max="2304" width="6.1796875" style="1198" bestFit="1" customWidth="1"/>
    <col min="2305" max="2305" width="19.6328125" style="1198" bestFit="1" customWidth="1"/>
    <col min="2306" max="2306" width="5.08984375" style="1198" bestFit="1" customWidth="1"/>
    <col min="2307" max="2308" width="12.6328125" style="1198" bestFit="1" customWidth="1"/>
    <col min="2309" max="2309" width="13.453125" style="1198" customWidth="1"/>
    <col min="2310" max="2311" width="16.08984375" style="1198" bestFit="1" customWidth="1"/>
    <col min="2312" max="2312" width="8.6328125" style="1198" bestFit="1" customWidth="1"/>
    <col min="2313" max="2313" width="10.6328125" style="1198" bestFit="1" customWidth="1"/>
    <col min="2314" max="2314" width="7.6328125" style="1198" bestFit="1" customWidth="1"/>
    <col min="2315" max="2315" width="70.36328125" style="1198" bestFit="1" customWidth="1"/>
    <col min="2316" max="2559" width="8.7265625" style="1198"/>
    <col min="2560" max="2560" width="6.1796875" style="1198" bestFit="1" customWidth="1"/>
    <col min="2561" max="2561" width="19.6328125" style="1198" bestFit="1" customWidth="1"/>
    <col min="2562" max="2562" width="5.08984375" style="1198" bestFit="1" customWidth="1"/>
    <col min="2563" max="2564" width="12.6328125" style="1198" bestFit="1" customWidth="1"/>
    <col min="2565" max="2565" width="13.453125" style="1198" customWidth="1"/>
    <col min="2566" max="2567" width="16.08984375" style="1198" bestFit="1" customWidth="1"/>
    <col min="2568" max="2568" width="8.6328125" style="1198" bestFit="1" customWidth="1"/>
    <col min="2569" max="2569" width="10.6328125" style="1198" bestFit="1" customWidth="1"/>
    <col min="2570" max="2570" width="7.6328125" style="1198" bestFit="1" customWidth="1"/>
    <col min="2571" max="2571" width="70.36328125" style="1198" bestFit="1" customWidth="1"/>
    <col min="2572" max="2815" width="8.7265625" style="1198"/>
    <col min="2816" max="2816" width="6.1796875" style="1198" bestFit="1" customWidth="1"/>
    <col min="2817" max="2817" width="19.6328125" style="1198" bestFit="1" customWidth="1"/>
    <col min="2818" max="2818" width="5.08984375" style="1198" bestFit="1" customWidth="1"/>
    <col min="2819" max="2820" width="12.6328125" style="1198" bestFit="1" customWidth="1"/>
    <col min="2821" max="2821" width="13.453125" style="1198" customWidth="1"/>
    <col min="2822" max="2823" width="16.08984375" style="1198" bestFit="1" customWidth="1"/>
    <col min="2824" max="2824" width="8.6328125" style="1198" bestFit="1" customWidth="1"/>
    <col min="2825" max="2825" width="10.6328125" style="1198" bestFit="1" customWidth="1"/>
    <col min="2826" max="2826" width="7.6328125" style="1198" bestFit="1" customWidth="1"/>
    <col min="2827" max="2827" width="70.36328125" style="1198" bestFit="1" customWidth="1"/>
    <col min="2828" max="3071" width="8.7265625" style="1198"/>
    <col min="3072" max="3072" width="6.1796875" style="1198" bestFit="1" customWidth="1"/>
    <col min="3073" max="3073" width="19.6328125" style="1198" bestFit="1" customWidth="1"/>
    <col min="3074" max="3074" width="5.08984375" style="1198" bestFit="1" customWidth="1"/>
    <col min="3075" max="3076" width="12.6328125" style="1198" bestFit="1" customWidth="1"/>
    <col min="3077" max="3077" width="13.453125" style="1198" customWidth="1"/>
    <col min="3078" max="3079" width="16.08984375" style="1198" bestFit="1" customWidth="1"/>
    <col min="3080" max="3080" width="8.6328125" style="1198" bestFit="1" customWidth="1"/>
    <col min="3081" max="3081" width="10.6328125" style="1198" bestFit="1" customWidth="1"/>
    <col min="3082" max="3082" width="7.6328125" style="1198" bestFit="1" customWidth="1"/>
    <col min="3083" max="3083" width="70.36328125" style="1198" bestFit="1" customWidth="1"/>
    <col min="3084" max="3327" width="8.7265625" style="1198"/>
    <col min="3328" max="3328" width="6.1796875" style="1198" bestFit="1" customWidth="1"/>
    <col min="3329" max="3329" width="19.6328125" style="1198" bestFit="1" customWidth="1"/>
    <col min="3330" max="3330" width="5.08984375" style="1198" bestFit="1" customWidth="1"/>
    <col min="3331" max="3332" width="12.6328125" style="1198" bestFit="1" customWidth="1"/>
    <col min="3333" max="3333" width="13.453125" style="1198" customWidth="1"/>
    <col min="3334" max="3335" width="16.08984375" style="1198" bestFit="1" customWidth="1"/>
    <col min="3336" max="3336" width="8.6328125" style="1198" bestFit="1" customWidth="1"/>
    <col min="3337" max="3337" width="10.6328125" style="1198" bestFit="1" customWidth="1"/>
    <col min="3338" max="3338" width="7.6328125" style="1198" bestFit="1" customWidth="1"/>
    <col min="3339" max="3339" width="70.36328125" style="1198" bestFit="1" customWidth="1"/>
    <col min="3340" max="3583" width="8.7265625" style="1198"/>
    <col min="3584" max="3584" width="6.1796875" style="1198" bestFit="1" customWidth="1"/>
    <col min="3585" max="3585" width="19.6328125" style="1198" bestFit="1" customWidth="1"/>
    <col min="3586" max="3586" width="5.08984375" style="1198" bestFit="1" customWidth="1"/>
    <col min="3587" max="3588" width="12.6328125" style="1198" bestFit="1" customWidth="1"/>
    <col min="3589" max="3589" width="13.453125" style="1198" customWidth="1"/>
    <col min="3590" max="3591" width="16.08984375" style="1198" bestFit="1" customWidth="1"/>
    <col min="3592" max="3592" width="8.6328125" style="1198" bestFit="1" customWidth="1"/>
    <col min="3593" max="3593" width="10.6328125" style="1198" bestFit="1" customWidth="1"/>
    <col min="3594" max="3594" width="7.6328125" style="1198" bestFit="1" customWidth="1"/>
    <col min="3595" max="3595" width="70.36328125" style="1198" bestFit="1" customWidth="1"/>
    <col min="3596" max="3839" width="8.7265625" style="1198"/>
    <col min="3840" max="3840" width="6.1796875" style="1198" bestFit="1" customWidth="1"/>
    <col min="3841" max="3841" width="19.6328125" style="1198" bestFit="1" customWidth="1"/>
    <col min="3842" max="3842" width="5.08984375" style="1198" bestFit="1" customWidth="1"/>
    <col min="3843" max="3844" width="12.6328125" style="1198" bestFit="1" customWidth="1"/>
    <col min="3845" max="3845" width="13.453125" style="1198" customWidth="1"/>
    <col min="3846" max="3847" width="16.08984375" style="1198" bestFit="1" customWidth="1"/>
    <col min="3848" max="3848" width="8.6328125" style="1198" bestFit="1" customWidth="1"/>
    <col min="3849" max="3849" width="10.6328125" style="1198" bestFit="1" customWidth="1"/>
    <col min="3850" max="3850" width="7.6328125" style="1198" bestFit="1" customWidth="1"/>
    <col min="3851" max="3851" width="70.36328125" style="1198" bestFit="1" customWidth="1"/>
    <col min="3852" max="4095" width="8.7265625" style="1198"/>
    <col min="4096" max="4096" width="6.1796875" style="1198" bestFit="1" customWidth="1"/>
    <col min="4097" max="4097" width="19.6328125" style="1198" bestFit="1" customWidth="1"/>
    <col min="4098" max="4098" width="5.08984375" style="1198" bestFit="1" customWidth="1"/>
    <col min="4099" max="4100" width="12.6328125" style="1198" bestFit="1" customWidth="1"/>
    <col min="4101" max="4101" width="13.453125" style="1198" customWidth="1"/>
    <col min="4102" max="4103" width="16.08984375" style="1198" bestFit="1" customWidth="1"/>
    <col min="4104" max="4104" width="8.6328125" style="1198" bestFit="1" customWidth="1"/>
    <col min="4105" max="4105" width="10.6328125" style="1198" bestFit="1" customWidth="1"/>
    <col min="4106" max="4106" width="7.6328125" style="1198" bestFit="1" customWidth="1"/>
    <col min="4107" max="4107" width="70.36328125" style="1198" bestFit="1" customWidth="1"/>
    <col min="4108" max="4351" width="8.7265625" style="1198"/>
    <col min="4352" max="4352" width="6.1796875" style="1198" bestFit="1" customWidth="1"/>
    <col min="4353" max="4353" width="19.6328125" style="1198" bestFit="1" customWidth="1"/>
    <col min="4354" max="4354" width="5.08984375" style="1198" bestFit="1" customWidth="1"/>
    <col min="4355" max="4356" width="12.6328125" style="1198" bestFit="1" customWidth="1"/>
    <col min="4357" max="4357" width="13.453125" style="1198" customWidth="1"/>
    <col min="4358" max="4359" width="16.08984375" style="1198" bestFit="1" customWidth="1"/>
    <col min="4360" max="4360" width="8.6328125" style="1198" bestFit="1" customWidth="1"/>
    <col min="4361" max="4361" width="10.6328125" style="1198" bestFit="1" customWidth="1"/>
    <col min="4362" max="4362" width="7.6328125" style="1198" bestFit="1" customWidth="1"/>
    <col min="4363" max="4363" width="70.36328125" style="1198" bestFit="1" customWidth="1"/>
    <col min="4364" max="4607" width="8.7265625" style="1198"/>
    <col min="4608" max="4608" width="6.1796875" style="1198" bestFit="1" customWidth="1"/>
    <col min="4609" max="4609" width="19.6328125" style="1198" bestFit="1" customWidth="1"/>
    <col min="4610" max="4610" width="5.08984375" style="1198" bestFit="1" customWidth="1"/>
    <col min="4611" max="4612" width="12.6328125" style="1198" bestFit="1" customWidth="1"/>
    <col min="4613" max="4613" width="13.453125" style="1198" customWidth="1"/>
    <col min="4614" max="4615" width="16.08984375" style="1198" bestFit="1" customWidth="1"/>
    <col min="4616" max="4616" width="8.6328125" style="1198" bestFit="1" customWidth="1"/>
    <col min="4617" max="4617" width="10.6328125" style="1198" bestFit="1" customWidth="1"/>
    <col min="4618" max="4618" width="7.6328125" style="1198" bestFit="1" customWidth="1"/>
    <col min="4619" max="4619" width="70.36328125" style="1198" bestFit="1" customWidth="1"/>
    <col min="4620" max="4863" width="8.7265625" style="1198"/>
    <col min="4864" max="4864" width="6.1796875" style="1198" bestFit="1" customWidth="1"/>
    <col min="4865" max="4865" width="19.6328125" style="1198" bestFit="1" customWidth="1"/>
    <col min="4866" max="4866" width="5.08984375" style="1198" bestFit="1" customWidth="1"/>
    <col min="4867" max="4868" width="12.6328125" style="1198" bestFit="1" customWidth="1"/>
    <col min="4869" max="4869" width="13.453125" style="1198" customWidth="1"/>
    <col min="4870" max="4871" width="16.08984375" style="1198" bestFit="1" customWidth="1"/>
    <col min="4872" max="4872" width="8.6328125" style="1198" bestFit="1" customWidth="1"/>
    <col min="4873" max="4873" width="10.6328125" style="1198" bestFit="1" customWidth="1"/>
    <col min="4874" max="4874" width="7.6328125" style="1198" bestFit="1" customWidth="1"/>
    <col min="4875" max="4875" width="70.36328125" style="1198" bestFit="1" customWidth="1"/>
    <col min="4876" max="5119" width="8.7265625" style="1198"/>
    <col min="5120" max="5120" width="6.1796875" style="1198" bestFit="1" customWidth="1"/>
    <col min="5121" max="5121" width="19.6328125" style="1198" bestFit="1" customWidth="1"/>
    <col min="5122" max="5122" width="5.08984375" style="1198" bestFit="1" customWidth="1"/>
    <col min="5123" max="5124" width="12.6328125" style="1198" bestFit="1" customWidth="1"/>
    <col min="5125" max="5125" width="13.453125" style="1198" customWidth="1"/>
    <col min="5126" max="5127" width="16.08984375" style="1198" bestFit="1" customWidth="1"/>
    <col min="5128" max="5128" width="8.6328125" style="1198" bestFit="1" customWidth="1"/>
    <col min="5129" max="5129" width="10.6328125" style="1198" bestFit="1" customWidth="1"/>
    <col min="5130" max="5130" width="7.6328125" style="1198" bestFit="1" customWidth="1"/>
    <col min="5131" max="5131" width="70.36328125" style="1198" bestFit="1" customWidth="1"/>
    <col min="5132" max="5375" width="8.7265625" style="1198"/>
    <col min="5376" max="5376" width="6.1796875" style="1198" bestFit="1" customWidth="1"/>
    <col min="5377" max="5377" width="19.6328125" style="1198" bestFit="1" customWidth="1"/>
    <col min="5378" max="5378" width="5.08984375" style="1198" bestFit="1" customWidth="1"/>
    <col min="5379" max="5380" width="12.6328125" style="1198" bestFit="1" customWidth="1"/>
    <col min="5381" max="5381" width="13.453125" style="1198" customWidth="1"/>
    <col min="5382" max="5383" width="16.08984375" style="1198" bestFit="1" customWidth="1"/>
    <col min="5384" max="5384" width="8.6328125" style="1198" bestFit="1" customWidth="1"/>
    <col min="5385" max="5385" width="10.6328125" style="1198" bestFit="1" customWidth="1"/>
    <col min="5386" max="5386" width="7.6328125" style="1198" bestFit="1" customWidth="1"/>
    <col min="5387" max="5387" width="70.36328125" style="1198" bestFit="1" customWidth="1"/>
    <col min="5388" max="5631" width="8.7265625" style="1198"/>
    <col min="5632" max="5632" width="6.1796875" style="1198" bestFit="1" customWidth="1"/>
    <col min="5633" max="5633" width="19.6328125" style="1198" bestFit="1" customWidth="1"/>
    <col min="5634" max="5634" width="5.08984375" style="1198" bestFit="1" customWidth="1"/>
    <col min="5635" max="5636" width="12.6328125" style="1198" bestFit="1" customWidth="1"/>
    <col min="5637" max="5637" width="13.453125" style="1198" customWidth="1"/>
    <col min="5638" max="5639" width="16.08984375" style="1198" bestFit="1" customWidth="1"/>
    <col min="5640" max="5640" width="8.6328125" style="1198" bestFit="1" customWidth="1"/>
    <col min="5641" max="5641" width="10.6328125" style="1198" bestFit="1" customWidth="1"/>
    <col min="5642" max="5642" width="7.6328125" style="1198" bestFit="1" customWidth="1"/>
    <col min="5643" max="5643" width="70.36328125" style="1198" bestFit="1" customWidth="1"/>
    <col min="5644" max="5887" width="8.7265625" style="1198"/>
    <col min="5888" max="5888" width="6.1796875" style="1198" bestFit="1" customWidth="1"/>
    <col min="5889" max="5889" width="19.6328125" style="1198" bestFit="1" customWidth="1"/>
    <col min="5890" max="5890" width="5.08984375" style="1198" bestFit="1" customWidth="1"/>
    <col min="5891" max="5892" width="12.6328125" style="1198" bestFit="1" customWidth="1"/>
    <col min="5893" max="5893" width="13.453125" style="1198" customWidth="1"/>
    <col min="5894" max="5895" width="16.08984375" style="1198" bestFit="1" customWidth="1"/>
    <col min="5896" max="5896" width="8.6328125" style="1198" bestFit="1" customWidth="1"/>
    <col min="5897" max="5897" width="10.6328125" style="1198" bestFit="1" customWidth="1"/>
    <col min="5898" max="5898" width="7.6328125" style="1198" bestFit="1" customWidth="1"/>
    <col min="5899" max="5899" width="70.36328125" style="1198" bestFit="1" customWidth="1"/>
    <col min="5900" max="6143" width="8.7265625" style="1198"/>
    <col min="6144" max="6144" width="6.1796875" style="1198" bestFit="1" customWidth="1"/>
    <col min="6145" max="6145" width="19.6328125" style="1198" bestFit="1" customWidth="1"/>
    <col min="6146" max="6146" width="5.08984375" style="1198" bestFit="1" customWidth="1"/>
    <col min="6147" max="6148" width="12.6328125" style="1198" bestFit="1" customWidth="1"/>
    <col min="6149" max="6149" width="13.453125" style="1198" customWidth="1"/>
    <col min="6150" max="6151" width="16.08984375" style="1198" bestFit="1" customWidth="1"/>
    <col min="6152" max="6152" width="8.6328125" style="1198" bestFit="1" customWidth="1"/>
    <col min="6153" max="6153" width="10.6328125" style="1198" bestFit="1" customWidth="1"/>
    <col min="6154" max="6154" width="7.6328125" style="1198" bestFit="1" customWidth="1"/>
    <col min="6155" max="6155" width="70.36328125" style="1198" bestFit="1" customWidth="1"/>
    <col min="6156" max="6399" width="8.7265625" style="1198"/>
    <col min="6400" max="6400" width="6.1796875" style="1198" bestFit="1" customWidth="1"/>
    <col min="6401" max="6401" width="19.6328125" style="1198" bestFit="1" customWidth="1"/>
    <col min="6402" max="6402" width="5.08984375" style="1198" bestFit="1" customWidth="1"/>
    <col min="6403" max="6404" width="12.6328125" style="1198" bestFit="1" customWidth="1"/>
    <col min="6405" max="6405" width="13.453125" style="1198" customWidth="1"/>
    <col min="6406" max="6407" width="16.08984375" style="1198" bestFit="1" customWidth="1"/>
    <col min="6408" max="6408" width="8.6328125" style="1198" bestFit="1" customWidth="1"/>
    <col min="6409" max="6409" width="10.6328125" style="1198" bestFit="1" customWidth="1"/>
    <col min="6410" max="6410" width="7.6328125" style="1198" bestFit="1" customWidth="1"/>
    <col min="6411" max="6411" width="70.36328125" style="1198" bestFit="1" customWidth="1"/>
    <col min="6412" max="6655" width="8.7265625" style="1198"/>
    <col min="6656" max="6656" width="6.1796875" style="1198" bestFit="1" customWidth="1"/>
    <col min="6657" max="6657" width="19.6328125" style="1198" bestFit="1" customWidth="1"/>
    <col min="6658" max="6658" width="5.08984375" style="1198" bestFit="1" customWidth="1"/>
    <col min="6659" max="6660" width="12.6328125" style="1198" bestFit="1" customWidth="1"/>
    <col min="6661" max="6661" width="13.453125" style="1198" customWidth="1"/>
    <col min="6662" max="6663" width="16.08984375" style="1198" bestFit="1" customWidth="1"/>
    <col min="6664" max="6664" width="8.6328125" style="1198" bestFit="1" customWidth="1"/>
    <col min="6665" max="6665" width="10.6328125" style="1198" bestFit="1" customWidth="1"/>
    <col min="6666" max="6666" width="7.6328125" style="1198" bestFit="1" customWidth="1"/>
    <col min="6667" max="6667" width="70.36328125" style="1198" bestFit="1" customWidth="1"/>
    <col min="6668" max="6911" width="8.7265625" style="1198"/>
    <col min="6912" max="6912" width="6.1796875" style="1198" bestFit="1" customWidth="1"/>
    <col min="6913" max="6913" width="19.6328125" style="1198" bestFit="1" customWidth="1"/>
    <col min="6914" max="6914" width="5.08984375" style="1198" bestFit="1" customWidth="1"/>
    <col min="6915" max="6916" width="12.6328125" style="1198" bestFit="1" customWidth="1"/>
    <col min="6917" max="6917" width="13.453125" style="1198" customWidth="1"/>
    <col min="6918" max="6919" width="16.08984375" style="1198" bestFit="1" customWidth="1"/>
    <col min="6920" max="6920" width="8.6328125" style="1198" bestFit="1" customWidth="1"/>
    <col min="6921" max="6921" width="10.6328125" style="1198" bestFit="1" customWidth="1"/>
    <col min="6922" max="6922" width="7.6328125" style="1198" bestFit="1" customWidth="1"/>
    <col min="6923" max="6923" width="70.36328125" style="1198" bestFit="1" customWidth="1"/>
    <col min="6924" max="7167" width="8.7265625" style="1198"/>
    <col min="7168" max="7168" width="6.1796875" style="1198" bestFit="1" customWidth="1"/>
    <col min="7169" max="7169" width="19.6328125" style="1198" bestFit="1" customWidth="1"/>
    <col min="7170" max="7170" width="5.08984375" style="1198" bestFit="1" customWidth="1"/>
    <col min="7171" max="7172" width="12.6328125" style="1198" bestFit="1" customWidth="1"/>
    <col min="7173" max="7173" width="13.453125" style="1198" customWidth="1"/>
    <col min="7174" max="7175" width="16.08984375" style="1198" bestFit="1" customWidth="1"/>
    <col min="7176" max="7176" width="8.6328125" style="1198" bestFit="1" customWidth="1"/>
    <col min="7177" max="7177" width="10.6328125" style="1198" bestFit="1" customWidth="1"/>
    <col min="7178" max="7178" width="7.6328125" style="1198" bestFit="1" customWidth="1"/>
    <col min="7179" max="7179" width="70.36328125" style="1198" bestFit="1" customWidth="1"/>
    <col min="7180" max="7423" width="8.7265625" style="1198"/>
    <col min="7424" max="7424" width="6.1796875" style="1198" bestFit="1" customWidth="1"/>
    <col min="7425" max="7425" width="19.6328125" style="1198" bestFit="1" customWidth="1"/>
    <col min="7426" max="7426" width="5.08984375" style="1198" bestFit="1" customWidth="1"/>
    <col min="7427" max="7428" width="12.6328125" style="1198" bestFit="1" customWidth="1"/>
    <col min="7429" max="7429" width="13.453125" style="1198" customWidth="1"/>
    <col min="7430" max="7431" width="16.08984375" style="1198" bestFit="1" customWidth="1"/>
    <col min="7432" max="7432" width="8.6328125" style="1198" bestFit="1" customWidth="1"/>
    <col min="7433" max="7433" width="10.6328125" style="1198" bestFit="1" customWidth="1"/>
    <col min="7434" max="7434" width="7.6328125" style="1198" bestFit="1" customWidth="1"/>
    <col min="7435" max="7435" width="70.36328125" style="1198" bestFit="1" customWidth="1"/>
    <col min="7436" max="7679" width="8.7265625" style="1198"/>
    <col min="7680" max="7680" width="6.1796875" style="1198" bestFit="1" customWidth="1"/>
    <col min="7681" max="7681" width="19.6328125" style="1198" bestFit="1" customWidth="1"/>
    <col min="7682" max="7682" width="5.08984375" style="1198" bestFit="1" customWidth="1"/>
    <col min="7683" max="7684" width="12.6328125" style="1198" bestFit="1" customWidth="1"/>
    <col min="7685" max="7685" width="13.453125" style="1198" customWidth="1"/>
    <col min="7686" max="7687" width="16.08984375" style="1198" bestFit="1" customWidth="1"/>
    <col min="7688" max="7688" width="8.6328125" style="1198" bestFit="1" customWidth="1"/>
    <col min="7689" max="7689" width="10.6328125" style="1198" bestFit="1" customWidth="1"/>
    <col min="7690" max="7690" width="7.6328125" style="1198" bestFit="1" customWidth="1"/>
    <col min="7691" max="7691" width="70.36328125" style="1198" bestFit="1" customWidth="1"/>
    <col min="7692" max="7935" width="8.7265625" style="1198"/>
    <col min="7936" max="7936" width="6.1796875" style="1198" bestFit="1" customWidth="1"/>
    <col min="7937" max="7937" width="19.6328125" style="1198" bestFit="1" customWidth="1"/>
    <col min="7938" max="7938" width="5.08984375" style="1198" bestFit="1" customWidth="1"/>
    <col min="7939" max="7940" width="12.6328125" style="1198" bestFit="1" customWidth="1"/>
    <col min="7941" max="7941" width="13.453125" style="1198" customWidth="1"/>
    <col min="7942" max="7943" width="16.08984375" style="1198" bestFit="1" customWidth="1"/>
    <col min="7944" max="7944" width="8.6328125" style="1198" bestFit="1" customWidth="1"/>
    <col min="7945" max="7945" width="10.6328125" style="1198" bestFit="1" customWidth="1"/>
    <col min="7946" max="7946" width="7.6328125" style="1198" bestFit="1" customWidth="1"/>
    <col min="7947" max="7947" width="70.36328125" style="1198" bestFit="1" customWidth="1"/>
    <col min="7948" max="8191" width="8.7265625" style="1198"/>
    <col min="8192" max="8192" width="6.1796875" style="1198" bestFit="1" customWidth="1"/>
    <col min="8193" max="8193" width="19.6328125" style="1198" bestFit="1" customWidth="1"/>
    <col min="8194" max="8194" width="5.08984375" style="1198" bestFit="1" customWidth="1"/>
    <col min="8195" max="8196" width="12.6328125" style="1198" bestFit="1" customWidth="1"/>
    <col min="8197" max="8197" width="13.453125" style="1198" customWidth="1"/>
    <col min="8198" max="8199" width="16.08984375" style="1198" bestFit="1" customWidth="1"/>
    <col min="8200" max="8200" width="8.6328125" style="1198" bestFit="1" customWidth="1"/>
    <col min="8201" max="8201" width="10.6328125" style="1198" bestFit="1" customWidth="1"/>
    <col min="8202" max="8202" width="7.6328125" style="1198" bestFit="1" customWidth="1"/>
    <col min="8203" max="8203" width="70.36328125" style="1198" bestFit="1" customWidth="1"/>
    <col min="8204" max="8447" width="8.7265625" style="1198"/>
    <col min="8448" max="8448" width="6.1796875" style="1198" bestFit="1" customWidth="1"/>
    <col min="8449" max="8449" width="19.6328125" style="1198" bestFit="1" customWidth="1"/>
    <col min="8450" max="8450" width="5.08984375" style="1198" bestFit="1" customWidth="1"/>
    <col min="8451" max="8452" width="12.6328125" style="1198" bestFit="1" customWidth="1"/>
    <col min="8453" max="8453" width="13.453125" style="1198" customWidth="1"/>
    <col min="8454" max="8455" width="16.08984375" style="1198" bestFit="1" customWidth="1"/>
    <col min="8456" max="8456" width="8.6328125" style="1198" bestFit="1" customWidth="1"/>
    <col min="8457" max="8457" width="10.6328125" style="1198" bestFit="1" customWidth="1"/>
    <col min="8458" max="8458" width="7.6328125" style="1198" bestFit="1" customWidth="1"/>
    <col min="8459" max="8459" width="70.36328125" style="1198" bestFit="1" customWidth="1"/>
    <col min="8460" max="8703" width="8.7265625" style="1198"/>
    <col min="8704" max="8704" width="6.1796875" style="1198" bestFit="1" customWidth="1"/>
    <col min="8705" max="8705" width="19.6328125" style="1198" bestFit="1" customWidth="1"/>
    <col min="8706" max="8706" width="5.08984375" style="1198" bestFit="1" customWidth="1"/>
    <col min="8707" max="8708" width="12.6328125" style="1198" bestFit="1" customWidth="1"/>
    <col min="8709" max="8709" width="13.453125" style="1198" customWidth="1"/>
    <col min="8710" max="8711" width="16.08984375" style="1198" bestFit="1" customWidth="1"/>
    <col min="8712" max="8712" width="8.6328125" style="1198" bestFit="1" customWidth="1"/>
    <col min="8713" max="8713" width="10.6328125" style="1198" bestFit="1" customWidth="1"/>
    <col min="8714" max="8714" width="7.6328125" style="1198" bestFit="1" customWidth="1"/>
    <col min="8715" max="8715" width="70.36328125" style="1198" bestFit="1" customWidth="1"/>
    <col min="8716" max="8959" width="8.7265625" style="1198"/>
    <col min="8960" max="8960" width="6.1796875" style="1198" bestFit="1" customWidth="1"/>
    <col min="8961" max="8961" width="19.6328125" style="1198" bestFit="1" customWidth="1"/>
    <col min="8962" max="8962" width="5.08984375" style="1198" bestFit="1" customWidth="1"/>
    <col min="8963" max="8964" width="12.6328125" style="1198" bestFit="1" customWidth="1"/>
    <col min="8965" max="8965" width="13.453125" style="1198" customWidth="1"/>
    <col min="8966" max="8967" width="16.08984375" style="1198" bestFit="1" customWidth="1"/>
    <col min="8968" max="8968" width="8.6328125" style="1198" bestFit="1" customWidth="1"/>
    <col min="8969" max="8969" width="10.6328125" style="1198" bestFit="1" customWidth="1"/>
    <col min="8970" max="8970" width="7.6328125" style="1198" bestFit="1" customWidth="1"/>
    <col min="8971" max="8971" width="70.36328125" style="1198" bestFit="1" customWidth="1"/>
    <col min="8972" max="9215" width="8.7265625" style="1198"/>
    <col min="9216" max="9216" width="6.1796875" style="1198" bestFit="1" customWidth="1"/>
    <col min="9217" max="9217" width="19.6328125" style="1198" bestFit="1" customWidth="1"/>
    <col min="9218" max="9218" width="5.08984375" style="1198" bestFit="1" customWidth="1"/>
    <col min="9219" max="9220" width="12.6328125" style="1198" bestFit="1" customWidth="1"/>
    <col min="9221" max="9221" width="13.453125" style="1198" customWidth="1"/>
    <col min="9222" max="9223" width="16.08984375" style="1198" bestFit="1" customWidth="1"/>
    <col min="9224" max="9224" width="8.6328125" style="1198" bestFit="1" customWidth="1"/>
    <col min="9225" max="9225" width="10.6328125" style="1198" bestFit="1" customWidth="1"/>
    <col min="9226" max="9226" width="7.6328125" style="1198" bestFit="1" customWidth="1"/>
    <col min="9227" max="9227" width="70.36328125" style="1198" bestFit="1" customWidth="1"/>
    <col min="9228" max="9471" width="8.7265625" style="1198"/>
    <col min="9472" max="9472" width="6.1796875" style="1198" bestFit="1" customWidth="1"/>
    <col min="9473" max="9473" width="19.6328125" style="1198" bestFit="1" customWidth="1"/>
    <col min="9474" max="9474" width="5.08984375" style="1198" bestFit="1" customWidth="1"/>
    <col min="9475" max="9476" width="12.6328125" style="1198" bestFit="1" customWidth="1"/>
    <col min="9477" max="9477" width="13.453125" style="1198" customWidth="1"/>
    <col min="9478" max="9479" width="16.08984375" style="1198" bestFit="1" customWidth="1"/>
    <col min="9480" max="9480" width="8.6328125" style="1198" bestFit="1" customWidth="1"/>
    <col min="9481" max="9481" width="10.6328125" style="1198" bestFit="1" customWidth="1"/>
    <col min="9482" max="9482" width="7.6328125" style="1198" bestFit="1" customWidth="1"/>
    <col min="9483" max="9483" width="70.36328125" style="1198" bestFit="1" customWidth="1"/>
    <col min="9484" max="9727" width="8.7265625" style="1198"/>
    <col min="9728" max="9728" width="6.1796875" style="1198" bestFit="1" customWidth="1"/>
    <col min="9729" max="9729" width="19.6328125" style="1198" bestFit="1" customWidth="1"/>
    <col min="9730" max="9730" width="5.08984375" style="1198" bestFit="1" customWidth="1"/>
    <col min="9731" max="9732" width="12.6328125" style="1198" bestFit="1" customWidth="1"/>
    <col min="9733" max="9733" width="13.453125" style="1198" customWidth="1"/>
    <col min="9734" max="9735" width="16.08984375" style="1198" bestFit="1" customWidth="1"/>
    <col min="9736" max="9736" width="8.6328125" style="1198" bestFit="1" customWidth="1"/>
    <col min="9737" max="9737" width="10.6328125" style="1198" bestFit="1" customWidth="1"/>
    <col min="9738" max="9738" width="7.6328125" style="1198" bestFit="1" customWidth="1"/>
    <col min="9739" max="9739" width="70.36328125" style="1198" bestFit="1" customWidth="1"/>
    <col min="9740" max="9983" width="8.7265625" style="1198"/>
    <col min="9984" max="9984" width="6.1796875" style="1198" bestFit="1" customWidth="1"/>
    <col min="9985" max="9985" width="19.6328125" style="1198" bestFit="1" customWidth="1"/>
    <col min="9986" max="9986" width="5.08984375" style="1198" bestFit="1" customWidth="1"/>
    <col min="9987" max="9988" width="12.6328125" style="1198" bestFit="1" customWidth="1"/>
    <col min="9989" max="9989" width="13.453125" style="1198" customWidth="1"/>
    <col min="9990" max="9991" width="16.08984375" style="1198" bestFit="1" customWidth="1"/>
    <col min="9992" max="9992" width="8.6328125" style="1198" bestFit="1" customWidth="1"/>
    <col min="9993" max="9993" width="10.6328125" style="1198" bestFit="1" customWidth="1"/>
    <col min="9994" max="9994" width="7.6328125" style="1198" bestFit="1" customWidth="1"/>
    <col min="9995" max="9995" width="70.36328125" style="1198" bestFit="1" customWidth="1"/>
    <col min="9996" max="10239" width="8.7265625" style="1198"/>
    <col min="10240" max="10240" width="6.1796875" style="1198" bestFit="1" customWidth="1"/>
    <col min="10241" max="10241" width="19.6328125" style="1198" bestFit="1" customWidth="1"/>
    <col min="10242" max="10242" width="5.08984375" style="1198" bestFit="1" customWidth="1"/>
    <col min="10243" max="10244" width="12.6328125" style="1198" bestFit="1" customWidth="1"/>
    <col min="10245" max="10245" width="13.453125" style="1198" customWidth="1"/>
    <col min="10246" max="10247" width="16.08984375" style="1198" bestFit="1" customWidth="1"/>
    <col min="10248" max="10248" width="8.6328125" style="1198" bestFit="1" customWidth="1"/>
    <col min="10249" max="10249" width="10.6328125" style="1198" bestFit="1" customWidth="1"/>
    <col min="10250" max="10250" width="7.6328125" style="1198" bestFit="1" customWidth="1"/>
    <col min="10251" max="10251" width="70.36328125" style="1198" bestFit="1" customWidth="1"/>
    <col min="10252" max="10495" width="8.7265625" style="1198"/>
    <col min="10496" max="10496" width="6.1796875" style="1198" bestFit="1" customWidth="1"/>
    <col min="10497" max="10497" width="19.6328125" style="1198" bestFit="1" customWidth="1"/>
    <col min="10498" max="10498" width="5.08984375" style="1198" bestFit="1" customWidth="1"/>
    <col min="10499" max="10500" width="12.6328125" style="1198" bestFit="1" customWidth="1"/>
    <col min="10501" max="10501" width="13.453125" style="1198" customWidth="1"/>
    <col min="10502" max="10503" width="16.08984375" style="1198" bestFit="1" customWidth="1"/>
    <col min="10504" max="10504" width="8.6328125" style="1198" bestFit="1" customWidth="1"/>
    <col min="10505" max="10505" width="10.6328125" style="1198" bestFit="1" customWidth="1"/>
    <col min="10506" max="10506" width="7.6328125" style="1198" bestFit="1" customWidth="1"/>
    <col min="10507" max="10507" width="70.36328125" style="1198" bestFit="1" customWidth="1"/>
    <col min="10508" max="10751" width="8.7265625" style="1198"/>
    <col min="10752" max="10752" width="6.1796875" style="1198" bestFit="1" customWidth="1"/>
    <col min="10753" max="10753" width="19.6328125" style="1198" bestFit="1" customWidth="1"/>
    <col min="10754" max="10754" width="5.08984375" style="1198" bestFit="1" customWidth="1"/>
    <col min="10755" max="10756" width="12.6328125" style="1198" bestFit="1" customWidth="1"/>
    <col min="10757" max="10757" width="13.453125" style="1198" customWidth="1"/>
    <col min="10758" max="10759" width="16.08984375" style="1198" bestFit="1" customWidth="1"/>
    <col min="10760" max="10760" width="8.6328125" style="1198" bestFit="1" customWidth="1"/>
    <col min="10761" max="10761" width="10.6328125" style="1198" bestFit="1" customWidth="1"/>
    <col min="10762" max="10762" width="7.6328125" style="1198" bestFit="1" customWidth="1"/>
    <col min="10763" max="10763" width="70.36328125" style="1198" bestFit="1" customWidth="1"/>
    <col min="10764" max="11007" width="8.7265625" style="1198"/>
    <col min="11008" max="11008" width="6.1796875" style="1198" bestFit="1" customWidth="1"/>
    <col min="11009" max="11009" width="19.6328125" style="1198" bestFit="1" customWidth="1"/>
    <col min="11010" max="11010" width="5.08984375" style="1198" bestFit="1" customWidth="1"/>
    <col min="11011" max="11012" width="12.6328125" style="1198" bestFit="1" customWidth="1"/>
    <col min="11013" max="11013" width="13.453125" style="1198" customWidth="1"/>
    <col min="11014" max="11015" width="16.08984375" style="1198" bestFit="1" customWidth="1"/>
    <col min="11016" max="11016" width="8.6328125" style="1198" bestFit="1" customWidth="1"/>
    <col min="11017" max="11017" width="10.6328125" style="1198" bestFit="1" customWidth="1"/>
    <col min="11018" max="11018" width="7.6328125" style="1198" bestFit="1" customWidth="1"/>
    <col min="11019" max="11019" width="70.36328125" style="1198" bestFit="1" customWidth="1"/>
    <col min="11020" max="11263" width="8.7265625" style="1198"/>
    <col min="11264" max="11264" width="6.1796875" style="1198" bestFit="1" customWidth="1"/>
    <col min="11265" max="11265" width="19.6328125" style="1198" bestFit="1" customWidth="1"/>
    <col min="11266" max="11266" width="5.08984375" style="1198" bestFit="1" customWidth="1"/>
    <col min="11267" max="11268" width="12.6328125" style="1198" bestFit="1" customWidth="1"/>
    <col min="11269" max="11269" width="13.453125" style="1198" customWidth="1"/>
    <col min="11270" max="11271" width="16.08984375" style="1198" bestFit="1" customWidth="1"/>
    <col min="11272" max="11272" width="8.6328125" style="1198" bestFit="1" customWidth="1"/>
    <col min="11273" max="11273" width="10.6328125" style="1198" bestFit="1" customWidth="1"/>
    <col min="11274" max="11274" width="7.6328125" style="1198" bestFit="1" customWidth="1"/>
    <col min="11275" max="11275" width="70.36328125" style="1198" bestFit="1" customWidth="1"/>
    <col min="11276" max="11519" width="8.7265625" style="1198"/>
    <col min="11520" max="11520" width="6.1796875" style="1198" bestFit="1" customWidth="1"/>
    <col min="11521" max="11521" width="19.6328125" style="1198" bestFit="1" customWidth="1"/>
    <col min="11522" max="11522" width="5.08984375" style="1198" bestFit="1" customWidth="1"/>
    <col min="11523" max="11524" width="12.6328125" style="1198" bestFit="1" customWidth="1"/>
    <col min="11525" max="11525" width="13.453125" style="1198" customWidth="1"/>
    <col min="11526" max="11527" width="16.08984375" style="1198" bestFit="1" customWidth="1"/>
    <col min="11528" max="11528" width="8.6328125" style="1198" bestFit="1" customWidth="1"/>
    <col min="11529" max="11529" width="10.6328125" style="1198" bestFit="1" customWidth="1"/>
    <col min="11530" max="11530" width="7.6328125" style="1198" bestFit="1" customWidth="1"/>
    <col min="11531" max="11531" width="70.36328125" style="1198" bestFit="1" customWidth="1"/>
    <col min="11532" max="11775" width="8.7265625" style="1198"/>
    <col min="11776" max="11776" width="6.1796875" style="1198" bestFit="1" customWidth="1"/>
    <col min="11777" max="11777" width="19.6328125" style="1198" bestFit="1" customWidth="1"/>
    <col min="11778" max="11778" width="5.08984375" style="1198" bestFit="1" customWidth="1"/>
    <col min="11779" max="11780" width="12.6328125" style="1198" bestFit="1" customWidth="1"/>
    <col min="11781" max="11781" width="13.453125" style="1198" customWidth="1"/>
    <col min="11782" max="11783" width="16.08984375" style="1198" bestFit="1" customWidth="1"/>
    <col min="11784" max="11784" width="8.6328125" style="1198" bestFit="1" customWidth="1"/>
    <col min="11785" max="11785" width="10.6328125" style="1198" bestFit="1" customWidth="1"/>
    <col min="11786" max="11786" width="7.6328125" style="1198" bestFit="1" customWidth="1"/>
    <col min="11787" max="11787" width="70.36328125" style="1198" bestFit="1" customWidth="1"/>
    <col min="11788" max="12031" width="8.7265625" style="1198"/>
    <col min="12032" max="12032" width="6.1796875" style="1198" bestFit="1" customWidth="1"/>
    <col min="12033" max="12033" width="19.6328125" style="1198" bestFit="1" customWidth="1"/>
    <col min="12034" max="12034" width="5.08984375" style="1198" bestFit="1" customWidth="1"/>
    <col min="12035" max="12036" width="12.6328125" style="1198" bestFit="1" customWidth="1"/>
    <col min="12037" max="12037" width="13.453125" style="1198" customWidth="1"/>
    <col min="12038" max="12039" width="16.08984375" style="1198" bestFit="1" customWidth="1"/>
    <col min="12040" max="12040" width="8.6328125" style="1198" bestFit="1" customWidth="1"/>
    <col min="12041" max="12041" width="10.6328125" style="1198" bestFit="1" customWidth="1"/>
    <col min="12042" max="12042" width="7.6328125" style="1198" bestFit="1" customWidth="1"/>
    <col min="12043" max="12043" width="70.36328125" style="1198" bestFit="1" customWidth="1"/>
    <col min="12044" max="12287" width="8.7265625" style="1198"/>
    <col min="12288" max="12288" width="6.1796875" style="1198" bestFit="1" customWidth="1"/>
    <col min="12289" max="12289" width="19.6328125" style="1198" bestFit="1" customWidth="1"/>
    <col min="12290" max="12290" width="5.08984375" style="1198" bestFit="1" customWidth="1"/>
    <col min="12291" max="12292" width="12.6328125" style="1198" bestFit="1" customWidth="1"/>
    <col min="12293" max="12293" width="13.453125" style="1198" customWidth="1"/>
    <col min="12294" max="12295" width="16.08984375" style="1198" bestFit="1" customWidth="1"/>
    <col min="12296" max="12296" width="8.6328125" style="1198" bestFit="1" customWidth="1"/>
    <col min="12297" max="12297" width="10.6328125" style="1198" bestFit="1" customWidth="1"/>
    <col min="12298" max="12298" width="7.6328125" style="1198" bestFit="1" customWidth="1"/>
    <col min="12299" max="12299" width="70.36328125" style="1198" bestFit="1" customWidth="1"/>
    <col min="12300" max="12543" width="8.7265625" style="1198"/>
    <col min="12544" max="12544" width="6.1796875" style="1198" bestFit="1" customWidth="1"/>
    <col min="12545" max="12545" width="19.6328125" style="1198" bestFit="1" customWidth="1"/>
    <col min="12546" max="12546" width="5.08984375" style="1198" bestFit="1" customWidth="1"/>
    <col min="12547" max="12548" width="12.6328125" style="1198" bestFit="1" customWidth="1"/>
    <col min="12549" max="12549" width="13.453125" style="1198" customWidth="1"/>
    <col min="12550" max="12551" width="16.08984375" style="1198" bestFit="1" customWidth="1"/>
    <col min="12552" max="12552" width="8.6328125" style="1198" bestFit="1" customWidth="1"/>
    <col min="12553" max="12553" width="10.6328125" style="1198" bestFit="1" customWidth="1"/>
    <col min="12554" max="12554" width="7.6328125" style="1198" bestFit="1" customWidth="1"/>
    <col min="12555" max="12555" width="70.36328125" style="1198" bestFit="1" customWidth="1"/>
    <col min="12556" max="12799" width="8.7265625" style="1198"/>
    <col min="12800" max="12800" width="6.1796875" style="1198" bestFit="1" customWidth="1"/>
    <col min="12801" max="12801" width="19.6328125" style="1198" bestFit="1" customWidth="1"/>
    <col min="12802" max="12802" width="5.08984375" style="1198" bestFit="1" customWidth="1"/>
    <col min="12803" max="12804" width="12.6328125" style="1198" bestFit="1" customWidth="1"/>
    <col min="12805" max="12805" width="13.453125" style="1198" customWidth="1"/>
    <col min="12806" max="12807" width="16.08984375" style="1198" bestFit="1" customWidth="1"/>
    <col min="12808" max="12808" width="8.6328125" style="1198" bestFit="1" customWidth="1"/>
    <col min="12809" max="12809" width="10.6328125" style="1198" bestFit="1" customWidth="1"/>
    <col min="12810" max="12810" width="7.6328125" style="1198" bestFit="1" customWidth="1"/>
    <col min="12811" max="12811" width="70.36328125" style="1198" bestFit="1" customWidth="1"/>
    <col min="12812" max="13055" width="8.7265625" style="1198"/>
    <col min="13056" max="13056" width="6.1796875" style="1198" bestFit="1" customWidth="1"/>
    <col min="13057" max="13057" width="19.6328125" style="1198" bestFit="1" customWidth="1"/>
    <col min="13058" max="13058" width="5.08984375" style="1198" bestFit="1" customWidth="1"/>
    <col min="13059" max="13060" width="12.6328125" style="1198" bestFit="1" customWidth="1"/>
    <col min="13061" max="13061" width="13.453125" style="1198" customWidth="1"/>
    <col min="13062" max="13063" width="16.08984375" style="1198" bestFit="1" customWidth="1"/>
    <col min="13064" max="13064" width="8.6328125" style="1198" bestFit="1" customWidth="1"/>
    <col min="13065" max="13065" width="10.6328125" style="1198" bestFit="1" customWidth="1"/>
    <col min="13066" max="13066" width="7.6328125" style="1198" bestFit="1" customWidth="1"/>
    <col min="13067" max="13067" width="70.36328125" style="1198" bestFit="1" customWidth="1"/>
    <col min="13068" max="13311" width="8.7265625" style="1198"/>
    <col min="13312" max="13312" width="6.1796875" style="1198" bestFit="1" customWidth="1"/>
    <col min="13313" max="13313" width="19.6328125" style="1198" bestFit="1" customWidth="1"/>
    <col min="13314" max="13314" width="5.08984375" style="1198" bestFit="1" customWidth="1"/>
    <col min="13315" max="13316" width="12.6328125" style="1198" bestFit="1" customWidth="1"/>
    <col min="13317" max="13317" width="13.453125" style="1198" customWidth="1"/>
    <col min="13318" max="13319" width="16.08984375" style="1198" bestFit="1" customWidth="1"/>
    <col min="13320" max="13320" width="8.6328125" style="1198" bestFit="1" customWidth="1"/>
    <col min="13321" max="13321" width="10.6328125" style="1198" bestFit="1" customWidth="1"/>
    <col min="13322" max="13322" width="7.6328125" style="1198" bestFit="1" customWidth="1"/>
    <col min="13323" max="13323" width="70.36328125" style="1198" bestFit="1" customWidth="1"/>
    <col min="13324" max="13567" width="8.7265625" style="1198"/>
    <col min="13568" max="13568" width="6.1796875" style="1198" bestFit="1" customWidth="1"/>
    <col min="13569" max="13569" width="19.6328125" style="1198" bestFit="1" customWidth="1"/>
    <col min="13570" max="13570" width="5.08984375" style="1198" bestFit="1" customWidth="1"/>
    <col min="13571" max="13572" width="12.6328125" style="1198" bestFit="1" customWidth="1"/>
    <col min="13573" max="13573" width="13.453125" style="1198" customWidth="1"/>
    <col min="13574" max="13575" width="16.08984375" style="1198" bestFit="1" customWidth="1"/>
    <col min="13576" max="13576" width="8.6328125" style="1198" bestFit="1" customWidth="1"/>
    <col min="13577" max="13577" width="10.6328125" style="1198" bestFit="1" customWidth="1"/>
    <col min="13578" max="13578" width="7.6328125" style="1198" bestFit="1" customWidth="1"/>
    <col min="13579" max="13579" width="70.36328125" style="1198" bestFit="1" customWidth="1"/>
    <col min="13580" max="13823" width="8.7265625" style="1198"/>
    <col min="13824" max="13824" width="6.1796875" style="1198" bestFit="1" customWidth="1"/>
    <col min="13825" max="13825" width="19.6328125" style="1198" bestFit="1" customWidth="1"/>
    <col min="13826" max="13826" width="5.08984375" style="1198" bestFit="1" customWidth="1"/>
    <col min="13827" max="13828" width="12.6328125" style="1198" bestFit="1" customWidth="1"/>
    <col min="13829" max="13829" width="13.453125" style="1198" customWidth="1"/>
    <col min="13830" max="13831" width="16.08984375" style="1198" bestFit="1" customWidth="1"/>
    <col min="13832" max="13832" width="8.6328125" style="1198" bestFit="1" customWidth="1"/>
    <col min="13833" max="13833" width="10.6328125" style="1198" bestFit="1" customWidth="1"/>
    <col min="13834" max="13834" width="7.6328125" style="1198" bestFit="1" customWidth="1"/>
    <col min="13835" max="13835" width="70.36328125" style="1198" bestFit="1" customWidth="1"/>
    <col min="13836" max="14079" width="8.7265625" style="1198"/>
    <col min="14080" max="14080" width="6.1796875" style="1198" bestFit="1" customWidth="1"/>
    <col min="14081" max="14081" width="19.6328125" style="1198" bestFit="1" customWidth="1"/>
    <col min="14082" max="14082" width="5.08984375" style="1198" bestFit="1" customWidth="1"/>
    <col min="14083" max="14084" width="12.6328125" style="1198" bestFit="1" customWidth="1"/>
    <col min="14085" max="14085" width="13.453125" style="1198" customWidth="1"/>
    <col min="14086" max="14087" width="16.08984375" style="1198" bestFit="1" customWidth="1"/>
    <col min="14088" max="14088" width="8.6328125" style="1198" bestFit="1" customWidth="1"/>
    <col min="14089" max="14089" width="10.6328125" style="1198" bestFit="1" customWidth="1"/>
    <col min="14090" max="14090" width="7.6328125" style="1198" bestFit="1" customWidth="1"/>
    <col min="14091" max="14091" width="70.36328125" style="1198" bestFit="1" customWidth="1"/>
    <col min="14092" max="14335" width="8.7265625" style="1198"/>
    <col min="14336" max="14336" width="6.1796875" style="1198" bestFit="1" customWidth="1"/>
    <col min="14337" max="14337" width="19.6328125" style="1198" bestFit="1" customWidth="1"/>
    <col min="14338" max="14338" width="5.08984375" style="1198" bestFit="1" customWidth="1"/>
    <col min="14339" max="14340" width="12.6328125" style="1198" bestFit="1" customWidth="1"/>
    <col min="14341" max="14341" width="13.453125" style="1198" customWidth="1"/>
    <col min="14342" max="14343" width="16.08984375" style="1198" bestFit="1" customWidth="1"/>
    <col min="14344" max="14344" width="8.6328125" style="1198" bestFit="1" customWidth="1"/>
    <col min="14345" max="14345" width="10.6328125" style="1198" bestFit="1" customWidth="1"/>
    <col min="14346" max="14346" width="7.6328125" style="1198" bestFit="1" customWidth="1"/>
    <col min="14347" max="14347" width="70.36328125" style="1198" bestFit="1" customWidth="1"/>
    <col min="14348" max="14591" width="8.7265625" style="1198"/>
    <col min="14592" max="14592" width="6.1796875" style="1198" bestFit="1" customWidth="1"/>
    <col min="14593" max="14593" width="19.6328125" style="1198" bestFit="1" customWidth="1"/>
    <col min="14594" max="14594" width="5.08984375" style="1198" bestFit="1" customWidth="1"/>
    <col min="14595" max="14596" width="12.6328125" style="1198" bestFit="1" customWidth="1"/>
    <col min="14597" max="14597" width="13.453125" style="1198" customWidth="1"/>
    <col min="14598" max="14599" width="16.08984375" style="1198" bestFit="1" customWidth="1"/>
    <col min="14600" max="14600" width="8.6328125" style="1198" bestFit="1" customWidth="1"/>
    <col min="14601" max="14601" width="10.6328125" style="1198" bestFit="1" customWidth="1"/>
    <col min="14602" max="14602" width="7.6328125" style="1198" bestFit="1" customWidth="1"/>
    <col min="14603" max="14603" width="70.36328125" style="1198" bestFit="1" customWidth="1"/>
    <col min="14604" max="14847" width="8.7265625" style="1198"/>
    <col min="14848" max="14848" width="6.1796875" style="1198" bestFit="1" customWidth="1"/>
    <col min="14849" max="14849" width="19.6328125" style="1198" bestFit="1" customWidth="1"/>
    <col min="14850" max="14850" width="5.08984375" style="1198" bestFit="1" customWidth="1"/>
    <col min="14851" max="14852" width="12.6328125" style="1198" bestFit="1" customWidth="1"/>
    <col min="14853" max="14853" width="13.453125" style="1198" customWidth="1"/>
    <col min="14854" max="14855" width="16.08984375" style="1198" bestFit="1" customWidth="1"/>
    <col min="14856" max="14856" width="8.6328125" style="1198" bestFit="1" customWidth="1"/>
    <col min="14857" max="14857" width="10.6328125" style="1198" bestFit="1" customWidth="1"/>
    <col min="14858" max="14858" width="7.6328125" style="1198" bestFit="1" customWidth="1"/>
    <col min="14859" max="14859" width="70.36328125" style="1198" bestFit="1" customWidth="1"/>
    <col min="14860" max="15103" width="8.7265625" style="1198"/>
    <col min="15104" max="15104" width="6.1796875" style="1198" bestFit="1" customWidth="1"/>
    <col min="15105" max="15105" width="19.6328125" style="1198" bestFit="1" customWidth="1"/>
    <col min="15106" max="15106" width="5.08984375" style="1198" bestFit="1" customWidth="1"/>
    <col min="15107" max="15108" width="12.6328125" style="1198" bestFit="1" customWidth="1"/>
    <col min="15109" max="15109" width="13.453125" style="1198" customWidth="1"/>
    <col min="15110" max="15111" width="16.08984375" style="1198" bestFit="1" customWidth="1"/>
    <col min="15112" max="15112" width="8.6328125" style="1198" bestFit="1" customWidth="1"/>
    <col min="15113" max="15113" width="10.6328125" style="1198" bestFit="1" customWidth="1"/>
    <col min="15114" max="15114" width="7.6328125" style="1198" bestFit="1" customWidth="1"/>
    <col min="15115" max="15115" width="70.36328125" style="1198" bestFit="1" customWidth="1"/>
    <col min="15116" max="15359" width="8.7265625" style="1198"/>
    <col min="15360" max="15360" width="6.1796875" style="1198" bestFit="1" customWidth="1"/>
    <col min="15361" max="15361" width="19.6328125" style="1198" bestFit="1" customWidth="1"/>
    <col min="15362" max="15362" width="5.08984375" style="1198" bestFit="1" customWidth="1"/>
    <col min="15363" max="15364" width="12.6328125" style="1198" bestFit="1" customWidth="1"/>
    <col min="15365" max="15365" width="13.453125" style="1198" customWidth="1"/>
    <col min="15366" max="15367" width="16.08984375" style="1198" bestFit="1" customWidth="1"/>
    <col min="15368" max="15368" width="8.6328125" style="1198" bestFit="1" customWidth="1"/>
    <col min="15369" max="15369" width="10.6328125" style="1198" bestFit="1" customWidth="1"/>
    <col min="15370" max="15370" width="7.6328125" style="1198" bestFit="1" customWidth="1"/>
    <col min="15371" max="15371" width="70.36328125" style="1198" bestFit="1" customWidth="1"/>
    <col min="15372" max="15615" width="8.7265625" style="1198"/>
    <col min="15616" max="15616" width="6.1796875" style="1198" bestFit="1" customWidth="1"/>
    <col min="15617" max="15617" width="19.6328125" style="1198" bestFit="1" customWidth="1"/>
    <col min="15618" max="15618" width="5.08984375" style="1198" bestFit="1" customWidth="1"/>
    <col min="15619" max="15620" width="12.6328125" style="1198" bestFit="1" customWidth="1"/>
    <col min="15621" max="15621" width="13.453125" style="1198" customWidth="1"/>
    <col min="15622" max="15623" width="16.08984375" style="1198" bestFit="1" customWidth="1"/>
    <col min="15624" max="15624" width="8.6328125" style="1198" bestFit="1" customWidth="1"/>
    <col min="15625" max="15625" width="10.6328125" style="1198" bestFit="1" customWidth="1"/>
    <col min="15626" max="15626" width="7.6328125" style="1198" bestFit="1" customWidth="1"/>
    <col min="15627" max="15627" width="70.36328125" style="1198" bestFit="1" customWidth="1"/>
    <col min="15628" max="15871" width="8.7265625" style="1198"/>
    <col min="15872" max="15872" width="6.1796875" style="1198" bestFit="1" customWidth="1"/>
    <col min="15873" max="15873" width="19.6328125" style="1198" bestFit="1" customWidth="1"/>
    <col min="15874" max="15874" width="5.08984375" style="1198" bestFit="1" customWidth="1"/>
    <col min="15875" max="15876" width="12.6328125" style="1198" bestFit="1" customWidth="1"/>
    <col min="15877" max="15877" width="13.453125" style="1198" customWidth="1"/>
    <col min="15878" max="15879" width="16.08984375" style="1198" bestFit="1" customWidth="1"/>
    <col min="15880" max="15880" width="8.6328125" style="1198" bestFit="1" customWidth="1"/>
    <col min="15881" max="15881" width="10.6328125" style="1198" bestFit="1" customWidth="1"/>
    <col min="15882" max="15882" width="7.6328125" style="1198" bestFit="1" customWidth="1"/>
    <col min="15883" max="15883" width="70.36328125" style="1198" bestFit="1" customWidth="1"/>
    <col min="15884" max="16127" width="8.7265625" style="1198"/>
    <col min="16128" max="16128" width="6.1796875" style="1198" bestFit="1" customWidth="1"/>
    <col min="16129" max="16129" width="19.6328125" style="1198" bestFit="1" customWidth="1"/>
    <col min="16130" max="16130" width="5.08984375" style="1198" bestFit="1" customWidth="1"/>
    <col min="16131" max="16132" width="12.6328125" style="1198" bestFit="1" customWidth="1"/>
    <col min="16133" max="16133" width="13.453125" style="1198" customWidth="1"/>
    <col min="16134" max="16135" width="16.08984375" style="1198" bestFit="1" customWidth="1"/>
    <col min="16136" max="16136" width="8.6328125" style="1198" bestFit="1" customWidth="1"/>
    <col min="16137" max="16137" width="10.6328125" style="1198" bestFit="1" customWidth="1"/>
    <col min="16138" max="16138" width="7.6328125" style="1198" bestFit="1" customWidth="1"/>
    <col min="16139" max="16139" width="70.36328125" style="1198" bestFit="1" customWidth="1"/>
    <col min="16140" max="16384" width="8.7265625" style="1198"/>
  </cols>
  <sheetData>
    <row r="1" spans="1:15" ht="13">
      <c r="A1" s="1596" t="s">
        <v>3431</v>
      </c>
      <c r="B1" s="1596"/>
      <c r="C1" s="1596"/>
      <c r="D1" s="1596"/>
      <c r="E1" s="1596"/>
      <c r="F1" s="1596"/>
      <c r="G1" s="1596"/>
      <c r="H1" s="1596"/>
      <c r="I1" s="1596"/>
      <c r="J1" s="1596"/>
      <c r="K1" s="1596"/>
    </row>
    <row r="2" spans="1:15" ht="39">
      <c r="A2" s="1199" t="s">
        <v>2877</v>
      </c>
      <c r="B2" s="1199" t="s">
        <v>3267</v>
      </c>
      <c r="C2" s="1199" t="s">
        <v>2683</v>
      </c>
      <c r="D2" s="1200" t="s">
        <v>3432</v>
      </c>
      <c r="E2" s="1200" t="s">
        <v>3433</v>
      </c>
      <c r="F2" s="1200" t="s">
        <v>3434</v>
      </c>
      <c r="G2" s="1200" t="s">
        <v>3435</v>
      </c>
      <c r="H2" s="1200" t="s">
        <v>3436</v>
      </c>
      <c r="I2" s="1200" t="s">
        <v>3437</v>
      </c>
      <c r="J2" s="1200" t="s">
        <v>593</v>
      </c>
      <c r="K2" s="1199" t="s">
        <v>19</v>
      </c>
    </row>
    <row r="3" spans="1:15" ht="13">
      <c r="A3" s="1597" t="s">
        <v>1675</v>
      </c>
      <c r="B3" s="1201" t="s">
        <v>3438</v>
      </c>
      <c r="C3" s="1202" t="s">
        <v>1857</v>
      </c>
      <c r="D3" s="1203">
        <v>74</v>
      </c>
      <c r="E3" s="1203">
        <v>124</v>
      </c>
      <c r="F3" s="1204">
        <f>D3+E3</f>
        <v>198</v>
      </c>
      <c r="G3" s="1203">
        <v>80</v>
      </c>
      <c r="H3" s="1203">
        <f>10+103+3</f>
        <v>116</v>
      </c>
      <c r="I3" s="1204">
        <f>G3+H3</f>
        <v>196</v>
      </c>
      <c r="J3" s="1203">
        <f>F3-I3</f>
        <v>2</v>
      </c>
      <c r="K3" s="1205"/>
    </row>
    <row r="4" spans="1:15" ht="13">
      <c r="A4" s="1597"/>
      <c r="B4" s="1201" t="s">
        <v>3439</v>
      </c>
      <c r="C4" s="1202" t="s">
        <v>3440</v>
      </c>
      <c r="D4" s="1203">
        <v>8</v>
      </c>
      <c r="E4" s="1203">
        <v>4</v>
      </c>
      <c r="F4" s="1204">
        <f t="shared" ref="F4:F29" si="0">D4+E4</f>
        <v>12</v>
      </c>
      <c r="G4" s="1203">
        <v>8</v>
      </c>
      <c r="H4" s="1203">
        <v>4</v>
      </c>
      <c r="I4" s="1204">
        <f t="shared" ref="I4:I29" si="1">G4+H4</f>
        <v>12</v>
      </c>
      <c r="J4" s="1203">
        <f t="shared" ref="J4:J29" si="2">F4-I4</f>
        <v>0</v>
      </c>
      <c r="K4" s="1205"/>
    </row>
    <row r="5" spans="1:15" ht="13">
      <c r="A5" s="1597"/>
      <c r="B5" s="1201" t="s">
        <v>3441</v>
      </c>
      <c r="C5" s="1202" t="s">
        <v>3440</v>
      </c>
      <c r="D5" s="1203">
        <v>5</v>
      </c>
      <c r="E5" s="1203">
        <v>12</v>
      </c>
      <c r="F5" s="1204">
        <f t="shared" si="0"/>
        <v>17</v>
      </c>
      <c r="G5" s="1203">
        <v>5</v>
      </c>
      <c r="H5" s="1203">
        <v>10</v>
      </c>
      <c r="I5" s="1204">
        <f t="shared" si="1"/>
        <v>15</v>
      </c>
      <c r="J5" s="1203">
        <f t="shared" si="2"/>
        <v>2</v>
      </c>
      <c r="K5" s="1205"/>
    </row>
    <row r="6" spans="1:15" ht="13">
      <c r="A6" s="1597"/>
      <c r="B6" s="1201" t="s">
        <v>3442</v>
      </c>
      <c r="C6" s="1202" t="s">
        <v>3440</v>
      </c>
      <c r="D6" s="1203"/>
      <c r="E6" s="1203"/>
      <c r="F6" s="1204">
        <f t="shared" si="0"/>
        <v>0</v>
      </c>
      <c r="G6" s="1203"/>
      <c r="H6" s="1203">
        <v>0</v>
      </c>
      <c r="I6" s="1204">
        <f t="shared" si="1"/>
        <v>0</v>
      </c>
      <c r="J6" s="1203">
        <f t="shared" si="2"/>
        <v>0</v>
      </c>
      <c r="K6" s="1205"/>
    </row>
    <row r="7" spans="1:15" ht="13">
      <c r="A7" s="1597"/>
      <c r="B7" s="1201" t="s">
        <v>3442</v>
      </c>
      <c r="C7" s="1202" t="s">
        <v>3440</v>
      </c>
      <c r="D7" s="1203"/>
      <c r="E7" s="1203"/>
      <c r="F7" s="1204">
        <f t="shared" si="0"/>
        <v>0</v>
      </c>
      <c r="G7" s="1203"/>
      <c r="H7" s="1203">
        <v>0</v>
      </c>
      <c r="I7" s="1204">
        <f t="shared" si="1"/>
        <v>0</v>
      </c>
      <c r="J7" s="1203">
        <f t="shared" si="2"/>
        <v>0</v>
      </c>
      <c r="K7" s="1205"/>
    </row>
    <row r="8" spans="1:15" ht="13">
      <c r="A8" s="1597"/>
      <c r="B8" s="1201" t="s">
        <v>3443</v>
      </c>
      <c r="C8" s="1202" t="s">
        <v>3440</v>
      </c>
      <c r="D8" s="1203">
        <v>1</v>
      </c>
      <c r="E8" s="1203"/>
      <c r="F8" s="1204">
        <f t="shared" si="0"/>
        <v>1</v>
      </c>
      <c r="G8" s="1203">
        <v>1</v>
      </c>
      <c r="H8" s="1203">
        <v>0</v>
      </c>
      <c r="I8" s="1204">
        <f t="shared" si="1"/>
        <v>1</v>
      </c>
      <c r="J8" s="1203">
        <f t="shared" si="2"/>
        <v>0</v>
      </c>
      <c r="K8" s="1206"/>
      <c r="N8" s="1198" t="s">
        <v>1675</v>
      </c>
      <c r="O8" s="1198">
        <v>5</v>
      </c>
    </row>
    <row r="9" spans="1:15" ht="13">
      <c r="A9" s="1597" t="s">
        <v>2397</v>
      </c>
      <c r="B9" s="1201" t="s">
        <v>3438</v>
      </c>
      <c r="C9" s="1202" t="s">
        <v>1857</v>
      </c>
      <c r="D9" s="1203">
        <v>17</v>
      </c>
      <c r="E9" s="1203">
        <v>38</v>
      </c>
      <c r="F9" s="1204">
        <f t="shared" si="0"/>
        <v>55</v>
      </c>
      <c r="G9" s="1203">
        <v>20</v>
      </c>
      <c r="H9" s="1203">
        <v>33</v>
      </c>
      <c r="I9" s="1204">
        <f t="shared" si="1"/>
        <v>53</v>
      </c>
      <c r="J9" s="1203">
        <f t="shared" si="2"/>
        <v>2</v>
      </c>
      <c r="K9" s="1205"/>
      <c r="N9" s="1198" t="s">
        <v>3486</v>
      </c>
      <c r="O9" s="1198">
        <v>5</v>
      </c>
    </row>
    <row r="10" spans="1:15" ht="13">
      <c r="A10" s="1597"/>
      <c r="B10" s="1201" t="s">
        <v>3439</v>
      </c>
      <c r="C10" s="1202" t="s">
        <v>3440</v>
      </c>
      <c r="D10" s="1203"/>
      <c r="E10" s="1203">
        <v>4</v>
      </c>
      <c r="F10" s="1204">
        <f t="shared" si="0"/>
        <v>4</v>
      </c>
      <c r="G10" s="1203"/>
      <c r="H10" s="1203">
        <v>4</v>
      </c>
      <c r="I10" s="1204">
        <f t="shared" si="1"/>
        <v>4</v>
      </c>
      <c r="J10" s="1203">
        <f t="shared" si="2"/>
        <v>0</v>
      </c>
      <c r="K10" s="1205"/>
      <c r="N10" s="1198" t="s">
        <v>2398</v>
      </c>
      <c r="O10" s="1198">
        <v>2</v>
      </c>
    </row>
    <row r="11" spans="1:15" ht="13">
      <c r="A11" s="1597"/>
      <c r="B11" s="1201" t="s">
        <v>3441</v>
      </c>
      <c r="C11" s="1202" t="s">
        <v>3440</v>
      </c>
      <c r="D11" s="1203">
        <v>4</v>
      </c>
      <c r="E11" s="1203">
        <v>4</v>
      </c>
      <c r="F11" s="1204">
        <f t="shared" si="0"/>
        <v>8</v>
      </c>
      <c r="G11" s="1203">
        <v>4</v>
      </c>
      <c r="H11" s="1203">
        <v>4</v>
      </c>
      <c r="I11" s="1204">
        <f t="shared" si="1"/>
        <v>8</v>
      </c>
      <c r="J11" s="1203">
        <f t="shared" si="2"/>
        <v>0</v>
      </c>
      <c r="K11" s="1205"/>
      <c r="N11" s="1198" t="s">
        <v>2425</v>
      </c>
      <c r="O11" s="1198">
        <v>2</v>
      </c>
    </row>
    <row r="12" spans="1:15" ht="13">
      <c r="A12" s="1597"/>
      <c r="B12" s="1201" t="s">
        <v>3442</v>
      </c>
      <c r="C12" s="1202" t="s">
        <v>3440</v>
      </c>
      <c r="D12" s="1203">
        <v>1</v>
      </c>
      <c r="E12" s="1203"/>
      <c r="F12" s="1204">
        <f t="shared" si="0"/>
        <v>1</v>
      </c>
      <c r="G12" s="1203">
        <v>1</v>
      </c>
      <c r="H12" s="1203">
        <v>4</v>
      </c>
      <c r="I12" s="1204">
        <f t="shared" si="1"/>
        <v>5</v>
      </c>
      <c r="J12" s="1203">
        <f t="shared" si="2"/>
        <v>-4</v>
      </c>
      <c r="K12" s="1205" t="s">
        <v>3444</v>
      </c>
    </row>
    <row r="13" spans="1:15" ht="13">
      <c r="A13" s="1597" t="s">
        <v>2398</v>
      </c>
      <c r="B13" s="1201" t="s">
        <v>3438</v>
      </c>
      <c r="C13" s="1202" t="s">
        <v>1857</v>
      </c>
      <c r="D13" s="1203">
        <v>13</v>
      </c>
      <c r="E13" s="1203">
        <v>33</v>
      </c>
      <c r="F13" s="1204">
        <f t="shared" si="0"/>
        <v>46</v>
      </c>
      <c r="G13" s="1203">
        <v>20</v>
      </c>
      <c r="H13" s="1203">
        <v>24</v>
      </c>
      <c r="I13" s="1204">
        <f t="shared" si="1"/>
        <v>44</v>
      </c>
      <c r="J13" s="1203">
        <f t="shared" si="2"/>
        <v>2</v>
      </c>
      <c r="K13" s="1205"/>
    </row>
    <row r="14" spans="1:15" ht="13">
      <c r="A14" s="1597"/>
      <c r="B14" s="1201" t="s">
        <v>3439</v>
      </c>
      <c r="C14" s="1202" t="s">
        <v>3440</v>
      </c>
      <c r="D14" s="1203"/>
      <c r="E14" s="1203"/>
      <c r="F14" s="1204">
        <f t="shared" si="0"/>
        <v>0</v>
      </c>
      <c r="G14" s="1203"/>
      <c r="H14" s="1203">
        <v>0</v>
      </c>
      <c r="I14" s="1204">
        <f t="shared" si="1"/>
        <v>0</v>
      </c>
      <c r="J14" s="1203">
        <f t="shared" si="2"/>
        <v>0</v>
      </c>
      <c r="K14" s="1205"/>
    </row>
    <row r="15" spans="1:15" ht="13">
      <c r="A15" s="1597"/>
      <c r="B15" s="1201" t="s">
        <v>3441</v>
      </c>
      <c r="C15" s="1202" t="s">
        <v>3440</v>
      </c>
      <c r="D15" s="1203">
        <v>5</v>
      </c>
      <c r="E15" s="1203">
        <v>4</v>
      </c>
      <c r="F15" s="1204">
        <f t="shared" si="0"/>
        <v>9</v>
      </c>
      <c r="G15" s="1203">
        <v>5</v>
      </c>
      <c r="H15" s="1203">
        <v>4</v>
      </c>
      <c r="I15" s="1204">
        <f t="shared" si="1"/>
        <v>9</v>
      </c>
      <c r="J15" s="1203">
        <f t="shared" si="2"/>
        <v>0</v>
      </c>
      <c r="K15" s="1205"/>
    </row>
    <row r="16" spans="1:15" ht="13">
      <c r="A16" s="1597"/>
      <c r="B16" s="1201" t="s">
        <v>3442</v>
      </c>
      <c r="C16" s="1202" t="s">
        <v>3440</v>
      </c>
      <c r="D16" s="1203"/>
      <c r="E16" s="1203"/>
      <c r="F16" s="1204">
        <f t="shared" si="0"/>
        <v>0</v>
      </c>
      <c r="G16" s="1203"/>
      <c r="H16" s="1203">
        <v>0</v>
      </c>
      <c r="I16" s="1204">
        <f t="shared" si="1"/>
        <v>0</v>
      </c>
      <c r="J16" s="1203">
        <f t="shared" si="2"/>
        <v>0</v>
      </c>
      <c r="K16" s="1205"/>
    </row>
    <row r="17" spans="1:11" ht="13">
      <c r="A17" s="1597"/>
      <c r="B17" s="1201" t="s">
        <v>3443</v>
      </c>
      <c r="C17" s="1202" t="s">
        <v>3440</v>
      </c>
      <c r="D17" s="1203">
        <v>1</v>
      </c>
      <c r="E17" s="1203"/>
      <c r="F17" s="1204">
        <f t="shared" si="0"/>
        <v>1</v>
      </c>
      <c r="G17" s="1203">
        <v>1</v>
      </c>
      <c r="H17" s="1203">
        <v>0</v>
      </c>
      <c r="I17" s="1204">
        <f t="shared" si="1"/>
        <v>1</v>
      </c>
      <c r="J17" s="1203">
        <f t="shared" si="2"/>
        <v>0</v>
      </c>
      <c r="K17" s="1206"/>
    </row>
    <row r="18" spans="1:11" ht="13">
      <c r="A18" s="1597"/>
      <c r="B18" s="1201" t="s">
        <v>3445</v>
      </c>
      <c r="C18" s="1202" t="s">
        <v>3440</v>
      </c>
      <c r="D18" s="1203">
        <v>2</v>
      </c>
      <c r="E18" s="1203"/>
      <c r="F18" s="1204">
        <f t="shared" si="0"/>
        <v>2</v>
      </c>
      <c r="G18" s="1203">
        <v>2</v>
      </c>
      <c r="H18" s="1203">
        <v>0</v>
      </c>
      <c r="I18" s="1204">
        <f t="shared" si="1"/>
        <v>2</v>
      </c>
      <c r="J18" s="1203">
        <f t="shared" si="2"/>
        <v>0</v>
      </c>
      <c r="K18" s="1206"/>
    </row>
    <row r="19" spans="1:11" ht="13">
      <c r="A19" s="1598" t="s">
        <v>2425</v>
      </c>
      <c r="B19" s="1201" t="s">
        <v>3438</v>
      </c>
      <c r="C19" s="1202" t="s">
        <v>1857</v>
      </c>
      <c r="D19" s="1203">
        <v>10</v>
      </c>
      <c r="E19" s="1203">
        <v>20</v>
      </c>
      <c r="F19" s="1204">
        <f t="shared" si="0"/>
        <v>30</v>
      </c>
      <c r="G19" s="1203">
        <v>10</v>
      </c>
      <c r="H19" s="1203">
        <v>20</v>
      </c>
      <c r="I19" s="1204">
        <f t="shared" si="1"/>
        <v>30</v>
      </c>
      <c r="J19" s="1203">
        <f t="shared" si="2"/>
        <v>0</v>
      </c>
      <c r="K19" s="1205"/>
    </row>
    <row r="20" spans="1:11" ht="13">
      <c r="A20" s="1599"/>
      <c r="B20" s="1201" t="s">
        <v>3439</v>
      </c>
      <c r="C20" s="1202" t="s">
        <v>3440</v>
      </c>
      <c r="D20" s="1203"/>
      <c r="E20" s="1203">
        <v>4</v>
      </c>
      <c r="F20" s="1204">
        <f t="shared" si="0"/>
        <v>4</v>
      </c>
      <c r="G20" s="1203"/>
      <c r="H20" s="1203">
        <v>4</v>
      </c>
      <c r="I20" s="1204">
        <f t="shared" si="1"/>
        <v>4</v>
      </c>
      <c r="J20" s="1203">
        <f t="shared" si="2"/>
        <v>0</v>
      </c>
      <c r="K20" s="1205"/>
    </row>
    <row r="21" spans="1:11" ht="13">
      <c r="A21" s="1599"/>
      <c r="B21" s="1201" t="s">
        <v>3441</v>
      </c>
      <c r="C21" s="1202" t="s">
        <v>3440</v>
      </c>
      <c r="D21" s="1203">
        <v>4</v>
      </c>
      <c r="E21" s="1203">
        <v>4</v>
      </c>
      <c r="F21" s="1204">
        <f t="shared" si="0"/>
        <v>8</v>
      </c>
      <c r="G21" s="1203">
        <v>4</v>
      </c>
      <c r="H21" s="1203">
        <v>4</v>
      </c>
      <c r="I21" s="1204">
        <f t="shared" si="1"/>
        <v>8</v>
      </c>
      <c r="J21" s="1203">
        <f t="shared" si="2"/>
        <v>0</v>
      </c>
      <c r="K21" s="1205"/>
    </row>
    <row r="22" spans="1:11" ht="13">
      <c r="A22" s="1599"/>
      <c r="B22" s="1201" t="s">
        <v>3442</v>
      </c>
      <c r="C22" s="1202" t="s">
        <v>3440</v>
      </c>
      <c r="D22" s="1203">
        <v>4</v>
      </c>
      <c r="E22" s="1203"/>
      <c r="F22" s="1204">
        <f t="shared" si="0"/>
        <v>4</v>
      </c>
      <c r="G22" s="1203">
        <v>4</v>
      </c>
      <c r="H22" s="1203">
        <v>4</v>
      </c>
      <c r="I22" s="1204">
        <f t="shared" si="1"/>
        <v>8</v>
      </c>
      <c r="J22" s="1203">
        <f t="shared" si="2"/>
        <v>-4</v>
      </c>
      <c r="K22" s="1205" t="s">
        <v>3444</v>
      </c>
    </row>
    <row r="23" spans="1:11" ht="13">
      <c r="A23" s="1599"/>
      <c r="B23" s="1201" t="s">
        <v>3445</v>
      </c>
      <c r="C23" s="1202" t="s">
        <v>3440</v>
      </c>
      <c r="D23" s="1203"/>
      <c r="E23" s="1203"/>
      <c r="F23" s="1204">
        <f t="shared" si="0"/>
        <v>0</v>
      </c>
      <c r="G23" s="1203"/>
      <c r="H23" s="1203">
        <v>0</v>
      </c>
      <c r="I23" s="1204">
        <f t="shared" si="1"/>
        <v>0</v>
      </c>
      <c r="J23" s="1203">
        <f t="shared" si="2"/>
        <v>0</v>
      </c>
      <c r="K23" s="1205"/>
    </row>
    <row r="24" spans="1:11" ht="13">
      <c r="A24" s="1599"/>
      <c r="B24" s="1201" t="s">
        <v>3446</v>
      </c>
      <c r="C24" s="1202" t="s">
        <v>1857</v>
      </c>
      <c r="D24" s="1203">
        <v>9.25</v>
      </c>
      <c r="E24" s="1203">
        <v>22</v>
      </c>
      <c r="F24" s="1204">
        <f t="shared" si="0"/>
        <v>31.25</v>
      </c>
      <c r="G24" s="1203">
        <f>5+3</f>
        <v>8</v>
      </c>
      <c r="H24" s="1203">
        <v>22</v>
      </c>
      <c r="I24" s="1204">
        <f t="shared" si="1"/>
        <v>30</v>
      </c>
      <c r="J24" s="1203">
        <f t="shared" si="2"/>
        <v>1.25</v>
      </c>
      <c r="K24" s="1206"/>
    </row>
    <row r="25" spans="1:11" ht="13">
      <c r="A25" s="1599"/>
      <c r="B25" s="1201" t="s">
        <v>3441</v>
      </c>
      <c r="C25" s="1202" t="s">
        <v>3440</v>
      </c>
      <c r="D25" s="1203">
        <v>3</v>
      </c>
      <c r="E25" s="1203"/>
      <c r="F25" s="1204">
        <f t="shared" si="0"/>
        <v>3</v>
      </c>
      <c r="G25" s="1203">
        <v>3</v>
      </c>
      <c r="H25" s="1203">
        <v>0</v>
      </c>
      <c r="I25" s="1204">
        <f t="shared" si="1"/>
        <v>3</v>
      </c>
      <c r="J25" s="1203">
        <f t="shared" si="2"/>
        <v>0</v>
      </c>
      <c r="K25" s="1206"/>
    </row>
    <row r="26" spans="1:11" ht="13">
      <c r="A26" s="1599"/>
      <c r="B26" s="1201" t="s">
        <v>3442</v>
      </c>
      <c r="C26" s="1202" t="s">
        <v>3440</v>
      </c>
      <c r="D26" s="1203">
        <v>8</v>
      </c>
      <c r="E26" s="1203">
        <v>24</v>
      </c>
      <c r="F26" s="1204">
        <f t="shared" si="0"/>
        <v>32</v>
      </c>
      <c r="G26" s="1203">
        <v>4</v>
      </c>
      <c r="H26" s="1203">
        <f>20+8</f>
        <v>28</v>
      </c>
      <c r="I26" s="1204">
        <f t="shared" si="1"/>
        <v>32</v>
      </c>
      <c r="J26" s="1203">
        <f t="shared" si="2"/>
        <v>0</v>
      </c>
      <c r="K26" s="1206"/>
    </row>
    <row r="27" spans="1:11" ht="13">
      <c r="A27" s="1599"/>
      <c r="B27" s="1201" t="s">
        <v>3447</v>
      </c>
      <c r="C27" s="1202" t="s">
        <v>3440</v>
      </c>
      <c r="D27" s="1203">
        <v>4</v>
      </c>
      <c r="E27" s="1203"/>
      <c r="F27" s="1204">
        <f t="shared" si="0"/>
        <v>4</v>
      </c>
      <c r="G27" s="1203">
        <v>4</v>
      </c>
      <c r="H27" s="1203">
        <v>0</v>
      </c>
      <c r="I27" s="1204">
        <f t="shared" si="1"/>
        <v>4</v>
      </c>
      <c r="J27" s="1203">
        <f t="shared" si="2"/>
        <v>0</v>
      </c>
      <c r="K27" s="1206"/>
    </row>
    <row r="28" spans="1:11" ht="13">
      <c r="A28" s="1599"/>
      <c r="B28" s="1201" t="s">
        <v>3445</v>
      </c>
      <c r="C28" s="1202" t="s">
        <v>3440</v>
      </c>
      <c r="D28" s="1203">
        <v>2</v>
      </c>
      <c r="E28" s="1203"/>
      <c r="F28" s="1204">
        <f t="shared" si="0"/>
        <v>2</v>
      </c>
      <c r="G28" s="1203">
        <v>2</v>
      </c>
      <c r="H28" s="1203">
        <v>0</v>
      </c>
      <c r="I28" s="1204">
        <f t="shared" si="1"/>
        <v>2</v>
      </c>
      <c r="J28" s="1203">
        <f t="shared" si="2"/>
        <v>0</v>
      </c>
      <c r="K28" s="1206"/>
    </row>
    <row r="29" spans="1:11" ht="13">
      <c r="A29" s="1600"/>
      <c r="B29" s="1201" t="s">
        <v>3448</v>
      </c>
      <c r="C29" s="1202" t="s">
        <v>3440</v>
      </c>
      <c r="D29" s="1203">
        <v>2</v>
      </c>
      <c r="E29" s="1203"/>
      <c r="F29" s="1204">
        <f t="shared" si="0"/>
        <v>2</v>
      </c>
      <c r="G29" s="1203">
        <v>2</v>
      </c>
      <c r="H29" s="1203">
        <v>0</v>
      </c>
      <c r="I29" s="1204">
        <f t="shared" si="1"/>
        <v>2</v>
      </c>
      <c r="J29" s="1203">
        <f t="shared" si="2"/>
        <v>0</v>
      </c>
      <c r="K29" s="1206"/>
    </row>
    <row r="30" spans="1:11" ht="13">
      <c r="A30" s="1597" t="s">
        <v>994</v>
      </c>
      <c r="B30" s="1597"/>
      <c r="C30" s="1201"/>
      <c r="D30" s="1201">
        <f t="shared" ref="D30:J30" si="3">D3+D9+D13+D19+D24+((D4)/4)+(D21/4)+(D25/4)+(D20/4)+(D10/4)</f>
        <v>127</v>
      </c>
      <c r="E30" s="1201">
        <f t="shared" si="3"/>
        <v>241</v>
      </c>
      <c r="F30" s="1197">
        <f t="shared" si="3"/>
        <v>368</v>
      </c>
      <c r="G30" s="1201">
        <f t="shared" si="3"/>
        <v>141.75</v>
      </c>
      <c r="H30" s="1201">
        <f t="shared" si="3"/>
        <v>219</v>
      </c>
      <c r="I30" s="1197">
        <f t="shared" si="3"/>
        <v>360.75</v>
      </c>
      <c r="J30" s="1201">
        <f t="shared" si="3"/>
        <v>7.25</v>
      </c>
      <c r="K30" s="1201"/>
    </row>
  </sheetData>
  <mergeCells count="6">
    <mergeCell ref="A30:B30"/>
    <mergeCell ref="A1:K1"/>
    <mergeCell ref="A3:A8"/>
    <mergeCell ref="A9:A12"/>
    <mergeCell ref="A13:A18"/>
    <mergeCell ref="A19:A29"/>
  </mergeCells>
  <conditionalFormatting sqref="J1:J65536">
    <cfRule type="cellIs" dxfId="3571" priority="1" stopIfTrue="1" operator="lessThan">
      <formula>0</formula>
    </cfRule>
  </conditionalFormatting>
  <conditionalFormatting sqref="K2:K65536">
    <cfRule type="cellIs" dxfId="3570" priority="3" stopIfTrue="1" operator="equal">
      <formula>#REF!</formula>
    </cfRule>
  </conditionalFormatting>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E4851-00B0-4A6E-AE7F-46A8F8CD2DAB}">
  <sheetPr>
    <tabColor rgb="FF00B050"/>
  </sheetPr>
  <dimension ref="A1:K32"/>
  <sheetViews>
    <sheetView showZeros="0" zoomScale="102" zoomScaleNormal="100" workbookViewId="0">
      <pane xSplit="2" ySplit="2" topLeftCell="C10"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8.36328125" style="1198" customWidth="1"/>
    <col min="2" max="2" width="16.54296875" style="1198" bestFit="1" customWidth="1"/>
    <col min="3" max="3" width="14.36328125" style="1198" bestFit="1" customWidth="1"/>
    <col min="4" max="5" width="14.36328125" style="1198" customWidth="1"/>
    <col min="6" max="6" width="15" style="1198" customWidth="1"/>
    <col min="7" max="7" width="13.81640625" style="1198" customWidth="1"/>
    <col min="8" max="8" width="11.08984375" style="1198" customWidth="1"/>
    <col min="9" max="9" width="16.26953125" style="1198" customWidth="1"/>
    <col min="10" max="10" width="8.08984375" style="1198" customWidth="1"/>
    <col min="11" max="11" width="30.26953125" style="1198" bestFit="1" customWidth="1"/>
    <col min="12" max="256" width="8.7265625" style="1198"/>
    <col min="257" max="257" width="8.36328125" style="1198" customWidth="1"/>
    <col min="258" max="258" width="16.54296875" style="1198" bestFit="1" customWidth="1"/>
    <col min="259" max="259" width="14.36328125" style="1198" bestFit="1" customWidth="1"/>
    <col min="260" max="261" width="14.36328125" style="1198" customWidth="1"/>
    <col min="262" max="262" width="15" style="1198" customWidth="1"/>
    <col min="263" max="263" width="13.81640625" style="1198" customWidth="1"/>
    <col min="264" max="264" width="11.08984375" style="1198" customWidth="1"/>
    <col min="265" max="265" width="16.26953125" style="1198" customWidth="1"/>
    <col min="266" max="266" width="8.08984375" style="1198" customWidth="1"/>
    <col min="267" max="267" width="30.26953125" style="1198" bestFit="1" customWidth="1"/>
    <col min="268" max="512" width="8.7265625" style="1198"/>
    <col min="513" max="513" width="8.36328125" style="1198" customWidth="1"/>
    <col min="514" max="514" width="16.54296875" style="1198" bestFit="1" customWidth="1"/>
    <col min="515" max="515" width="14.36328125" style="1198" bestFit="1" customWidth="1"/>
    <col min="516" max="517" width="14.36328125" style="1198" customWidth="1"/>
    <col min="518" max="518" width="15" style="1198" customWidth="1"/>
    <col min="519" max="519" width="13.81640625" style="1198" customWidth="1"/>
    <col min="520" max="520" width="11.08984375" style="1198" customWidth="1"/>
    <col min="521" max="521" width="16.26953125" style="1198" customWidth="1"/>
    <col min="522" max="522" width="8.08984375" style="1198" customWidth="1"/>
    <col min="523" max="523" width="30.26953125" style="1198" bestFit="1" customWidth="1"/>
    <col min="524" max="768" width="8.7265625" style="1198"/>
    <col min="769" max="769" width="8.36328125" style="1198" customWidth="1"/>
    <col min="770" max="770" width="16.54296875" style="1198" bestFit="1" customWidth="1"/>
    <col min="771" max="771" width="14.36328125" style="1198" bestFit="1" customWidth="1"/>
    <col min="772" max="773" width="14.36328125" style="1198" customWidth="1"/>
    <col min="774" max="774" width="15" style="1198" customWidth="1"/>
    <col min="775" max="775" width="13.81640625" style="1198" customWidth="1"/>
    <col min="776" max="776" width="11.08984375" style="1198" customWidth="1"/>
    <col min="777" max="777" width="16.26953125" style="1198" customWidth="1"/>
    <col min="778" max="778" width="8.08984375" style="1198" customWidth="1"/>
    <col min="779" max="779" width="30.26953125" style="1198" bestFit="1" customWidth="1"/>
    <col min="780" max="1024" width="8.7265625" style="1198"/>
    <col min="1025" max="1025" width="8.36328125" style="1198" customWidth="1"/>
    <col min="1026" max="1026" width="16.54296875" style="1198" bestFit="1" customWidth="1"/>
    <col min="1027" max="1027" width="14.36328125" style="1198" bestFit="1" customWidth="1"/>
    <col min="1028" max="1029" width="14.36328125" style="1198" customWidth="1"/>
    <col min="1030" max="1030" width="15" style="1198" customWidth="1"/>
    <col min="1031" max="1031" width="13.81640625" style="1198" customWidth="1"/>
    <col min="1032" max="1032" width="11.08984375" style="1198" customWidth="1"/>
    <col min="1033" max="1033" width="16.26953125" style="1198" customWidth="1"/>
    <col min="1034" max="1034" width="8.08984375" style="1198" customWidth="1"/>
    <col min="1035" max="1035" width="30.26953125" style="1198" bestFit="1" customWidth="1"/>
    <col min="1036" max="1280" width="8.7265625" style="1198"/>
    <col min="1281" max="1281" width="8.36328125" style="1198" customWidth="1"/>
    <col min="1282" max="1282" width="16.54296875" style="1198" bestFit="1" customWidth="1"/>
    <col min="1283" max="1283" width="14.36328125" style="1198" bestFit="1" customWidth="1"/>
    <col min="1284" max="1285" width="14.36328125" style="1198" customWidth="1"/>
    <col min="1286" max="1286" width="15" style="1198" customWidth="1"/>
    <col min="1287" max="1287" width="13.81640625" style="1198" customWidth="1"/>
    <col min="1288" max="1288" width="11.08984375" style="1198" customWidth="1"/>
    <col min="1289" max="1289" width="16.26953125" style="1198" customWidth="1"/>
    <col min="1290" max="1290" width="8.08984375" style="1198" customWidth="1"/>
    <col min="1291" max="1291" width="30.26953125" style="1198" bestFit="1" customWidth="1"/>
    <col min="1292" max="1536" width="8.7265625" style="1198"/>
    <col min="1537" max="1537" width="8.36328125" style="1198" customWidth="1"/>
    <col min="1538" max="1538" width="16.54296875" style="1198" bestFit="1" customWidth="1"/>
    <col min="1539" max="1539" width="14.36328125" style="1198" bestFit="1" customWidth="1"/>
    <col min="1540" max="1541" width="14.36328125" style="1198" customWidth="1"/>
    <col min="1542" max="1542" width="15" style="1198" customWidth="1"/>
    <col min="1543" max="1543" width="13.81640625" style="1198" customWidth="1"/>
    <col min="1544" max="1544" width="11.08984375" style="1198" customWidth="1"/>
    <col min="1545" max="1545" width="16.26953125" style="1198" customWidth="1"/>
    <col min="1546" max="1546" width="8.08984375" style="1198" customWidth="1"/>
    <col min="1547" max="1547" width="30.26953125" style="1198" bestFit="1" customWidth="1"/>
    <col min="1548" max="1792" width="8.7265625" style="1198"/>
    <col min="1793" max="1793" width="8.36328125" style="1198" customWidth="1"/>
    <col min="1794" max="1794" width="16.54296875" style="1198" bestFit="1" customWidth="1"/>
    <col min="1795" max="1795" width="14.36328125" style="1198" bestFit="1" customWidth="1"/>
    <col min="1796" max="1797" width="14.36328125" style="1198" customWidth="1"/>
    <col min="1798" max="1798" width="15" style="1198" customWidth="1"/>
    <col min="1799" max="1799" width="13.81640625" style="1198" customWidth="1"/>
    <col min="1800" max="1800" width="11.08984375" style="1198" customWidth="1"/>
    <col min="1801" max="1801" width="16.26953125" style="1198" customWidth="1"/>
    <col min="1802" max="1802" width="8.08984375" style="1198" customWidth="1"/>
    <col min="1803" max="1803" width="30.26953125" style="1198" bestFit="1" customWidth="1"/>
    <col min="1804" max="2048" width="8.7265625" style="1198"/>
    <col min="2049" max="2049" width="8.36328125" style="1198" customWidth="1"/>
    <col min="2050" max="2050" width="16.54296875" style="1198" bestFit="1" customWidth="1"/>
    <col min="2051" max="2051" width="14.36328125" style="1198" bestFit="1" customWidth="1"/>
    <col min="2052" max="2053" width="14.36328125" style="1198" customWidth="1"/>
    <col min="2054" max="2054" width="15" style="1198" customWidth="1"/>
    <col min="2055" max="2055" width="13.81640625" style="1198" customWidth="1"/>
    <col min="2056" max="2056" width="11.08984375" style="1198" customWidth="1"/>
    <col min="2057" max="2057" width="16.26953125" style="1198" customWidth="1"/>
    <col min="2058" max="2058" width="8.08984375" style="1198" customWidth="1"/>
    <col min="2059" max="2059" width="30.26953125" style="1198" bestFit="1" customWidth="1"/>
    <col min="2060" max="2304" width="8.7265625" style="1198"/>
    <col min="2305" max="2305" width="8.36328125" style="1198" customWidth="1"/>
    <col min="2306" max="2306" width="16.54296875" style="1198" bestFit="1" customWidth="1"/>
    <col min="2307" max="2307" width="14.36328125" style="1198" bestFit="1" customWidth="1"/>
    <col min="2308" max="2309" width="14.36328125" style="1198" customWidth="1"/>
    <col min="2310" max="2310" width="15" style="1198" customWidth="1"/>
    <col min="2311" max="2311" width="13.81640625" style="1198" customWidth="1"/>
    <col min="2312" max="2312" width="11.08984375" style="1198" customWidth="1"/>
    <col min="2313" max="2313" width="16.26953125" style="1198" customWidth="1"/>
    <col min="2314" max="2314" width="8.08984375" style="1198" customWidth="1"/>
    <col min="2315" max="2315" width="30.26953125" style="1198" bestFit="1" customWidth="1"/>
    <col min="2316" max="2560" width="8.7265625" style="1198"/>
    <col min="2561" max="2561" width="8.36328125" style="1198" customWidth="1"/>
    <col min="2562" max="2562" width="16.54296875" style="1198" bestFit="1" customWidth="1"/>
    <col min="2563" max="2563" width="14.36328125" style="1198" bestFit="1" customWidth="1"/>
    <col min="2564" max="2565" width="14.36328125" style="1198" customWidth="1"/>
    <col min="2566" max="2566" width="15" style="1198" customWidth="1"/>
    <col min="2567" max="2567" width="13.81640625" style="1198" customWidth="1"/>
    <col min="2568" max="2568" width="11.08984375" style="1198" customWidth="1"/>
    <col min="2569" max="2569" width="16.26953125" style="1198" customWidth="1"/>
    <col min="2570" max="2570" width="8.08984375" style="1198" customWidth="1"/>
    <col min="2571" max="2571" width="30.26953125" style="1198" bestFit="1" customWidth="1"/>
    <col min="2572" max="2816" width="8.7265625" style="1198"/>
    <col min="2817" max="2817" width="8.36328125" style="1198" customWidth="1"/>
    <col min="2818" max="2818" width="16.54296875" style="1198" bestFit="1" customWidth="1"/>
    <col min="2819" max="2819" width="14.36328125" style="1198" bestFit="1" customWidth="1"/>
    <col min="2820" max="2821" width="14.36328125" style="1198" customWidth="1"/>
    <col min="2822" max="2822" width="15" style="1198" customWidth="1"/>
    <col min="2823" max="2823" width="13.81640625" style="1198" customWidth="1"/>
    <col min="2824" max="2824" width="11.08984375" style="1198" customWidth="1"/>
    <col min="2825" max="2825" width="16.26953125" style="1198" customWidth="1"/>
    <col min="2826" max="2826" width="8.08984375" style="1198" customWidth="1"/>
    <col min="2827" max="2827" width="30.26953125" style="1198" bestFit="1" customWidth="1"/>
    <col min="2828" max="3072" width="8.7265625" style="1198"/>
    <col min="3073" max="3073" width="8.36328125" style="1198" customWidth="1"/>
    <col min="3074" max="3074" width="16.54296875" style="1198" bestFit="1" customWidth="1"/>
    <col min="3075" max="3075" width="14.36328125" style="1198" bestFit="1" customWidth="1"/>
    <col min="3076" max="3077" width="14.36328125" style="1198" customWidth="1"/>
    <col min="3078" max="3078" width="15" style="1198" customWidth="1"/>
    <col min="3079" max="3079" width="13.81640625" style="1198" customWidth="1"/>
    <col min="3080" max="3080" width="11.08984375" style="1198" customWidth="1"/>
    <col min="3081" max="3081" width="16.26953125" style="1198" customWidth="1"/>
    <col min="3082" max="3082" width="8.08984375" style="1198" customWidth="1"/>
    <col min="3083" max="3083" width="30.26953125" style="1198" bestFit="1" customWidth="1"/>
    <col min="3084" max="3328" width="8.7265625" style="1198"/>
    <col min="3329" max="3329" width="8.36328125" style="1198" customWidth="1"/>
    <col min="3330" max="3330" width="16.54296875" style="1198" bestFit="1" customWidth="1"/>
    <col min="3331" max="3331" width="14.36328125" style="1198" bestFit="1" customWidth="1"/>
    <col min="3332" max="3333" width="14.36328125" style="1198" customWidth="1"/>
    <col min="3334" max="3334" width="15" style="1198" customWidth="1"/>
    <col min="3335" max="3335" width="13.81640625" style="1198" customWidth="1"/>
    <col min="3336" max="3336" width="11.08984375" style="1198" customWidth="1"/>
    <col min="3337" max="3337" width="16.26953125" style="1198" customWidth="1"/>
    <col min="3338" max="3338" width="8.08984375" style="1198" customWidth="1"/>
    <col min="3339" max="3339" width="30.26953125" style="1198" bestFit="1" customWidth="1"/>
    <col min="3340" max="3584" width="8.7265625" style="1198"/>
    <col min="3585" max="3585" width="8.36328125" style="1198" customWidth="1"/>
    <col min="3586" max="3586" width="16.54296875" style="1198" bestFit="1" customWidth="1"/>
    <col min="3587" max="3587" width="14.36328125" style="1198" bestFit="1" customWidth="1"/>
    <col min="3588" max="3589" width="14.36328125" style="1198" customWidth="1"/>
    <col min="3590" max="3590" width="15" style="1198" customWidth="1"/>
    <col min="3591" max="3591" width="13.81640625" style="1198" customWidth="1"/>
    <col min="3592" max="3592" width="11.08984375" style="1198" customWidth="1"/>
    <col min="3593" max="3593" width="16.26953125" style="1198" customWidth="1"/>
    <col min="3594" max="3594" width="8.08984375" style="1198" customWidth="1"/>
    <col min="3595" max="3595" width="30.26953125" style="1198" bestFit="1" customWidth="1"/>
    <col min="3596" max="3840" width="8.7265625" style="1198"/>
    <col min="3841" max="3841" width="8.36328125" style="1198" customWidth="1"/>
    <col min="3842" max="3842" width="16.54296875" style="1198" bestFit="1" customWidth="1"/>
    <col min="3843" max="3843" width="14.36328125" style="1198" bestFit="1" customWidth="1"/>
    <col min="3844" max="3845" width="14.36328125" style="1198" customWidth="1"/>
    <col min="3846" max="3846" width="15" style="1198" customWidth="1"/>
    <col min="3847" max="3847" width="13.81640625" style="1198" customWidth="1"/>
    <col min="3848" max="3848" width="11.08984375" style="1198" customWidth="1"/>
    <col min="3849" max="3849" width="16.26953125" style="1198" customWidth="1"/>
    <col min="3850" max="3850" width="8.08984375" style="1198" customWidth="1"/>
    <col min="3851" max="3851" width="30.26953125" style="1198" bestFit="1" customWidth="1"/>
    <col min="3852" max="4096" width="8.7265625" style="1198"/>
    <col min="4097" max="4097" width="8.36328125" style="1198" customWidth="1"/>
    <col min="4098" max="4098" width="16.54296875" style="1198" bestFit="1" customWidth="1"/>
    <col min="4099" max="4099" width="14.36328125" style="1198" bestFit="1" customWidth="1"/>
    <col min="4100" max="4101" width="14.36328125" style="1198" customWidth="1"/>
    <col min="4102" max="4102" width="15" style="1198" customWidth="1"/>
    <col min="4103" max="4103" width="13.81640625" style="1198" customWidth="1"/>
    <col min="4104" max="4104" width="11.08984375" style="1198" customWidth="1"/>
    <col min="4105" max="4105" width="16.26953125" style="1198" customWidth="1"/>
    <col min="4106" max="4106" width="8.08984375" style="1198" customWidth="1"/>
    <col min="4107" max="4107" width="30.26953125" style="1198" bestFit="1" customWidth="1"/>
    <col min="4108" max="4352" width="8.7265625" style="1198"/>
    <col min="4353" max="4353" width="8.36328125" style="1198" customWidth="1"/>
    <col min="4354" max="4354" width="16.54296875" style="1198" bestFit="1" customWidth="1"/>
    <col min="4355" max="4355" width="14.36328125" style="1198" bestFit="1" customWidth="1"/>
    <col min="4356" max="4357" width="14.36328125" style="1198" customWidth="1"/>
    <col min="4358" max="4358" width="15" style="1198" customWidth="1"/>
    <col min="4359" max="4359" width="13.81640625" style="1198" customWidth="1"/>
    <col min="4360" max="4360" width="11.08984375" style="1198" customWidth="1"/>
    <col min="4361" max="4361" width="16.26953125" style="1198" customWidth="1"/>
    <col min="4362" max="4362" width="8.08984375" style="1198" customWidth="1"/>
    <col min="4363" max="4363" width="30.26953125" style="1198" bestFit="1" customWidth="1"/>
    <col min="4364" max="4608" width="8.7265625" style="1198"/>
    <col min="4609" max="4609" width="8.36328125" style="1198" customWidth="1"/>
    <col min="4610" max="4610" width="16.54296875" style="1198" bestFit="1" customWidth="1"/>
    <col min="4611" max="4611" width="14.36328125" style="1198" bestFit="1" customWidth="1"/>
    <col min="4612" max="4613" width="14.36328125" style="1198" customWidth="1"/>
    <col min="4614" max="4614" width="15" style="1198" customWidth="1"/>
    <col min="4615" max="4615" width="13.81640625" style="1198" customWidth="1"/>
    <col min="4616" max="4616" width="11.08984375" style="1198" customWidth="1"/>
    <col min="4617" max="4617" width="16.26953125" style="1198" customWidth="1"/>
    <col min="4618" max="4618" width="8.08984375" style="1198" customWidth="1"/>
    <col min="4619" max="4619" width="30.26953125" style="1198" bestFit="1" customWidth="1"/>
    <col min="4620" max="4864" width="8.7265625" style="1198"/>
    <col min="4865" max="4865" width="8.36328125" style="1198" customWidth="1"/>
    <col min="4866" max="4866" width="16.54296875" style="1198" bestFit="1" customWidth="1"/>
    <col min="4867" max="4867" width="14.36328125" style="1198" bestFit="1" customWidth="1"/>
    <col min="4868" max="4869" width="14.36328125" style="1198" customWidth="1"/>
    <col min="4870" max="4870" width="15" style="1198" customWidth="1"/>
    <col min="4871" max="4871" width="13.81640625" style="1198" customWidth="1"/>
    <col min="4872" max="4872" width="11.08984375" style="1198" customWidth="1"/>
    <col min="4873" max="4873" width="16.26953125" style="1198" customWidth="1"/>
    <col min="4874" max="4874" width="8.08984375" style="1198" customWidth="1"/>
    <col min="4875" max="4875" width="30.26953125" style="1198" bestFit="1" customWidth="1"/>
    <col min="4876" max="5120" width="8.7265625" style="1198"/>
    <col min="5121" max="5121" width="8.36328125" style="1198" customWidth="1"/>
    <col min="5122" max="5122" width="16.54296875" style="1198" bestFit="1" customWidth="1"/>
    <col min="5123" max="5123" width="14.36328125" style="1198" bestFit="1" customWidth="1"/>
    <col min="5124" max="5125" width="14.36328125" style="1198" customWidth="1"/>
    <col min="5126" max="5126" width="15" style="1198" customWidth="1"/>
    <col min="5127" max="5127" width="13.81640625" style="1198" customWidth="1"/>
    <col min="5128" max="5128" width="11.08984375" style="1198" customWidth="1"/>
    <col min="5129" max="5129" width="16.26953125" style="1198" customWidth="1"/>
    <col min="5130" max="5130" width="8.08984375" style="1198" customWidth="1"/>
    <col min="5131" max="5131" width="30.26953125" style="1198" bestFit="1" customWidth="1"/>
    <col min="5132" max="5376" width="8.7265625" style="1198"/>
    <col min="5377" max="5377" width="8.36328125" style="1198" customWidth="1"/>
    <col min="5378" max="5378" width="16.54296875" style="1198" bestFit="1" customWidth="1"/>
    <col min="5379" max="5379" width="14.36328125" style="1198" bestFit="1" customWidth="1"/>
    <col min="5380" max="5381" width="14.36328125" style="1198" customWidth="1"/>
    <col min="5382" max="5382" width="15" style="1198" customWidth="1"/>
    <col min="5383" max="5383" width="13.81640625" style="1198" customWidth="1"/>
    <col min="5384" max="5384" width="11.08984375" style="1198" customWidth="1"/>
    <col min="5385" max="5385" width="16.26953125" style="1198" customWidth="1"/>
    <col min="5386" max="5386" width="8.08984375" style="1198" customWidth="1"/>
    <col min="5387" max="5387" width="30.26953125" style="1198" bestFit="1" customWidth="1"/>
    <col min="5388" max="5632" width="8.7265625" style="1198"/>
    <col min="5633" max="5633" width="8.36328125" style="1198" customWidth="1"/>
    <col min="5634" max="5634" width="16.54296875" style="1198" bestFit="1" customWidth="1"/>
    <col min="5635" max="5635" width="14.36328125" style="1198" bestFit="1" customWidth="1"/>
    <col min="5636" max="5637" width="14.36328125" style="1198" customWidth="1"/>
    <col min="5638" max="5638" width="15" style="1198" customWidth="1"/>
    <col min="5639" max="5639" width="13.81640625" style="1198" customWidth="1"/>
    <col min="5640" max="5640" width="11.08984375" style="1198" customWidth="1"/>
    <col min="5641" max="5641" width="16.26953125" style="1198" customWidth="1"/>
    <col min="5642" max="5642" width="8.08984375" style="1198" customWidth="1"/>
    <col min="5643" max="5643" width="30.26953125" style="1198" bestFit="1" customWidth="1"/>
    <col min="5644" max="5888" width="8.7265625" style="1198"/>
    <col min="5889" max="5889" width="8.36328125" style="1198" customWidth="1"/>
    <col min="5890" max="5890" width="16.54296875" style="1198" bestFit="1" customWidth="1"/>
    <col min="5891" max="5891" width="14.36328125" style="1198" bestFit="1" customWidth="1"/>
    <col min="5892" max="5893" width="14.36328125" style="1198" customWidth="1"/>
    <col min="5894" max="5894" width="15" style="1198" customWidth="1"/>
    <col min="5895" max="5895" width="13.81640625" style="1198" customWidth="1"/>
    <col min="5896" max="5896" width="11.08984375" style="1198" customWidth="1"/>
    <col min="5897" max="5897" width="16.26953125" style="1198" customWidth="1"/>
    <col min="5898" max="5898" width="8.08984375" style="1198" customWidth="1"/>
    <col min="5899" max="5899" width="30.26953125" style="1198" bestFit="1" customWidth="1"/>
    <col min="5900" max="6144" width="8.7265625" style="1198"/>
    <col min="6145" max="6145" width="8.36328125" style="1198" customWidth="1"/>
    <col min="6146" max="6146" width="16.54296875" style="1198" bestFit="1" customWidth="1"/>
    <col min="6147" max="6147" width="14.36328125" style="1198" bestFit="1" customWidth="1"/>
    <col min="6148" max="6149" width="14.36328125" style="1198" customWidth="1"/>
    <col min="6150" max="6150" width="15" style="1198" customWidth="1"/>
    <col min="6151" max="6151" width="13.81640625" style="1198" customWidth="1"/>
    <col min="6152" max="6152" width="11.08984375" style="1198" customWidth="1"/>
    <col min="6153" max="6153" width="16.26953125" style="1198" customWidth="1"/>
    <col min="6154" max="6154" width="8.08984375" style="1198" customWidth="1"/>
    <col min="6155" max="6155" width="30.26953125" style="1198" bestFit="1" customWidth="1"/>
    <col min="6156" max="6400" width="8.7265625" style="1198"/>
    <col min="6401" max="6401" width="8.36328125" style="1198" customWidth="1"/>
    <col min="6402" max="6402" width="16.54296875" style="1198" bestFit="1" customWidth="1"/>
    <col min="6403" max="6403" width="14.36328125" style="1198" bestFit="1" customWidth="1"/>
    <col min="6404" max="6405" width="14.36328125" style="1198" customWidth="1"/>
    <col min="6406" max="6406" width="15" style="1198" customWidth="1"/>
    <col min="6407" max="6407" width="13.81640625" style="1198" customWidth="1"/>
    <col min="6408" max="6408" width="11.08984375" style="1198" customWidth="1"/>
    <col min="6409" max="6409" width="16.26953125" style="1198" customWidth="1"/>
    <col min="6410" max="6410" width="8.08984375" style="1198" customWidth="1"/>
    <col min="6411" max="6411" width="30.26953125" style="1198" bestFit="1" customWidth="1"/>
    <col min="6412" max="6656" width="8.7265625" style="1198"/>
    <col min="6657" max="6657" width="8.36328125" style="1198" customWidth="1"/>
    <col min="6658" max="6658" width="16.54296875" style="1198" bestFit="1" customWidth="1"/>
    <col min="6659" max="6659" width="14.36328125" style="1198" bestFit="1" customWidth="1"/>
    <col min="6660" max="6661" width="14.36328125" style="1198" customWidth="1"/>
    <col min="6662" max="6662" width="15" style="1198" customWidth="1"/>
    <col min="6663" max="6663" width="13.81640625" style="1198" customWidth="1"/>
    <col min="6664" max="6664" width="11.08984375" style="1198" customWidth="1"/>
    <col min="6665" max="6665" width="16.26953125" style="1198" customWidth="1"/>
    <col min="6666" max="6666" width="8.08984375" style="1198" customWidth="1"/>
    <col min="6667" max="6667" width="30.26953125" style="1198" bestFit="1" customWidth="1"/>
    <col min="6668" max="6912" width="8.7265625" style="1198"/>
    <col min="6913" max="6913" width="8.36328125" style="1198" customWidth="1"/>
    <col min="6914" max="6914" width="16.54296875" style="1198" bestFit="1" customWidth="1"/>
    <col min="6915" max="6915" width="14.36328125" style="1198" bestFit="1" customWidth="1"/>
    <col min="6916" max="6917" width="14.36328125" style="1198" customWidth="1"/>
    <col min="6918" max="6918" width="15" style="1198" customWidth="1"/>
    <col min="6919" max="6919" width="13.81640625" style="1198" customWidth="1"/>
    <col min="6920" max="6920" width="11.08984375" style="1198" customWidth="1"/>
    <col min="6921" max="6921" width="16.26953125" style="1198" customWidth="1"/>
    <col min="6922" max="6922" width="8.08984375" style="1198" customWidth="1"/>
    <col min="6923" max="6923" width="30.26953125" style="1198" bestFit="1" customWidth="1"/>
    <col min="6924" max="7168" width="8.7265625" style="1198"/>
    <col min="7169" max="7169" width="8.36328125" style="1198" customWidth="1"/>
    <col min="7170" max="7170" width="16.54296875" style="1198" bestFit="1" customWidth="1"/>
    <col min="7171" max="7171" width="14.36328125" style="1198" bestFit="1" customWidth="1"/>
    <col min="7172" max="7173" width="14.36328125" style="1198" customWidth="1"/>
    <col min="7174" max="7174" width="15" style="1198" customWidth="1"/>
    <col min="7175" max="7175" width="13.81640625" style="1198" customWidth="1"/>
    <col min="7176" max="7176" width="11.08984375" style="1198" customWidth="1"/>
    <col min="7177" max="7177" width="16.26953125" style="1198" customWidth="1"/>
    <col min="7178" max="7178" width="8.08984375" style="1198" customWidth="1"/>
    <col min="7179" max="7179" width="30.26953125" style="1198" bestFit="1" customWidth="1"/>
    <col min="7180" max="7424" width="8.7265625" style="1198"/>
    <col min="7425" max="7425" width="8.36328125" style="1198" customWidth="1"/>
    <col min="7426" max="7426" width="16.54296875" style="1198" bestFit="1" customWidth="1"/>
    <col min="7427" max="7427" width="14.36328125" style="1198" bestFit="1" customWidth="1"/>
    <col min="7428" max="7429" width="14.36328125" style="1198" customWidth="1"/>
    <col min="7430" max="7430" width="15" style="1198" customWidth="1"/>
    <col min="7431" max="7431" width="13.81640625" style="1198" customWidth="1"/>
    <col min="7432" max="7432" width="11.08984375" style="1198" customWidth="1"/>
    <col min="7433" max="7433" width="16.26953125" style="1198" customWidth="1"/>
    <col min="7434" max="7434" width="8.08984375" style="1198" customWidth="1"/>
    <col min="7435" max="7435" width="30.26953125" style="1198" bestFit="1" customWidth="1"/>
    <col min="7436" max="7680" width="8.7265625" style="1198"/>
    <col min="7681" max="7681" width="8.36328125" style="1198" customWidth="1"/>
    <col min="7682" max="7682" width="16.54296875" style="1198" bestFit="1" customWidth="1"/>
    <col min="7683" max="7683" width="14.36328125" style="1198" bestFit="1" customWidth="1"/>
    <col min="7684" max="7685" width="14.36328125" style="1198" customWidth="1"/>
    <col min="7686" max="7686" width="15" style="1198" customWidth="1"/>
    <col min="7687" max="7687" width="13.81640625" style="1198" customWidth="1"/>
    <col min="7688" max="7688" width="11.08984375" style="1198" customWidth="1"/>
    <col min="7689" max="7689" width="16.26953125" style="1198" customWidth="1"/>
    <col min="7690" max="7690" width="8.08984375" style="1198" customWidth="1"/>
    <col min="7691" max="7691" width="30.26953125" style="1198" bestFit="1" customWidth="1"/>
    <col min="7692" max="7936" width="8.7265625" style="1198"/>
    <col min="7937" max="7937" width="8.36328125" style="1198" customWidth="1"/>
    <col min="7938" max="7938" width="16.54296875" style="1198" bestFit="1" customWidth="1"/>
    <col min="7939" max="7939" width="14.36328125" style="1198" bestFit="1" customWidth="1"/>
    <col min="7940" max="7941" width="14.36328125" style="1198" customWidth="1"/>
    <col min="7942" max="7942" width="15" style="1198" customWidth="1"/>
    <col min="7943" max="7943" width="13.81640625" style="1198" customWidth="1"/>
    <col min="7944" max="7944" width="11.08984375" style="1198" customWidth="1"/>
    <col min="7945" max="7945" width="16.26953125" style="1198" customWidth="1"/>
    <col min="7946" max="7946" width="8.08984375" style="1198" customWidth="1"/>
    <col min="7947" max="7947" width="30.26953125" style="1198" bestFit="1" customWidth="1"/>
    <col min="7948" max="8192" width="8.7265625" style="1198"/>
    <col min="8193" max="8193" width="8.36328125" style="1198" customWidth="1"/>
    <col min="8194" max="8194" width="16.54296875" style="1198" bestFit="1" customWidth="1"/>
    <col min="8195" max="8195" width="14.36328125" style="1198" bestFit="1" customWidth="1"/>
    <col min="8196" max="8197" width="14.36328125" style="1198" customWidth="1"/>
    <col min="8198" max="8198" width="15" style="1198" customWidth="1"/>
    <col min="8199" max="8199" width="13.81640625" style="1198" customWidth="1"/>
    <col min="8200" max="8200" width="11.08984375" style="1198" customWidth="1"/>
    <col min="8201" max="8201" width="16.26953125" style="1198" customWidth="1"/>
    <col min="8202" max="8202" width="8.08984375" style="1198" customWidth="1"/>
    <col min="8203" max="8203" width="30.26953125" style="1198" bestFit="1" customWidth="1"/>
    <col min="8204" max="8448" width="8.7265625" style="1198"/>
    <col min="8449" max="8449" width="8.36328125" style="1198" customWidth="1"/>
    <col min="8450" max="8450" width="16.54296875" style="1198" bestFit="1" customWidth="1"/>
    <col min="8451" max="8451" width="14.36328125" style="1198" bestFit="1" customWidth="1"/>
    <col min="8452" max="8453" width="14.36328125" style="1198" customWidth="1"/>
    <col min="8454" max="8454" width="15" style="1198" customWidth="1"/>
    <col min="8455" max="8455" width="13.81640625" style="1198" customWidth="1"/>
    <col min="8456" max="8456" width="11.08984375" style="1198" customWidth="1"/>
    <col min="8457" max="8457" width="16.26953125" style="1198" customWidth="1"/>
    <col min="8458" max="8458" width="8.08984375" style="1198" customWidth="1"/>
    <col min="8459" max="8459" width="30.26953125" style="1198" bestFit="1" customWidth="1"/>
    <col min="8460" max="8704" width="8.7265625" style="1198"/>
    <col min="8705" max="8705" width="8.36328125" style="1198" customWidth="1"/>
    <col min="8706" max="8706" width="16.54296875" style="1198" bestFit="1" customWidth="1"/>
    <col min="8707" max="8707" width="14.36328125" style="1198" bestFit="1" customWidth="1"/>
    <col min="8708" max="8709" width="14.36328125" style="1198" customWidth="1"/>
    <col min="8710" max="8710" width="15" style="1198" customWidth="1"/>
    <col min="8711" max="8711" width="13.81640625" style="1198" customWidth="1"/>
    <col min="8712" max="8712" width="11.08984375" style="1198" customWidth="1"/>
    <col min="8713" max="8713" width="16.26953125" style="1198" customWidth="1"/>
    <col min="8714" max="8714" width="8.08984375" style="1198" customWidth="1"/>
    <col min="8715" max="8715" width="30.26953125" style="1198" bestFit="1" customWidth="1"/>
    <col min="8716" max="8960" width="8.7265625" style="1198"/>
    <col min="8961" max="8961" width="8.36328125" style="1198" customWidth="1"/>
    <col min="8962" max="8962" width="16.54296875" style="1198" bestFit="1" customWidth="1"/>
    <col min="8963" max="8963" width="14.36328125" style="1198" bestFit="1" customWidth="1"/>
    <col min="8964" max="8965" width="14.36328125" style="1198" customWidth="1"/>
    <col min="8966" max="8966" width="15" style="1198" customWidth="1"/>
    <col min="8967" max="8967" width="13.81640625" style="1198" customWidth="1"/>
    <col min="8968" max="8968" width="11.08984375" style="1198" customWidth="1"/>
    <col min="8969" max="8969" width="16.26953125" style="1198" customWidth="1"/>
    <col min="8970" max="8970" width="8.08984375" style="1198" customWidth="1"/>
    <col min="8971" max="8971" width="30.26953125" style="1198" bestFit="1" customWidth="1"/>
    <col min="8972" max="9216" width="8.7265625" style="1198"/>
    <col min="9217" max="9217" width="8.36328125" style="1198" customWidth="1"/>
    <col min="9218" max="9218" width="16.54296875" style="1198" bestFit="1" customWidth="1"/>
    <col min="9219" max="9219" width="14.36328125" style="1198" bestFit="1" customWidth="1"/>
    <col min="9220" max="9221" width="14.36328125" style="1198" customWidth="1"/>
    <col min="9222" max="9222" width="15" style="1198" customWidth="1"/>
    <col min="9223" max="9223" width="13.81640625" style="1198" customWidth="1"/>
    <col min="9224" max="9224" width="11.08984375" style="1198" customWidth="1"/>
    <col min="9225" max="9225" width="16.26953125" style="1198" customWidth="1"/>
    <col min="9226" max="9226" width="8.08984375" style="1198" customWidth="1"/>
    <col min="9227" max="9227" width="30.26953125" style="1198" bestFit="1" customWidth="1"/>
    <col min="9228" max="9472" width="8.7265625" style="1198"/>
    <col min="9473" max="9473" width="8.36328125" style="1198" customWidth="1"/>
    <col min="9474" max="9474" width="16.54296875" style="1198" bestFit="1" customWidth="1"/>
    <col min="9475" max="9475" width="14.36328125" style="1198" bestFit="1" customWidth="1"/>
    <col min="9476" max="9477" width="14.36328125" style="1198" customWidth="1"/>
    <col min="9478" max="9478" width="15" style="1198" customWidth="1"/>
    <col min="9479" max="9479" width="13.81640625" style="1198" customWidth="1"/>
    <col min="9480" max="9480" width="11.08984375" style="1198" customWidth="1"/>
    <col min="9481" max="9481" width="16.26953125" style="1198" customWidth="1"/>
    <col min="9482" max="9482" width="8.08984375" style="1198" customWidth="1"/>
    <col min="9483" max="9483" width="30.26953125" style="1198" bestFit="1" customWidth="1"/>
    <col min="9484" max="9728" width="8.7265625" style="1198"/>
    <col min="9729" max="9729" width="8.36328125" style="1198" customWidth="1"/>
    <col min="9730" max="9730" width="16.54296875" style="1198" bestFit="1" customWidth="1"/>
    <col min="9731" max="9731" width="14.36328125" style="1198" bestFit="1" customWidth="1"/>
    <col min="9732" max="9733" width="14.36328125" style="1198" customWidth="1"/>
    <col min="9734" max="9734" width="15" style="1198" customWidth="1"/>
    <col min="9735" max="9735" width="13.81640625" style="1198" customWidth="1"/>
    <col min="9736" max="9736" width="11.08984375" style="1198" customWidth="1"/>
    <col min="9737" max="9737" width="16.26953125" style="1198" customWidth="1"/>
    <col min="9738" max="9738" width="8.08984375" style="1198" customWidth="1"/>
    <col min="9739" max="9739" width="30.26953125" style="1198" bestFit="1" customWidth="1"/>
    <col min="9740" max="9984" width="8.7265625" style="1198"/>
    <col min="9985" max="9985" width="8.36328125" style="1198" customWidth="1"/>
    <col min="9986" max="9986" width="16.54296875" style="1198" bestFit="1" customWidth="1"/>
    <col min="9987" max="9987" width="14.36328125" style="1198" bestFit="1" customWidth="1"/>
    <col min="9988" max="9989" width="14.36328125" style="1198" customWidth="1"/>
    <col min="9990" max="9990" width="15" style="1198" customWidth="1"/>
    <col min="9991" max="9991" width="13.81640625" style="1198" customWidth="1"/>
    <col min="9992" max="9992" width="11.08984375" style="1198" customWidth="1"/>
    <col min="9993" max="9993" width="16.26953125" style="1198" customWidth="1"/>
    <col min="9994" max="9994" width="8.08984375" style="1198" customWidth="1"/>
    <col min="9995" max="9995" width="30.26953125" style="1198" bestFit="1" customWidth="1"/>
    <col min="9996" max="10240" width="8.7265625" style="1198"/>
    <col min="10241" max="10241" width="8.36328125" style="1198" customWidth="1"/>
    <col min="10242" max="10242" width="16.54296875" style="1198" bestFit="1" customWidth="1"/>
    <col min="10243" max="10243" width="14.36328125" style="1198" bestFit="1" customWidth="1"/>
    <col min="10244" max="10245" width="14.36328125" style="1198" customWidth="1"/>
    <col min="10246" max="10246" width="15" style="1198" customWidth="1"/>
    <col min="10247" max="10247" width="13.81640625" style="1198" customWidth="1"/>
    <col min="10248" max="10248" width="11.08984375" style="1198" customWidth="1"/>
    <col min="10249" max="10249" width="16.26953125" style="1198" customWidth="1"/>
    <col min="10250" max="10250" width="8.08984375" style="1198" customWidth="1"/>
    <col min="10251" max="10251" width="30.26953125" style="1198" bestFit="1" customWidth="1"/>
    <col min="10252" max="10496" width="8.7265625" style="1198"/>
    <col min="10497" max="10497" width="8.36328125" style="1198" customWidth="1"/>
    <col min="10498" max="10498" width="16.54296875" style="1198" bestFit="1" customWidth="1"/>
    <col min="10499" max="10499" width="14.36328125" style="1198" bestFit="1" customWidth="1"/>
    <col min="10500" max="10501" width="14.36328125" style="1198" customWidth="1"/>
    <col min="10502" max="10502" width="15" style="1198" customWidth="1"/>
    <col min="10503" max="10503" width="13.81640625" style="1198" customWidth="1"/>
    <col min="10504" max="10504" width="11.08984375" style="1198" customWidth="1"/>
    <col min="10505" max="10505" width="16.26953125" style="1198" customWidth="1"/>
    <col min="10506" max="10506" width="8.08984375" style="1198" customWidth="1"/>
    <col min="10507" max="10507" width="30.26953125" style="1198" bestFit="1" customWidth="1"/>
    <col min="10508" max="10752" width="8.7265625" style="1198"/>
    <col min="10753" max="10753" width="8.36328125" style="1198" customWidth="1"/>
    <col min="10754" max="10754" width="16.54296875" style="1198" bestFit="1" customWidth="1"/>
    <col min="10755" max="10755" width="14.36328125" style="1198" bestFit="1" customWidth="1"/>
    <col min="10756" max="10757" width="14.36328125" style="1198" customWidth="1"/>
    <col min="10758" max="10758" width="15" style="1198" customWidth="1"/>
    <col min="10759" max="10759" width="13.81640625" style="1198" customWidth="1"/>
    <col min="10760" max="10760" width="11.08984375" style="1198" customWidth="1"/>
    <col min="10761" max="10761" width="16.26953125" style="1198" customWidth="1"/>
    <col min="10762" max="10762" width="8.08984375" style="1198" customWidth="1"/>
    <col min="10763" max="10763" width="30.26953125" style="1198" bestFit="1" customWidth="1"/>
    <col min="10764" max="11008" width="8.7265625" style="1198"/>
    <col min="11009" max="11009" width="8.36328125" style="1198" customWidth="1"/>
    <col min="11010" max="11010" width="16.54296875" style="1198" bestFit="1" customWidth="1"/>
    <col min="11011" max="11011" width="14.36328125" style="1198" bestFit="1" customWidth="1"/>
    <col min="11012" max="11013" width="14.36328125" style="1198" customWidth="1"/>
    <col min="11014" max="11014" width="15" style="1198" customWidth="1"/>
    <col min="11015" max="11015" width="13.81640625" style="1198" customWidth="1"/>
    <col min="11016" max="11016" width="11.08984375" style="1198" customWidth="1"/>
    <col min="11017" max="11017" width="16.26953125" style="1198" customWidth="1"/>
    <col min="11018" max="11018" width="8.08984375" style="1198" customWidth="1"/>
    <col min="11019" max="11019" width="30.26953125" style="1198" bestFit="1" customWidth="1"/>
    <col min="11020" max="11264" width="8.7265625" style="1198"/>
    <col min="11265" max="11265" width="8.36328125" style="1198" customWidth="1"/>
    <col min="11266" max="11266" width="16.54296875" style="1198" bestFit="1" customWidth="1"/>
    <col min="11267" max="11267" width="14.36328125" style="1198" bestFit="1" customWidth="1"/>
    <col min="11268" max="11269" width="14.36328125" style="1198" customWidth="1"/>
    <col min="11270" max="11270" width="15" style="1198" customWidth="1"/>
    <col min="11271" max="11271" width="13.81640625" style="1198" customWidth="1"/>
    <col min="11272" max="11272" width="11.08984375" style="1198" customWidth="1"/>
    <col min="11273" max="11273" width="16.26953125" style="1198" customWidth="1"/>
    <col min="11274" max="11274" width="8.08984375" style="1198" customWidth="1"/>
    <col min="11275" max="11275" width="30.26953125" style="1198" bestFit="1" customWidth="1"/>
    <col min="11276" max="11520" width="8.7265625" style="1198"/>
    <col min="11521" max="11521" width="8.36328125" style="1198" customWidth="1"/>
    <col min="11522" max="11522" width="16.54296875" style="1198" bestFit="1" customWidth="1"/>
    <col min="11523" max="11523" width="14.36328125" style="1198" bestFit="1" customWidth="1"/>
    <col min="11524" max="11525" width="14.36328125" style="1198" customWidth="1"/>
    <col min="11526" max="11526" width="15" style="1198" customWidth="1"/>
    <col min="11527" max="11527" width="13.81640625" style="1198" customWidth="1"/>
    <col min="11528" max="11528" width="11.08984375" style="1198" customWidth="1"/>
    <col min="11529" max="11529" width="16.26953125" style="1198" customWidth="1"/>
    <col min="11530" max="11530" width="8.08984375" style="1198" customWidth="1"/>
    <col min="11531" max="11531" width="30.26953125" style="1198" bestFit="1" customWidth="1"/>
    <col min="11532" max="11776" width="8.7265625" style="1198"/>
    <col min="11777" max="11777" width="8.36328125" style="1198" customWidth="1"/>
    <col min="11778" max="11778" width="16.54296875" style="1198" bestFit="1" customWidth="1"/>
    <col min="11779" max="11779" width="14.36328125" style="1198" bestFit="1" customWidth="1"/>
    <col min="11780" max="11781" width="14.36328125" style="1198" customWidth="1"/>
    <col min="11782" max="11782" width="15" style="1198" customWidth="1"/>
    <col min="11783" max="11783" width="13.81640625" style="1198" customWidth="1"/>
    <col min="11784" max="11784" width="11.08984375" style="1198" customWidth="1"/>
    <col min="11785" max="11785" width="16.26953125" style="1198" customWidth="1"/>
    <col min="11786" max="11786" width="8.08984375" style="1198" customWidth="1"/>
    <col min="11787" max="11787" width="30.26953125" style="1198" bestFit="1" customWidth="1"/>
    <col min="11788" max="12032" width="8.7265625" style="1198"/>
    <col min="12033" max="12033" width="8.36328125" style="1198" customWidth="1"/>
    <col min="12034" max="12034" width="16.54296875" style="1198" bestFit="1" customWidth="1"/>
    <col min="12035" max="12035" width="14.36328125" style="1198" bestFit="1" customWidth="1"/>
    <col min="12036" max="12037" width="14.36328125" style="1198" customWidth="1"/>
    <col min="12038" max="12038" width="15" style="1198" customWidth="1"/>
    <col min="12039" max="12039" width="13.81640625" style="1198" customWidth="1"/>
    <col min="12040" max="12040" width="11.08984375" style="1198" customWidth="1"/>
    <col min="12041" max="12041" width="16.26953125" style="1198" customWidth="1"/>
    <col min="12042" max="12042" width="8.08984375" style="1198" customWidth="1"/>
    <col min="12043" max="12043" width="30.26953125" style="1198" bestFit="1" customWidth="1"/>
    <col min="12044" max="12288" width="8.7265625" style="1198"/>
    <col min="12289" max="12289" width="8.36328125" style="1198" customWidth="1"/>
    <col min="12290" max="12290" width="16.54296875" style="1198" bestFit="1" customWidth="1"/>
    <col min="12291" max="12291" width="14.36328125" style="1198" bestFit="1" customWidth="1"/>
    <col min="12292" max="12293" width="14.36328125" style="1198" customWidth="1"/>
    <col min="12294" max="12294" width="15" style="1198" customWidth="1"/>
    <col min="12295" max="12295" width="13.81640625" style="1198" customWidth="1"/>
    <col min="12296" max="12296" width="11.08984375" style="1198" customWidth="1"/>
    <col min="12297" max="12297" width="16.26953125" style="1198" customWidth="1"/>
    <col min="12298" max="12298" width="8.08984375" style="1198" customWidth="1"/>
    <col min="12299" max="12299" width="30.26953125" style="1198" bestFit="1" customWidth="1"/>
    <col min="12300" max="12544" width="8.7265625" style="1198"/>
    <col min="12545" max="12545" width="8.36328125" style="1198" customWidth="1"/>
    <col min="12546" max="12546" width="16.54296875" style="1198" bestFit="1" customWidth="1"/>
    <col min="12547" max="12547" width="14.36328125" style="1198" bestFit="1" customWidth="1"/>
    <col min="12548" max="12549" width="14.36328125" style="1198" customWidth="1"/>
    <col min="12550" max="12550" width="15" style="1198" customWidth="1"/>
    <col min="12551" max="12551" width="13.81640625" style="1198" customWidth="1"/>
    <col min="12552" max="12552" width="11.08984375" style="1198" customWidth="1"/>
    <col min="12553" max="12553" width="16.26953125" style="1198" customWidth="1"/>
    <col min="12554" max="12554" width="8.08984375" style="1198" customWidth="1"/>
    <col min="12555" max="12555" width="30.26953125" style="1198" bestFit="1" customWidth="1"/>
    <col min="12556" max="12800" width="8.7265625" style="1198"/>
    <col min="12801" max="12801" width="8.36328125" style="1198" customWidth="1"/>
    <col min="12802" max="12802" width="16.54296875" style="1198" bestFit="1" customWidth="1"/>
    <col min="12803" max="12803" width="14.36328125" style="1198" bestFit="1" customWidth="1"/>
    <col min="12804" max="12805" width="14.36328125" style="1198" customWidth="1"/>
    <col min="12806" max="12806" width="15" style="1198" customWidth="1"/>
    <col min="12807" max="12807" width="13.81640625" style="1198" customWidth="1"/>
    <col min="12808" max="12808" width="11.08984375" style="1198" customWidth="1"/>
    <col min="12809" max="12809" width="16.26953125" style="1198" customWidth="1"/>
    <col min="12810" max="12810" width="8.08984375" style="1198" customWidth="1"/>
    <col min="12811" max="12811" width="30.26953125" style="1198" bestFit="1" customWidth="1"/>
    <col min="12812" max="13056" width="8.7265625" style="1198"/>
    <col min="13057" max="13057" width="8.36328125" style="1198" customWidth="1"/>
    <col min="13058" max="13058" width="16.54296875" style="1198" bestFit="1" customWidth="1"/>
    <col min="13059" max="13059" width="14.36328125" style="1198" bestFit="1" customWidth="1"/>
    <col min="13060" max="13061" width="14.36328125" style="1198" customWidth="1"/>
    <col min="13062" max="13062" width="15" style="1198" customWidth="1"/>
    <col min="13063" max="13063" width="13.81640625" style="1198" customWidth="1"/>
    <col min="13064" max="13064" width="11.08984375" style="1198" customWidth="1"/>
    <col min="13065" max="13065" width="16.26953125" style="1198" customWidth="1"/>
    <col min="13066" max="13066" width="8.08984375" style="1198" customWidth="1"/>
    <col min="13067" max="13067" width="30.26953125" style="1198" bestFit="1" customWidth="1"/>
    <col min="13068" max="13312" width="8.7265625" style="1198"/>
    <col min="13313" max="13313" width="8.36328125" style="1198" customWidth="1"/>
    <col min="13314" max="13314" width="16.54296875" style="1198" bestFit="1" customWidth="1"/>
    <col min="13315" max="13315" width="14.36328125" style="1198" bestFit="1" customWidth="1"/>
    <col min="13316" max="13317" width="14.36328125" style="1198" customWidth="1"/>
    <col min="13318" max="13318" width="15" style="1198" customWidth="1"/>
    <col min="13319" max="13319" width="13.81640625" style="1198" customWidth="1"/>
    <col min="13320" max="13320" width="11.08984375" style="1198" customWidth="1"/>
    <col min="13321" max="13321" width="16.26953125" style="1198" customWidth="1"/>
    <col min="13322" max="13322" width="8.08984375" style="1198" customWidth="1"/>
    <col min="13323" max="13323" width="30.26953125" style="1198" bestFit="1" customWidth="1"/>
    <col min="13324" max="13568" width="8.7265625" style="1198"/>
    <col min="13569" max="13569" width="8.36328125" style="1198" customWidth="1"/>
    <col min="13570" max="13570" width="16.54296875" style="1198" bestFit="1" customWidth="1"/>
    <col min="13571" max="13571" width="14.36328125" style="1198" bestFit="1" customWidth="1"/>
    <col min="13572" max="13573" width="14.36328125" style="1198" customWidth="1"/>
    <col min="13574" max="13574" width="15" style="1198" customWidth="1"/>
    <col min="13575" max="13575" width="13.81640625" style="1198" customWidth="1"/>
    <col min="13576" max="13576" width="11.08984375" style="1198" customWidth="1"/>
    <col min="13577" max="13577" width="16.26953125" style="1198" customWidth="1"/>
    <col min="13578" max="13578" width="8.08984375" style="1198" customWidth="1"/>
    <col min="13579" max="13579" width="30.26953125" style="1198" bestFit="1" customWidth="1"/>
    <col min="13580" max="13824" width="8.7265625" style="1198"/>
    <col min="13825" max="13825" width="8.36328125" style="1198" customWidth="1"/>
    <col min="13826" max="13826" width="16.54296875" style="1198" bestFit="1" customWidth="1"/>
    <col min="13827" max="13827" width="14.36328125" style="1198" bestFit="1" customWidth="1"/>
    <col min="13828" max="13829" width="14.36328125" style="1198" customWidth="1"/>
    <col min="13830" max="13830" width="15" style="1198" customWidth="1"/>
    <col min="13831" max="13831" width="13.81640625" style="1198" customWidth="1"/>
    <col min="13832" max="13832" width="11.08984375" style="1198" customWidth="1"/>
    <col min="13833" max="13833" width="16.26953125" style="1198" customWidth="1"/>
    <col min="13834" max="13834" width="8.08984375" style="1198" customWidth="1"/>
    <col min="13835" max="13835" width="30.26953125" style="1198" bestFit="1" customWidth="1"/>
    <col min="13836" max="14080" width="8.7265625" style="1198"/>
    <col min="14081" max="14081" width="8.36328125" style="1198" customWidth="1"/>
    <col min="14082" max="14082" width="16.54296875" style="1198" bestFit="1" customWidth="1"/>
    <col min="14083" max="14083" width="14.36328125" style="1198" bestFit="1" customWidth="1"/>
    <col min="14084" max="14085" width="14.36328125" style="1198" customWidth="1"/>
    <col min="14086" max="14086" width="15" style="1198" customWidth="1"/>
    <col min="14087" max="14087" width="13.81640625" style="1198" customWidth="1"/>
    <col min="14088" max="14088" width="11.08984375" style="1198" customWidth="1"/>
    <col min="14089" max="14089" width="16.26953125" style="1198" customWidth="1"/>
    <col min="14090" max="14090" width="8.08984375" style="1198" customWidth="1"/>
    <col min="14091" max="14091" width="30.26953125" style="1198" bestFit="1" customWidth="1"/>
    <col min="14092" max="14336" width="8.7265625" style="1198"/>
    <col min="14337" max="14337" width="8.36328125" style="1198" customWidth="1"/>
    <col min="14338" max="14338" width="16.54296875" style="1198" bestFit="1" customWidth="1"/>
    <col min="14339" max="14339" width="14.36328125" style="1198" bestFit="1" customWidth="1"/>
    <col min="14340" max="14341" width="14.36328125" style="1198" customWidth="1"/>
    <col min="14342" max="14342" width="15" style="1198" customWidth="1"/>
    <col min="14343" max="14343" width="13.81640625" style="1198" customWidth="1"/>
    <col min="14344" max="14344" width="11.08984375" style="1198" customWidth="1"/>
    <col min="14345" max="14345" width="16.26953125" style="1198" customWidth="1"/>
    <col min="14346" max="14346" width="8.08984375" style="1198" customWidth="1"/>
    <col min="14347" max="14347" width="30.26953125" style="1198" bestFit="1" customWidth="1"/>
    <col min="14348" max="14592" width="8.7265625" style="1198"/>
    <col min="14593" max="14593" width="8.36328125" style="1198" customWidth="1"/>
    <col min="14594" max="14594" width="16.54296875" style="1198" bestFit="1" customWidth="1"/>
    <col min="14595" max="14595" width="14.36328125" style="1198" bestFit="1" customWidth="1"/>
    <col min="14596" max="14597" width="14.36328125" style="1198" customWidth="1"/>
    <col min="14598" max="14598" width="15" style="1198" customWidth="1"/>
    <col min="14599" max="14599" width="13.81640625" style="1198" customWidth="1"/>
    <col min="14600" max="14600" width="11.08984375" style="1198" customWidth="1"/>
    <col min="14601" max="14601" width="16.26953125" style="1198" customWidth="1"/>
    <col min="14602" max="14602" width="8.08984375" style="1198" customWidth="1"/>
    <col min="14603" max="14603" width="30.26953125" style="1198" bestFit="1" customWidth="1"/>
    <col min="14604" max="14848" width="8.7265625" style="1198"/>
    <col min="14849" max="14849" width="8.36328125" style="1198" customWidth="1"/>
    <col min="14850" max="14850" width="16.54296875" style="1198" bestFit="1" customWidth="1"/>
    <col min="14851" max="14851" width="14.36328125" style="1198" bestFit="1" customWidth="1"/>
    <col min="14852" max="14853" width="14.36328125" style="1198" customWidth="1"/>
    <col min="14854" max="14854" width="15" style="1198" customWidth="1"/>
    <col min="14855" max="14855" width="13.81640625" style="1198" customWidth="1"/>
    <col min="14856" max="14856" width="11.08984375" style="1198" customWidth="1"/>
    <col min="14857" max="14857" width="16.26953125" style="1198" customWidth="1"/>
    <col min="14858" max="14858" width="8.08984375" style="1198" customWidth="1"/>
    <col min="14859" max="14859" width="30.26953125" style="1198" bestFit="1" customWidth="1"/>
    <col min="14860" max="15104" width="8.7265625" style="1198"/>
    <col min="15105" max="15105" width="8.36328125" style="1198" customWidth="1"/>
    <col min="15106" max="15106" width="16.54296875" style="1198" bestFit="1" customWidth="1"/>
    <col min="15107" max="15107" width="14.36328125" style="1198" bestFit="1" customWidth="1"/>
    <col min="15108" max="15109" width="14.36328125" style="1198" customWidth="1"/>
    <col min="15110" max="15110" width="15" style="1198" customWidth="1"/>
    <col min="15111" max="15111" width="13.81640625" style="1198" customWidth="1"/>
    <col min="15112" max="15112" width="11.08984375" style="1198" customWidth="1"/>
    <col min="15113" max="15113" width="16.26953125" style="1198" customWidth="1"/>
    <col min="15114" max="15114" width="8.08984375" style="1198" customWidth="1"/>
    <col min="15115" max="15115" width="30.26953125" style="1198" bestFit="1" customWidth="1"/>
    <col min="15116" max="15360" width="8.7265625" style="1198"/>
    <col min="15361" max="15361" width="8.36328125" style="1198" customWidth="1"/>
    <col min="15362" max="15362" width="16.54296875" style="1198" bestFit="1" customWidth="1"/>
    <col min="15363" max="15363" width="14.36328125" style="1198" bestFit="1" customWidth="1"/>
    <col min="15364" max="15365" width="14.36328125" style="1198" customWidth="1"/>
    <col min="15366" max="15366" width="15" style="1198" customWidth="1"/>
    <col min="15367" max="15367" width="13.81640625" style="1198" customWidth="1"/>
    <col min="15368" max="15368" width="11.08984375" style="1198" customWidth="1"/>
    <col min="15369" max="15369" width="16.26953125" style="1198" customWidth="1"/>
    <col min="15370" max="15370" width="8.08984375" style="1198" customWidth="1"/>
    <col min="15371" max="15371" width="30.26953125" style="1198" bestFit="1" customWidth="1"/>
    <col min="15372" max="15616" width="8.7265625" style="1198"/>
    <col min="15617" max="15617" width="8.36328125" style="1198" customWidth="1"/>
    <col min="15618" max="15618" width="16.54296875" style="1198" bestFit="1" customWidth="1"/>
    <col min="15619" max="15619" width="14.36328125" style="1198" bestFit="1" customWidth="1"/>
    <col min="15620" max="15621" width="14.36328125" style="1198" customWidth="1"/>
    <col min="15622" max="15622" width="15" style="1198" customWidth="1"/>
    <col min="15623" max="15623" width="13.81640625" style="1198" customWidth="1"/>
    <col min="15624" max="15624" width="11.08984375" style="1198" customWidth="1"/>
    <col min="15625" max="15625" width="16.26953125" style="1198" customWidth="1"/>
    <col min="15626" max="15626" width="8.08984375" style="1198" customWidth="1"/>
    <col min="15627" max="15627" width="30.26953125" style="1198" bestFit="1" customWidth="1"/>
    <col min="15628" max="15872" width="8.7265625" style="1198"/>
    <col min="15873" max="15873" width="8.36328125" style="1198" customWidth="1"/>
    <col min="15874" max="15874" width="16.54296875" style="1198" bestFit="1" customWidth="1"/>
    <col min="15875" max="15875" width="14.36328125" style="1198" bestFit="1" customWidth="1"/>
    <col min="15876" max="15877" width="14.36328125" style="1198" customWidth="1"/>
    <col min="15878" max="15878" width="15" style="1198" customWidth="1"/>
    <col min="15879" max="15879" width="13.81640625" style="1198" customWidth="1"/>
    <col min="15880" max="15880" width="11.08984375" style="1198" customWidth="1"/>
    <col min="15881" max="15881" width="16.26953125" style="1198" customWidth="1"/>
    <col min="15882" max="15882" width="8.08984375" style="1198" customWidth="1"/>
    <col min="15883" max="15883" width="30.26953125" style="1198" bestFit="1" customWidth="1"/>
    <col min="15884" max="16128" width="8.7265625" style="1198"/>
    <col min="16129" max="16129" width="8.36328125" style="1198" customWidth="1"/>
    <col min="16130" max="16130" width="16.54296875" style="1198" bestFit="1" customWidth="1"/>
    <col min="16131" max="16131" width="14.36328125" style="1198" bestFit="1" customWidth="1"/>
    <col min="16132" max="16133" width="14.36328125" style="1198" customWidth="1"/>
    <col min="16134" max="16134" width="15" style="1198" customWidth="1"/>
    <col min="16135" max="16135" width="13.81640625" style="1198" customWidth="1"/>
    <col min="16136" max="16136" width="11.08984375" style="1198" customWidth="1"/>
    <col min="16137" max="16137" width="16.26953125" style="1198" customWidth="1"/>
    <col min="16138" max="16138" width="8.08984375" style="1198" customWidth="1"/>
    <col min="16139" max="16139" width="30.26953125" style="1198" bestFit="1" customWidth="1"/>
    <col min="16140" max="16384" width="8.7265625" style="1198"/>
  </cols>
  <sheetData>
    <row r="1" spans="1:11" ht="13">
      <c r="A1" s="1602" t="s">
        <v>3449</v>
      </c>
      <c r="B1" s="1603"/>
      <c r="C1" s="1603"/>
      <c r="D1" s="1603"/>
      <c r="E1" s="1603"/>
      <c r="F1" s="1603"/>
      <c r="G1" s="1603"/>
      <c r="H1" s="1603"/>
      <c r="I1" s="1603"/>
      <c r="J1" s="1603"/>
      <c r="K1" s="1603"/>
    </row>
    <row r="2" spans="1:11" ht="66.5" customHeight="1">
      <c r="A2" s="1199" t="s">
        <v>2877</v>
      </c>
      <c r="B2" s="1199" t="s">
        <v>3267</v>
      </c>
      <c r="C2" s="1200" t="s">
        <v>3432</v>
      </c>
      <c r="D2" s="1200" t="s">
        <v>3433</v>
      </c>
      <c r="E2" s="1209" t="s">
        <v>3434</v>
      </c>
      <c r="F2" s="1200" t="s">
        <v>3435</v>
      </c>
      <c r="G2" s="1200" t="s">
        <v>3436</v>
      </c>
      <c r="H2" s="1209" t="s">
        <v>3437</v>
      </c>
      <c r="I2" s="1209" t="s">
        <v>3450</v>
      </c>
      <c r="J2" s="1200" t="s">
        <v>593</v>
      </c>
      <c r="K2" s="1199" t="s">
        <v>19</v>
      </c>
    </row>
    <row r="3" spans="1:11" ht="13">
      <c r="A3" s="1597" t="s">
        <v>1675</v>
      </c>
      <c r="B3" s="1201" t="s">
        <v>3268</v>
      </c>
      <c r="C3" s="1205">
        <v>76</v>
      </c>
      <c r="D3" s="1205">
        <v>125</v>
      </c>
      <c r="E3" s="1204">
        <f>C3+D3</f>
        <v>201</v>
      </c>
      <c r="F3" s="1205">
        <v>84</v>
      </c>
      <c r="G3" s="1205">
        <v>98</v>
      </c>
      <c r="H3" s="1204">
        <f>F3+G3</f>
        <v>182</v>
      </c>
      <c r="I3" s="1204"/>
      <c r="J3" s="1205">
        <f>E3-H3-I3</f>
        <v>19</v>
      </c>
      <c r="K3" s="1205"/>
    </row>
    <row r="4" spans="1:11" ht="13">
      <c r="A4" s="1597"/>
      <c r="B4" s="1210" t="s">
        <v>3269</v>
      </c>
      <c r="C4" s="1205">
        <v>52</v>
      </c>
      <c r="D4" s="1205">
        <v>88</v>
      </c>
      <c r="E4" s="1204">
        <f t="shared" ref="E4:E31" si="0">C4+D4</f>
        <v>140</v>
      </c>
      <c r="F4" s="1205">
        <v>62</v>
      </c>
      <c r="G4" s="1205">
        <v>59</v>
      </c>
      <c r="H4" s="1204">
        <f t="shared" ref="H4:H31" si="1">F4+G4</f>
        <v>121</v>
      </c>
      <c r="I4" s="1204"/>
      <c r="J4" s="1205">
        <f t="shared" ref="J4:J31" si="2">E4-H4-I4</f>
        <v>19</v>
      </c>
      <c r="K4" s="1205"/>
    </row>
    <row r="5" spans="1:11" ht="13">
      <c r="A5" s="1597"/>
      <c r="B5" s="1210" t="s">
        <v>3270</v>
      </c>
      <c r="C5" s="1205">
        <v>24</v>
      </c>
      <c r="D5" s="1205">
        <v>37</v>
      </c>
      <c r="E5" s="1204">
        <f t="shared" si="0"/>
        <v>61</v>
      </c>
      <c r="F5" s="1205">
        <v>22</v>
      </c>
      <c r="G5" s="1205">
        <v>39</v>
      </c>
      <c r="H5" s="1204">
        <f t="shared" si="1"/>
        <v>61</v>
      </c>
      <c r="I5" s="1204"/>
      <c r="J5" s="1205">
        <f t="shared" si="2"/>
        <v>0</v>
      </c>
      <c r="K5" s="1205"/>
    </row>
    <row r="6" spans="1:11" ht="13">
      <c r="A6" s="1597"/>
      <c r="B6" s="1210" t="s">
        <v>3271</v>
      </c>
      <c r="C6" s="1205">
        <v>10</v>
      </c>
      <c r="D6" s="1205">
        <v>14</v>
      </c>
      <c r="E6" s="1204">
        <f t="shared" si="0"/>
        <v>24</v>
      </c>
      <c r="F6" s="1205">
        <v>10</v>
      </c>
      <c r="G6" s="1205">
        <v>14</v>
      </c>
      <c r="H6" s="1204">
        <f t="shared" si="1"/>
        <v>24</v>
      </c>
      <c r="I6" s="1204"/>
      <c r="J6" s="1205">
        <f t="shared" si="2"/>
        <v>0</v>
      </c>
      <c r="K6" s="1205"/>
    </row>
    <row r="7" spans="1:11" ht="13">
      <c r="A7" s="1597"/>
      <c r="B7" s="1210" t="s">
        <v>3272</v>
      </c>
      <c r="C7" s="1205">
        <v>2</v>
      </c>
      <c r="D7" s="1205">
        <v>5</v>
      </c>
      <c r="E7" s="1204">
        <f t="shared" si="0"/>
        <v>7</v>
      </c>
      <c r="F7" s="1205">
        <v>2</v>
      </c>
      <c r="G7" s="1205">
        <v>3</v>
      </c>
      <c r="H7" s="1204">
        <f t="shared" si="1"/>
        <v>5</v>
      </c>
      <c r="I7" s="1204"/>
      <c r="J7" s="1205">
        <f t="shared" si="2"/>
        <v>2</v>
      </c>
      <c r="K7" s="1205"/>
    </row>
    <row r="8" spans="1:11" ht="7.5" customHeight="1">
      <c r="A8" s="1201"/>
      <c r="B8" s="1201"/>
      <c r="C8" s="1205"/>
      <c r="D8" s="1205"/>
      <c r="E8" s="1204">
        <f t="shared" si="0"/>
        <v>0</v>
      </c>
      <c r="F8" s="1205">
        <v>0</v>
      </c>
      <c r="G8" s="1205">
        <v>0</v>
      </c>
      <c r="H8" s="1204">
        <f t="shared" si="1"/>
        <v>0</v>
      </c>
      <c r="I8" s="1204"/>
      <c r="J8" s="1205">
        <f t="shared" si="2"/>
        <v>0</v>
      </c>
      <c r="K8" s="1205"/>
    </row>
    <row r="9" spans="1:11" ht="13">
      <c r="A9" s="1597" t="s">
        <v>2397</v>
      </c>
      <c r="B9" s="1201" t="s">
        <v>3268</v>
      </c>
      <c r="C9" s="1205">
        <v>17</v>
      </c>
      <c r="D9" s="1205">
        <v>39</v>
      </c>
      <c r="E9" s="1204">
        <f t="shared" si="0"/>
        <v>56</v>
      </c>
      <c r="F9" s="1205">
        <v>7</v>
      </c>
      <c r="G9" s="1205">
        <v>39</v>
      </c>
      <c r="H9" s="1204">
        <f t="shared" si="1"/>
        <v>46</v>
      </c>
      <c r="I9" s="1204"/>
      <c r="J9" s="1205">
        <f t="shared" si="2"/>
        <v>10</v>
      </c>
      <c r="K9" s="1205"/>
    </row>
    <row r="10" spans="1:11" ht="13">
      <c r="A10" s="1597"/>
      <c r="B10" s="1210" t="s">
        <v>3269</v>
      </c>
      <c r="C10" s="1205">
        <v>16</v>
      </c>
      <c r="D10" s="1205">
        <v>33</v>
      </c>
      <c r="E10" s="1204">
        <f t="shared" si="0"/>
        <v>49</v>
      </c>
      <c r="F10" s="1205">
        <v>6</v>
      </c>
      <c r="G10" s="1205">
        <v>33</v>
      </c>
      <c r="H10" s="1204">
        <f t="shared" si="1"/>
        <v>39</v>
      </c>
      <c r="I10" s="1204"/>
      <c r="J10" s="1205">
        <f t="shared" si="2"/>
        <v>10</v>
      </c>
      <c r="K10" s="1205"/>
    </row>
    <row r="11" spans="1:11" ht="13">
      <c r="A11" s="1597"/>
      <c r="B11" s="1210" t="s">
        <v>3270</v>
      </c>
      <c r="C11" s="1205">
        <v>1</v>
      </c>
      <c r="D11" s="1205">
        <v>6</v>
      </c>
      <c r="E11" s="1204">
        <f t="shared" si="0"/>
        <v>7</v>
      </c>
      <c r="F11" s="1205">
        <v>1</v>
      </c>
      <c r="G11" s="1205">
        <v>6</v>
      </c>
      <c r="H11" s="1204">
        <f t="shared" si="1"/>
        <v>7</v>
      </c>
      <c r="I11" s="1204"/>
      <c r="J11" s="1205">
        <f t="shared" si="2"/>
        <v>0</v>
      </c>
      <c r="K11" s="1205"/>
    </row>
    <row r="12" spans="1:11" ht="13">
      <c r="A12" s="1597"/>
      <c r="B12" s="1210" t="s">
        <v>3271</v>
      </c>
      <c r="C12" s="1205">
        <v>1</v>
      </c>
      <c r="D12" s="1205">
        <v>4</v>
      </c>
      <c r="E12" s="1204">
        <f t="shared" si="0"/>
        <v>5</v>
      </c>
      <c r="F12" s="1205">
        <v>1</v>
      </c>
      <c r="G12" s="1205">
        <v>2</v>
      </c>
      <c r="H12" s="1204">
        <f t="shared" si="1"/>
        <v>3</v>
      </c>
      <c r="I12" s="1204"/>
      <c r="J12" s="1205">
        <f t="shared" si="2"/>
        <v>2</v>
      </c>
      <c r="K12" s="1205"/>
    </row>
    <row r="13" spans="1:11" ht="13">
      <c r="A13" s="1597"/>
      <c r="B13" s="1210" t="s">
        <v>3272</v>
      </c>
      <c r="C13" s="1205">
        <v>2</v>
      </c>
      <c r="D13" s="1205">
        <v>6</v>
      </c>
      <c r="E13" s="1204">
        <f t="shared" si="0"/>
        <v>8</v>
      </c>
      <c r="F13" s="1205">
        <v>2</v>
      </c>
      <c r="G13" s="1205">
        <v>5</v>
      </c>
      <c r="H13" s="1204">
        <f t="shared" si="1"/>
        <v>7</v>
      </c>
      <c r="I13" s="1204"/>
      <c r="J13" s="1205">
        <f t="shared" si="2"/>
        <v>1</v>
      </c>
      <c r="K13" s="1205"/>
    </row>
    <row r="14" spans="1:11" ht="7.5" customHeight="1">
      <c r="A14" s="1201"/>
      <c r="B14" s="1201"/>
      <c r="C14" s="1205"/>
      <c r="D14" s="1205"/>
      <c r="E14" s="1204">
        <f t="shared" si="0"/>
        <v>0</v>
      </c>
      <c r="F14" s="1205">
        <v>0</v>
      </c>
      <c r="G14" s="1205">
        <v>0</v>
      </c>
      <c r="H14" s="1204">
        <f t="shared" si="1"/>
        <v>0</v>
      </c>
      <c r="I14" s="1204"/>
      <c r="J14" s="1205">
        <f t="shared" si="2"/>
        <v>0</v>
      </c>
      <c r="K14" s="1205"/>
    </row>
    <row r="15" spans="1:11" ht="13">
      <c r="A15" s="1597" t="s">
        <v>2398</v>
      </c>
      <c r="B15" s="1201" t="s">
        <v>3268</v>
      </c>
      <c r="C15" s="1205">
        <v>13</v>
      </c>
      <c r="D15" s="1205">
        <v>32</v>
      </c>
      <c r="E15" s="1204">
        <f t="shared" si="0"/>
        <v>45</v>
      </c>
      <c r="F15" s="1205">
        <v>23</v>
      </c>
      <c r="G15" s="1205">
        <v>10</v>
      </c>
      <c r="H15" s="1204">
        <f t="shared" si="1"/>
        <v>33</v>
      </c>
      <c r="I15" s="1204">
        <f>2+2</f>
        <v>4</v>
      </c>
      <c r="J15" s="1205">
        <f t="shared" si="2"/>
        <v>8</v>
      </c>
      <c r="K15" s="1205"/>
    </row>
    <row r="16" spans="1:11" ht="13">
      <c r="A16" s="1597"/>
      <c r="B16" s="1210" t="s">
        <v>3269</v>
      </c>
      <c r="C16" s="1205">
        <v>9</v>
      </c>
      <c r="D16" s="1205">
        <v>25</v>
      </c>
      <c r="E16" s="1204">
        <f t="shared" si="0"/>
        <v>34</v>
      </c>
      <c r="F16" s="1205">
        <v>20</v>
      </c>
      <c r="G16" s="1205">
        <v>5</v>
      </c>
      <c r="H16" s="1204">
        <f t="shared" si="1"/>
        <v>25</v>
      </c>
      <c r="I16" s="1204">
        <f>1+1</f>
        <v>2</v>
      </c>
      <c r="J16" s="1205">
        <f t="shared" si="2"/>
        <v>7</v>
      </c>
      <c r="K16" s="1205"/>
    </row>
    <row r="17" spans="1:11" ht="13">
      <c r="A17" s="1597"/>
      <c r="B17" s="1210" t="s">
        <v>3270</v>
      </c>
      <c r="C17" s="1205">
        <v>4</v>
      </c>
      <c r="D17" s="1205">
        <v>7</v>
      </c>
      <c r="E17" s="1204">
        <f t="shared" si="0"/>
        <v>11</v>
      </c>
      <c r="F17" s="1205">
        <v>3</v>
      </c>
      <c r="G17" s="1205">
        <v>5</v>
      </c>
      <c r="H17" s="1204">
        <f t="shared" si="1"/>
        <v>8</v>
      </c>
      <c r="I17" s="1204">
        <f>1+1</f>
        <v>2</v>
      </c>
      <c r="J17" s="1205">
        <f t="shared" si="2"/>
        <v>1</v>
      </c>
      <c r="K17" s="1205"/>
    </row>
    <row r="18" spans="1:11" ht="13">
      <c r="A18" s="1597"/>
      <c r="B18" s="1210" t="s">
        <v>3271</v>
      </c>
      <c r="C18" s="1205">
        <v>1</v>
      </c>
      <c r="D18" s="1205">
        <v>2</v>
      </c>
      <c r="E18" s="1204">
        <f t="shared" si="0"/>
        <v>3</v>
      </c>
      <c r="F18" s="1205">
        <v>0</v>
      </c>
      <c r="G18" s="1205">
        <v>2</v>
      </c>
      <c r="H18" s="1204">
        <f t="shared" si="1"/>
        <v>2</v>
      </c>
      <c r="I18" s="1204"/>
      <c r="J18" s="1205">
        <f t="shared" si="2"/>
        <v>1</v>
      </c>
      <c r="K18" s="1205"/>
    </row>
    <row r="19" spans="1:11" ht="13">
      <c r="A19" s="1597"/>
      <c r="B19" s="1210" t="s">
        <v>3272</v>
      </c>
      <c r="C19" s="1205">
        <v>2</v>
      </c>
      <c r="D19" s="1205">
        <v>4</v>
      </c>
      <c r="E19" s="1204">
        <f t="shared" si="0"/>
        <v>6</v>
      </c>
      <c r="F19" s="1205">
        <v>0</v>
      </c>
      <c r="G19" s="1205">
        <v>3</v>
      </c>
      <c r="H19" s="1204">
        <f t="shared" si="1"/>
        <v>3</v>
      </c>
      <c r="I19" s="1204">
        <f>1+1</f>
        <v>2</v>
      </c>
      <c r="J19" s="1205">
        <f t="shared" si="2"/>
        <v>1</v>
      </c>
      <c r="K19" s="1205"/>
    </row>
    <row r="20" spans="1:11" ht="7" customHeight="1">
      <c r="A20" s="1201"/>
      <c r="B20" s="1201"/>
      <c r="C20" s="1205"/>
      <c r="D20" s="1205"/>
      <c r="E20" s="1204">
        <f t="shared" si="0"/>
        <v>0</v>
      </c>
      <c r="F20" s="1205">
        <v>0</v>
      </c>
      <c r="G20" s="1205">
        <v>0</v>
      </c>
      <c r="H20" s="1204">
        <f t="shared" si="1"/>
        <v>0</v>
      </c>
      <c r="I20" s="1204"/>
      <c r="J20" s="1205">
        <f t="shared" si="2"/>
        <v>0</v>
      </c>
      <c r="K20" s="1205"/>
    </row>
    <row r="21" spans="1:11" ht="13">
      <c r="A21" s="1598" t="s">
        <v>2425</v>
      </c>
      <c r="B21" s="1201" t="s">
        <v>3268</v>
      </c>
      <c r="C21" s="1205">
        <v>21</v>
      </c>
      <c r="D21" s="1205">
        <v>44</v>
      </c>
      <c r="E21" s="1204">
        <f t="shared" si="0"/>
        <v>65</v>
      </c>
      <c r="F21" s="1205">
        <v>18</v>
      </c>
      <c r="G21" s="1205">
        <v>35</v>
      </c>
      <c r="H21" s="1204">
        <f t="shared" si="1"/>
        <v>53</v>
      </c>
      <c r="I21" s="1204"/>
      <c r="J21" s="1205">
        <f t="shared" si="2"/>
        <v>12</v>
      </c>
      <c r="K21" s="1205"/>
    </row>
    <row r="22" spans="1:11" ht="13">
      <c r="A22" s="1599"/>
      <c r="B22" s="1210" t="s">
        <v>3269</v>
      </c>
      <c r="C22" s="1205">
        <v>20</v>
      </c>
      <c r="D22" s="1205">
        <v>39</v>
      </c>
      <c r="E22" s="1204">
        <f t="shared" si="0"/>
        <v>59</v>
      </c>
      <c r="F22" s="1205">
        <v>17</v>
      </c>
      <c r="G22" s="1205">
        <v>30</v>
      </c>
      <c r="H22" s="1204">
        <f t="shared" si="1"/>
        <v>47</v>
      </c>
      <c r="I22" s="1204"/>
      <c r="J22" s="1205">
        <f t="shared" si="2"/>
        <v>12</v>
      </c>
      <c r="K22" s="1205"/>
    </row>
    <row r="23" spans="1:11" ht="13">
      <c r="A23" s="1599"/>
      <c r="B23" s="1210" t="s">
        <v>3270</v>
      </c>
      <c r="C23" s="1205">
        <v>1</v>
      </c>
      <c r="D23" s="1205">
        <v>5</v>
      </c>
      <c r="E23" s="1204">
        <f t="shared" si="0"/>
        <v>6</v>
      </c>
      <c r="F23" s="1205">
        <v>1</v>
      </c>
      <c r="G23" s="1205">
        <v>5</v>
      </c>
      <c r="H23" s="1204">
        <f t="shared" si="1"/>
        <v>6</v>
      </c>
      <c r="I23" s="1204"/>
      <c r="J23" s="1205">
        <f t="shared" si="2"/>
        <v>0</v>
      </c>
      <c r="K23" s="1205"/>
    </row>
    <row r="24" spans="1:11" ht="13">
      <c r="A24" s="1599"/>
      <c r="B24" s="1210" t="s">
        <v>3271</v>
      </c>
      <c r="C24" s="1205">
        <v>1</v>
      </c>
      <c r="D24" s="1205">
        <v>2</v>
      </c>
      <c r="E24" s="1204">
        <f t="shared" si="0"/>
        <v>3</v>
      </c>
      <c r="F24" s="1205">
        <v>1</v>
      </c>
      <c r="G24" s="1205">
        <v>2</v>
      </c>
      <c r="H24" s="1204">
        <f t="shared" si="1"/>
        <v>3</v>
      </c>
      <c r="I24" s="1204"/>
      <c r="J24" s="1205">
        <f t="shared" si="2"/>
        <v>0</v>
      </c>
      <c r="K24" s="1205"/>
    </row>
    <row r="25" spans="1:11" ht="13">
      <c r="A25" s="1599"/>
      <c r="B25" s="1210" t="s">
        <v>3272</v>
      </c>
      <c r="C25" s="1205">
        <v>3</v>
      </c>
      <c r="D25" s="1205">
        <v>5</v>
      </c>
      <c r="E25" s="1204">
        <f t="shared" si="0"/>
        <v>8</v>
      </c>
      <c r="F25" s="1205">
        <v>3</v>
      </c>
      <c r="G25" s="1205">
        <v>5</v>
      </c>
      <c r="H25" s="1204">
        <f t="shared" si="1"/>
        <v>8</v>
      </c>
      <c r="I25" s="1204"/>
      <c r="J25" s="1205">
        <f t="shared" si="2"/>
        <v>0</v>
      </c>
      <c r="K25" s="1205"/>
    </row>
    <row r="26" spans="1:11" ht="13">
      <c r="A26" s="1599"/>
      <c r="B26" s="1210" t="s">
        <v>3273</v>
      </c>
      <c r="C26" s="1205">
        <v>1</v>
      </c>
      <c r="D26" s="1205">
        <v>10</v>
      </c>
      <c r="E26" s="1204">
        <f t="shared" si="0"/>
        <v>11</v>
      </c>
      <c r="F26" s="1205">
        <v>0</v>
      </c>
      <c r="G26" s="1205">
        <v>0</v>
      </c>
      <c r="H26" s="1204">
        <f t="shared" si="1"/>
        <v>0</v>
      </c>
      <c r="I26" s="1204">
        <v>6</v>
      </c>
      <c r="J26" s="1205">
        <f t="shared" si="2"/>
        <v>5</v>
      </c>
      <c r="K26" s="1205"/>
    </row>
    <row r="27" spans="1:11" ht="13">
      <c r="A27" s="1599"/>
      <c r="B27" s="1210" t="s">
        <v>3274</v>
      </c>
      <c r="C27" s="1205">
        <v>4</v>
      </c>
      <c r="D27" s="1205">
        <v>8</v>
      </c>
      <c r="E27" s="1204">
        <f t="shared" si="0"/>
        <v>12</v>
      </c>
      <c r="F27" s="1205">
        <v>0</v>
      </c>
      <c r="G27" s="1205">
        <v>0</v>
      </c>
      <c r="H27" s="1204">
        <f t="shared" si="1"/>
        <v>0</v>
      </c>
      <c r="I27" s="1204">
        <v>8</v>
      </c>
      <c r="J27" s="1205">
        <f t="shared" si="2"/>
        <v>4</v>
      </c>
      <c r="K27" s="1205"/>
    </row>
    <row r="28" spans="1:11" ht="13">
      <c r="A28" s="1600"/>
      <c r="B28" s="1210" t="s">
        <v>3275</v>
      </c>
      <c r="C28" s="1205">
        <v>5</v>
      </c>
      <c r="D28" s="1205">
        <v>4</v>
      </c>
      <c r="E28" s="1204">
        <f t="shared" si="0"/>
        <v>9</v>
      </c>
      <c r="F28" s="1205">
        <v>0</v>
      </c>
      <c r="G28" s="1205">
        <v>0</v>
      </c>
      <c r="H28" s="1204">
        <f t="shared" si="1"/>
        <v>0</v>
      </c>
      <c r="I28" s="1204">
        <v>1</v>
      </c>
      <c r="J28" s="1205">
        <f t="shared" si="2"/>
        <v>8</v>
      </c>
      <c r="K28" s="1205"/>
    </row>
    <row r="29" spans="1:11" ht="9" customHeight="1">
      <c r="A29" s="1207"/>
      <c r="B29" s="1210"/>
      <c r="C29" s="1205"/>
      <c r="D29" s="1205"/>
      <c r="E29" s="1204">
        <f t="shared" si="0"/>
        <v>0</v>
      </c>
      <c r="F29" s="1205">
        <v>0</v>
      </c>
      <c r="G29" s="1205">
        <v>0</v>
      </c>
      <c r="H29" s="1204">
        <f t="shared" si="1"/>
        <v>0</v>
      </c>
      <c r="I29" s="1204"/>
      <c r="J29" s="1205">
        <f t="shared" si="2"/>
        <v>0</v>
      </c>
      <c r="K29" s="1205"/>
    </row>
    <row r="30" spans="1:11" ht="13">
      <c r="A30" s="1598" t="s">
        <v>3451</v>
      </c>
      <c r="B30" s="1201" t="s">
        <v>3268</v>
      </c>
      <c r="C30" s="1205"/>
      <c r="D30" s="1205">
        <v>1</v>
      </c>
      <c r="E30" s="1204">
        <f t="shared" si="0"/>
        <v>1</v>
      </c>
      <c r="F30" s="1205">
        <v>0</v>
      </c>
      <c r="G30" s="1205">
        <v>0</v>
      </c>
      <c r="H30" s="1204">
        <f t="shared" si="1"/>
        <v>0</v>
      </c>
      <c r="I30" s="1204"/>
      <c r="J30" s="1205">
        <f t="shared" si="2"/>
        <v>1</v>
      </c>
      <c r="K30" s="1205"/>
    </row>
    <row r="31" spans="1:11" ht="13">
      <c r="A31" s="1600"/>
      <c r="B31" s="1210" t="s">
        <v>3269</v>
      </c>
      <c r="C31" s="1205"/>
      <c r="D31" s="1205">
        <v>1</v>
      </c>
      <c r="E31" s="1204">
        <f t="shared" si="0"/>
        <v>1</v>
      </c>
      <c r="F31" s="1205">
        <v>0</v>
      </c>
      <c r="G31" s="1205">
        <v>0</v>
      </c>
      <c r="H31" s="1204">
        <f t="shared" si="1"/>
        <v>0</v>
      </c>
      <c r="I31" s="1204"/>
      <c r="J31" s="1205">
        <f t="shared" si="2"/>
        <v>1</v>
      </c>
      <c r="K31" s="1205"/>
    </row>
    <row r="32" spans="1:11" ht="13">
      <c r="A32" s="1596" t="s">
        <v>994</v>
      </c>
      <c r="B32" s="1596"/>
      <c r="C32" s="1197">
        <f t="shared" ref="C32:J32" si="3">C21+C15+C9+C3+C30</f>
        <v>127</v>
      </c>
      <c r="D32" s="1197">
        <f t="shared" si="3"/>
        <v>241</v>
      </c>
      <c r="E32" s="1197">
        <f t="shared" si="3"/>
        <v>368</v>
      </c>
      <c r="F32" s="1197">
        <f>F21+F15+F9+F3+F30</f>
        <v>132</v>
      </c>
      <c r="G32" s="1197">
        <f t="shared" si="3"/>
        <v>182</v>
      </c>
      <c r="H32" s="1197">
        <f t="shared" si="3"/>
        <v>314</v>
      </c>
      <c r="I32" s="1197">
        <f t="shared" si="3"/>
        <v>4</v>
      </c>
      <c r="J32" s="1197">
        <f t="shared" si="3"/>
        <v>50</v>
      </c>
      <c r="K32" s="1197"/>
    </row>
  </sheetData>
  <autoFilter ref="A2:K32" xr:uid="{635C6159-F8AA-4F67-92AC-6DC552C709F7}"/>
  <mergeCells count="7">
    <mergeCell ref="A32:B32"/>
    <mergeCell ref="A1:K1"/>
    <mergeCell ref="A3:A7"/>
    <mergeCell ref="A9:A13"/>
    <mergeCell ref="A15:A19"/>
    <mergeCell ref="A21:A28"/>
    <mergeCell ref="A30:A31"/>
  </mergeCells>
  <conditionalFormatting sqref="J1:J31 J33:J65536">
    <cfRule type="cellIs" dxfId="3569" priority="1" stopIfTrue="1" operator="lessThan">
      <formula>0</formula>
    </cfRule>
  </conditionalFormatting>
  <pageMargins left="0.7" right="0.7" top="0.75" bottom="0.75" header="0.3" footer="0.3"/>
  <pageSetup scale="63"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1889-2696-4687-80D6-CB8D2A1025E4}">
  <sheetPr>
    <tabColor rgb="FF00B050"/>
  </sheetPr>
  <dimension ref="A1:L44"/>
  <sheetViews>
    <sheetView showZeros="0" zoomScale="90" zoomScaleNormal="90" workbookViewId="0">
      <pane xSplit="3" ySplit="2" topLeftCell="D39" activePane="bottomRight" state="frozen"/>
      <selection activeCell="I30" sqref="I30"/>
      <selection pane="topRight" activeCell="I30" sqref="I30"/>
      <selection pane="bottomLeft" activeCell="I30" sqref="I30"/>
      <selection pane="bottomRight" activeCell="I30" sqref="I30"/>
    </sheetView>
  </sheetViews>
  <sheetFormatPr defaultRowHeight="12.5"/>
  <cols>
    <col min="1" max="1" width="6.1796875" style="1198" bestFit="1" customWidth="1"/>
    <col min="2" max="2" width="19.7265625" style="1198" bestFit="1" customWidth="1"/>
    <col min="3" max="3" width="10.1796875" style="1208" bestFit="1" customWidth="1"/>
    <col min="4" max="4" width="14" style="1198" customWidth="1"/>
    <col min="5" max="5" width="14.36328125" style="1198" bestFit="1" customWidth="1"/>
    <col min="6" max="6" width="13" style="1198" bestFit="1" customWidth="1"/>
    <col min="7" max="7" width="70.7265625" style="1198" bestFit="1" customWidth="1"/>
    <col min="8" max="255" width="8.7265625" style="1198"/>
    <col min="256" max="256" width="6.1796875" style="1198" bestFit="1" customWidth="1"/>
    <col min="257" max="257" width="19.7265625" style="1198" bestFit="1" customWidth="1"/>
    <col min="258" max="258" width="10.1796875" style="1198" bestFit="1" customWidth="1"/>
    <col min="259" max="259" width="14" style="1198" customWidth="1"/>
    <col min="260" max="260" width="14.36328125" style="1198" bestFit="1" customWidth="1"/>
    <col min="261" max="261" width="18.54296875" style="1198" customWidth="1"/>
    <col min="262" max="262" width="13" style="1198" bestFit="1" customWidth="1"/>
    <col min="263" max="263" width="70.7265625" style="1198" bestFit="1" customWidth="1"/>
    <col min="264" max="511" width="8.7265625" style="1198"/>
    <col min="512" max="512" width="6.1796875" style="1198" bestFit="1" customWidth="1"/>
    <col min="513" max="513" width="19.7265625" style="1198" bestFit="1" customWidth="1"/>
    <col min="514" max="514" width="10.1796875" style="1198" bestFit="1" customWidth="1"/>
    <col min="515" max="515" width="14" style="1198" customWidth="1"/>
    <col min="516" max="516" width="14.36328125" style="1198" bestFit="1" customWidth="1"/>
    <col min="517" max="517" width="18.54296875" style="1198" customWidth="1"/>
    <col min="518" max="518" width="13" style="1198" bestFit="1" customWidth="1"/>
    <col min="519" max="519" width="70.7265625" style="1198" bestFit="1" customWidth="1"/>
    <col min="520" max="767" width="8.7265625" style="1198"/>
    <col min="768" max="768" width="6.1796875" style="1198" bestFit="1" customWidth="1"/>
    <col min="769" max="769" width="19.7265625" style="1198" bestFit="1" customWidth="1"/>
    <col min="770" max="770" width="10.1796875" style="1198" bestFit="1" customWidth="1"/>
    <col min="771" max="771" width="14" style="1198" customWidth="1"/>
    <col min="772" max="772" width="14.36328125" style="1198" bestFit="1" customWidth="1"/>
    <col min="773" max="773" width="18.54296875" style="1198" customWidth="1"/>
    <col min="774" max="774" width="13" style="1198" bestFit="1" customWidth="1"/>
    <col min="775" max="775" width="70.7265625" style="1198" bestFit="1" customWidth="1"/>
    <col min="776" max="1023" width="8.7265625" style="1198"/>
    <col min="1024" max="1024" width="6.1796875" style="1198" bestFit="1" customWidth="1"/>
    <col min="1025" max="1025" width="19.7265625" style="1198" bestFit="1" customWidth="1"/>
    <col min="1026" max="1026" width="10.1796875" style="1198" bestFit="1" customWidth="1"/>
    <col min="1027" max="1027" width="14" style="1198" customWidth="1"/>
    <col min="1028" max="1028" width="14.36328125" style="1198" bestFit="1" customWidth="1"/>
    <col min="1029" max="1029" width="18.54296875" style="1198" customWidth="1"/>
    <col min="1030" max="1030" width="13" style="1198" bestFit="1" customWidth="1"/>
    <col min="1031" max="1031" width="70.7265625" style="1198" bestFit="1" customWidth="1"/>
    <col min="1032" max="1279" width="8.7265625" style="1198"/>
    <col min="1280" max="1280" width="6.1796875" style="1198" bestFit="1" customWidth="1"/>
    <col min="1281" max="1281" width="19.7265625" style="1198" bestFit="1" customWidth="1"/>
    <col min="1282" max="1282" width="10.1796875" style="1198" bestFit="1" customWidth="1"/>
    <col min="1283" max="1283" width="14" style="1198" customWidth="1"/>
    <col min="1284" max="1284" width="14.36328125" style="1198" bestFit="1" customWidth="1"/>
    <col min="1285" max="1285" width="18.54296875" style="1198" customWidth="1"/>
    <col min="1286" max="1286" width="13" style="1198" bestFit="1" customWidth="1"/>
    <col min="1287" max="1287" width="70.7265625" style="1198" bestFit="1" customWidth="1"/>
    <col min="1288" max="1535" width="8.7265625" style="1198"/>
    <col min="1536" max="1536" width="6.1796875" style="1198" bestFit="1" customWidth="1"/>
    <col min="1537" max="1537" width="19.7265625" style="1198" bestFit="1" customWidth="1"/>
    <col min="1538" max="1538" width="10.1796875" style="1198" bestFit="1" customWidth="1"/>
    <col min="1539" max="1539" width="14" style="1198" customWidth="1"/>
    <col min="1540" max="1540" width="14.36328125" style="1198" bestFit="1" customWidth="1"/>
    <col min="1541" max="1541" width="18.54296875" style="1198" customWidth="1"/>
    <col min="1542" max="1542" width="13" style="1198" bestFit="1" customWidth="1"/>
    <col min="1543" max="1543" width="70.7265625" style="1198" bestFit="1" customWidth="1"/>
    <col min="1544" max="1791" width="8.7265625" style="1198"/>
    <col min="1792" max="1792" width="6.1796875" style="1198" bestFit="1" customWidth="1"/>
    <col min="1793" max="1793" width="19.7265625" style="1198" bestFit="1" customWidth="1"/>
    <col min="1794" max="1794" width="10.1796875" style="1198" bestFit="1" customWidth="1"/>
    <col min="1795" max="1795" width="14" style="1198" customWidth="1"/>
    <col min="1796" max="1796" width="14.36328125" style="1198" bestFit="1" customWidth="1"/>
    <col min="1797" max="1797" width="18.54296875" style="1198" customWidth="1"/>
    <col min="1798" max="1798" width="13" style="1198" bestFit="1" customWidth="1"/>
    <col min="1799" max="1799" width="70.7265625" style="1198" bestFit="1" customWidth="1"/>
    <col min="1800" max="2047" width="8.7265625" style="1198"/>
    <col min="2048" max="2048" width="6.1796875" style="1198" bestFit="1" customWidth="1"/>
    <col min="2049" max="2049" width="19.7265625" style="1198" bestFit="1" customWidth="1"/>
    <col min="2050" max="2050" width="10.1796875" style="1198" bestFit="1" customWidth="1"/>
    <col min="2051" max="2051" width="14" style="1198" customWidth="1"/>
    <col min="2052" max="2052" width="14.36328125" style="1198" bestFit="1" customWidth="1"/>
    <col min="2053" max="2053" width="18.54296875" style="1198" customWidth="1"/>
    <col min="2054" max="2054" width="13" style="1198" bestFit="1" customWidth="1"/>
    <col min="2055" max="2055" width="70.7265625" style="1198" bestFit="1" customWidth="1"/>
    <col min="2056" max="2303" width="8.7265625" style="1198"/>
    <col min="2304" max="2304" width="6.1796875" style="1198" bestFit="1" customWidth="1"/>
    <col min="2305" max="2305" width="19.7265625" style="1198" bestFit="1" customWidth="1"/>
    <col min="2306" max="2306" width="10.1796875" style="1198" bestFit="1" customWidth="1"/>
    <col min="2307" max="2307" width="14" style="1198" customWidth="1"/>
    <col min="2308" max="2308" width="14.36328125" style="1198" bestFit="1" customWidth="1"/>
    <col min="2309" max="2309" width="18.54296875" style="1198" customWidth="1"/>
    <col min="2310" max="2310" width="13" style="1198" bestFit="1" customWidth="1"/>
    <col min="2311" max="2311" width="70.7265625" style="1198" bestFit="1" customWidth="1"/>
    <col min="2312" max="2559" width="8.7265625" style="1198"/>
    <col min="2560" max="2560" width="6.1796875" style="1198" bestFit="1" customWidth="1"/>
    <col min="2561" max="2561" width="19.7265625" style="1198" bestFit="1" customWidth="1"/>
    <col min="2562" max="2562" width="10.1796875" style="1198" bestFit="1" customWidth="1"/>
    <col min="2563" max="2563" width="14" style="1198" customWidth="1"/>
    <col min="2564" max="2564" width="14.36328125" style="1198" bestFit="1" customWidth="1"/>
    <col min="2565" max="2565" width="18.54296875" style="1198" customWidth="1"/>
    <col min="2566" max="2566" width="13" style="1198" bestFit="1" customWidth="1"/>
    <col min="2567" max="2567" width="70.7265625" style="1198" bestFit="1" customWidth="1"/>
    <col min="2568" max="2815" width="8.7265625" style="1198"/>
    <col min="2816" max="2816" width="6.1796875" style="1198" bestFit="1" customWidth="1"/>
    <col min="2817" max="2817" width="19.7265625" style="1198" bestFit="1" customWidth="1"/>
    <col min="2818" max="2818" width="10.1796875" style="1198" bestFit="1" customWidth="1"/>
    <col min="2819" max="2819" width="14" style="1198" customWidth="1"/>
    <col min="2820" max="2820" width="14.36328125" style="1198" bestFit="1" customWidth="1"/>
    <col min="2821" max="2821" width="18.54296875" style="1198" customWidth="1"/>
    <col min="2822" max="2822" width="13" style="1198" bestFit="1" customWidth="1"/>
    <col min="2823" max="2823" width="70.7265625" style="1198" bestFit="1" customWidth="1"/>
    <col min="2824" max="3071" width="8.7265625" style="1198"/>
    <col min="3072" max="3072" width="6.1796875" style="1198" bestFit="1" customWidth="1"/>
    <col min="3073" max="3073" width="19.7265625" style="1198" bestFit="1" customWidth="1"/>
    <col min="3074" max="3074" width="10.1796875" style="1198" bestFit="1" customWidth="1"/>
    <col min="3075" max="3075" width="14" style="1198" customWidth="1"/>
    <col min="3076" max="3076" width="14.36328125" style="1198" bestFit="1" customWidth="1"/>
    <col min="3077" max="3077" width="18.54296875" style="1198" customWidth="1"/>
    <col min="3078" max="3078" width="13" style="1198" bestFit="1" customWidth="1"/>
    <col min="3079" max="3079" width="70.7265625" style="1198" bestFit="1" customWidth="1"/>
    <col min="3080" max="3327" width="8.7265625" style="1198"/>
    <col min="3328" max="3328" width="6.1796875" style="1198" bestFit="1" customWidth="1"/>
    <col min="3329" max="3329" width="19.7265625" style="1198" bestFit="1" customWidth="1"/>
    <col min="3330" max="3330" width="10.1796875" style="1198" bestFit="1" customWidth="1"/>
    <col min="3331" max="3331" width="14" style="1198" customWidth="1"/>
    <col min="3332" max="3332" width="14.36328125" style="1198" bestFit="1" customWidth="1"/>
    <col min="3333" max="3333" width="18.54296875" style="1198" customWidth="1"/>
    <col min="3334" max="3334" width="13" style="1198" bestFit="1" customWidth="1"/>
    <col min="3335" max="3335" width="70.7265625" style="1198" bestFit="1" customWidth="1"/>
    <col min="3336" max="3583" width="8.7265625" style="1198"/>
    <col min="3584" max="3584" width="6.1796875" style="1198" bestFit="1" customWidth="1"/>
    <col min="3585" max="3585" width="19.7265625" style="1198" bestFit="1" customWidth="1"/>
    <col min="3586" max="3586" width="10.1796875" style="1198" bestFit="1" customWidth="1"/>
    <col min="3587" max="3587" width="14" style="1198" customWidth="1"/>
    <col min="3588" max="3588" width="14.36328125" style="1198" bestFit="1" customWidth="1"/>
    <col min="3589" max="3589" width="18.54296875" style="1198" customWidth="1"/>
    <col min="3590" max="3590" width="13" style="1198" bestFit="1" customWidth="1"/>
    <col min="3591" max="3591" width="70.7265625" style="1198" bestFit="1" customWidth="1"/>
    <col min="3592" max="3839" width="8.7265625" style="1198"/>
    <col min="3840" max="3840" width="6.1796875" style="1198" bestFit="1" customWidth="1"/>
    <col min="3841" max="3841" width="19.7265625" style="1198" bestFit="1" customWidth="1"/>
    <col min="3842" max="3842" width="10.1796875" style="1198" bestFit="1" customWidth="1"/>
    <col min="3843" max="3843" width="14" style="1198" customWidth="1"/>
    <col min="3844" max="3844" width="14.36328125" style="1198" bestFit="1" customWidth="1"/>
    <col min="3845" max="3845" width="18.54296875" style="1198" customWidth="1"/>
    <col min="3846" max="3846" width="13" style="1198" bestFit="1" customWidth="1"/>
    <col min="3847" max="3847" width="70.7265625" style="1198" bestFit="1" customWidth="1"/>
    <col min="3848" max="4095" width="8.7265625" style="1198"/>
    <col min="4096" max="4096" width="6.1796875" style="1198" bestFit="1" customWidth="1"/>
    <col min="4097" max="4097" width="19.7265625" style="1198" bestFit="1" customWidth="1"/>
    <col min="4098" max="4098" width="10.1796875" style="1198" bestFit="1" customWidth="1"/>
    <col min="4099" max="4099" width="14" style="1198" customWidth="1"/>
    <col min="4100" max="4100" width="14.36328125" style="1198" bestFit="1" customWidth="1"/>
    <col min="4101" max="4101" width="18.54296875" style="1198" customWidth="1"/>
    <col min="4102" max="4102" width="13" style="1198" bestFit="1" customWidth="1"/>
    <col min="4103" max="4103" width="70.7265625" style="1198" bestFit="1" customWidth="1"/>
    <col min="4104" max="4351" width="8.7265625" style="1198"/>
    <col min="4352" max="4352" width="6.1796875" style="1198" bestFit="1" customWidth="1"/>
    <col min="4353" max="4353" width="19.7265625" style="1198" bestFit="1" customWidth="1"/>
    <col min="4354" max="4354" width="10.1796875" style="1198" bestFit="1" customWidth="1"/>
    <col min="4355" max="4355" width="14" style="1198" customWidth="1"/>
    <col min="4356" max="4356" width="14.36328125" style="1198" bestFit="1" customWidth="1"/>
    <col min="4357" max="4357" width="18.54296875" style="1198" customWidth="1"/>
    <col min="4358" max="4358" width="13" style="1198" bestFit="1" customWidth="1"/>
    <col min="4359" max="4359" width="70.7265625" style="1198" bestFit="1" customWidth="1"/>
    <col min="4360" max="4607" width="8.7265625" style="1198"/>
    <col min="4608" max="4608" width="6.1796875" style="1198" bestFit="1" customWidth="1"/>
    <col min="4609" max="4609" width="19.7265625" style="1198" bestFit="1" customWidth="1"/>
    <col min="4610" max="4610" width="10.1796875" style="1198" bestFit="1" customWidth="1"/>
    <col min="4611" max="4611" width="14" style="1198" customWidth="1"/>
    <col min="4612" max="4612" width="14.36328125" style="1198" bestFit="1" customWidth="1"/>
    <col min="4613" max="4613" width="18.54296875" style="1198" customWidth="1"/>
    <col min="4614" max="4614" width="13" style="1198" bestFit="1" customWidth="1"/>
    <col min="4615" max="4615" width="70.7265625" style="1198" bestFit="1" customWidth="1"/>
    <col min="4616" max="4863" width="8.7265625" style="1198"/>
    <col min="4864" max="4864" width="6.1796875" style="1198" bestFit="1" customWidth="1"/>
    <col min="4865" max="4865" width="19.7265625" style="1198" bestFit="1" customWidth="1"/>
    <col min="4866" max="4866" width="10.1796875" style="1198" bestFit="1" customWidth="1"/>
    <col min="4867" max="4867" width="14" style="1198" customWidth="1"/>
    <col min="4868" max="4868" width="14.36328125" style="1198" bestFit="1" customWidth="1"/>
    <col min="4869" max="4869" width="18.54296875" style="1198" customWidth="1"/>
    <col min="4870" max="4870" width="13" style="1198" bestFit="1" customWidth="1"/>
    <col min="4871" max="4871" width="70.7265625" style="1198" bestFit="1" customWidth="1"/>
    <col min="4872" max="5119" width="8.7265625" style="1198"/>
    <col min="5120" max="5120" width="6.1796875" style="1198" bestFit="1" customWidth="1"/>
    <col min="5121" max="5121" width="19.7265625" style="1198" bestFit="1" customWidth="1"/>
    <col min="5122" max="5122" width="10.1796875" style="1198" bestFit="1" customWidth="1"/>
    <col min="5123" max="5123" width="14" style="1198" customWidth="1"/>
    <col min="5124" max="5124" width="14.36328125" style="1198" bestFit="1" customWidth="1"/>
    <col min="5125" max="5125" width="18.54296875" style="1198" customWidth="1"/>
    <col min="5126" max="5126" width="13" style="1198" bestFit="1" customWidth="1"/>
    <col min="5127" max="5127" width="70.7265625" style="1198" bestFit="1" customWidth="1"/>
    <col min="5128" max="5375" width="8.7265625" style="1198"/>
    <col min="5376" max="5376" width="6.1796875" style="1198" bestFit="1" customWidth="1"/>
    <col min="5377" max="5377" width="19.7265625" style="1198" bestFit="1" customWidth="1"/>
    <col min="5378" max="5378" width="10.1796875" style="1198" bestFit="1" customWidth="1"/>
    <col min="5379" max="5379" width="14" style="1198" customWidth="1"/>
    <col min="5380" max="5380" width="14.36328125" style="1198" bestFit="1" customWidth="1"/>
    <col min="5381" max="5381" width="18.54296875" style="1198" customWidth="1"/>
    <col min="5382" max="5382" width="13" style="1198" bestFit="1" customWidth="1"/>
    <col min="5383" max="5383" width="70.7265625" style="1198" bestFit="1" customWidth="1"/>
    <col min="5384" max="5631" width="8.7265625" style="1198"/>
    <col min="5632" max="5632" width="6.1796875" style="1198" bestFit="1" customWidth="1"/>
    <col min="5633" max="5633" width="19.7265625" style="1198" bestFit="1" customWidth="1"/>
    <col min="5634" max="5634" width="10.1796875" style="1198" bestFit="1" customWidth="1"/>
    <col min="5635" max="5635" width="14" style="1198" customWidth="1"/>
    <col min="5636" max="5636" width="14.36328125" style="1198" bestFit="1" customWidth="1"/>
    <col min="5637" max="5637" width="18.54296875" style="1198" customWidth="1"/>
    <col min="5638" max="5638" width="13" style="1198" bestFit="1" customWidth="1"/>
    <col min="5639" max="5639" width="70.7265625" style="1198" bestFit="1" customWidth="1"/>
    <col min="5640" max="5887" width="8.7265625" style="1198"/>
    <col min="5888" max="5888" width="6.1796875" style="1198" bestFit="1" customWidth="1"/>
    <col min="5889" max="5889" width="19.7265625" style="1198" bestFit="1" customWidth="1"/>
    <col min="5890" max="5890" width="10.1796875" style="1198" bestFit="1" customWidth="1"/>
    <col min="5891" max="5891" width="14" style="1198" customWidth="1"/>
    <col min="5892" max="5892" width="14.36328125" style="1198" bestFit="1" customWidth="1"/>
    <col min="5893" max="5893" width="18.54296875" style="1198" customWidth="1"/>
    <col min="5894" max="5894" width="13" style="1198" bestFit="1" customWidth="1"/>
    <col min="5895" max="5895" width="70.7265625" style="1198" bestFit="1" customWidth="1"/>
    <col min="5896" max="6143" width="8.7265625" style="1198"/>
    <col min="6144" max="6144" width="6.1796875" style="1198" bestFit="1" customWidth="1"/>
    <col min="6145" max="6145" width="19.7265625" style="1198" bestFit="1" customWidth="1"/>
    <col min="6146" max="6146" width="10.1796875" style="1198" bestFit="1" customWidth="1"/>
    <col min="6147" max="6147" width="14" style="1198" customWidth="1"/>
    <col min="6148" max="6148" width="14.36328125" style="1198" bestFit="1" customWidth="1"/>
    <col min="6149" max="6149" width="18.54296875" style="1198" customWidth="1"/>
    <col min="6150" max="6150" width="13" style="1198" bestFit="1" customWidth="1"/>
    <col min="6151" max="6151" width="70.7265625" style="1198" bestFit="1" customWidth="1"/>
    <col min="6152" max="6399" width="8.7265625" style="1198"/>
    <col min="6400" max="6400" width="6.1796875" style="1198" bestFit="1" customWidth="1"/>
    <col min="6401" max="6401" width="19.7265625" style="1198" bestFit="1" customWidth="1"/>
    <col min="6402" max="6402" width="10.1796875" style="1198" bestFit="1" customWidth="1"/>
    <col min="6403" max="6403" width="14" style="1198" customWidth="1"/>
    <col min="6404" max="6404" width="14.36328125" style="1198" bestFit="1" customWidth="1"/>
    <col min="6405" max="6405" width="18.54296875" style="1198" customWidth="1"/>
    <col min="6406" max="6406" width="13" style="1198" bestFit="1" customWidth="1"/>
    <col min="6407" max="6407" width="70.7265625" style="1198" bestFit="1" customWidth="1"/>
    <col min="6408" max="6655" width="8.7265625" style="1198"/>
    <col min="6656" max="6656" width="6.1796875" style="1198" bestFit="1" customWidth="1"/>
    <col min="6657" max="6657" width="19.7265625" style="1198" bestFit="1" customWidth="1"/>
    <col min="6658" max="6658" width="10.1796875" style="1198" bestFit="1" customWidth="1"/>
    <col min="6659" max="6659" width="14" style="1198" customWidth="1"/>
    <col min="6660" max="6660" width="14.36328125" style="1198" bestFit="1" customWidth="1"/>
    <col min="6661" max="6661" width="18.54296875" style="1198" customWidth="1"/>
    <col min="6662" max="6662" width="13" style="1198" bestFit="1" customWidth="1"/>
    <col min="6663" max="6663" width="70.7265625" style="1198" bestFit="1" customWidth="1"/>
    <col min="6664" max="6911" width="8.7265625" style="1198"/>
    <col min="6912" max="6912" width="6.1796875" style="1198" bestFit="1" customWidth="1"/>
    <col min="6913" max="6913" width="19.7265625" style="1198" bestFit="1" customWidth="1"/>
    <col min="6914" max="6914" width="10.1796875" style="1198" bestFit="1" customWidth="1"/>
    <col min="6915" max="6915" width="14" style="1198" customWidth="1"/>
    <col min="6916" max="6916" width="14.36328125" style="1198" bestFit="1" customWidth="1"/>
    <col min="6917" max="6917" width="18.54296875" style="1198" customWidth="1"/>
    <col min="6918" max="6918" width="13" style="1198" bestFit="1" customWidth="1"/>
    <col min="6919" max="6919" width="70.7265625" style="1198" bestFit="1" customWidth="1"/>
    <col min="6920" max="7167" width="8.7265625" style="1198"/>
    <col min="7168" max="7168" width="6.1796875" style="1198" bestFit="1" customWidth="1"/>
    <col min="7169" max="7169" width="19.7265625" style="1198" bestFit="1" customWidth="1"/>
    <col min="7170" max="7170" width="10.1796875" style="1198" bestFit="1" customWidth="1"/>
    <col min="7171" max="7171" width="14" style="1198" customWidth="1"/>
    <col min="7172" max="7172" width="14.36328125" style="1198" bestFit="1" customWidth="1"/>
    <col min="7173" max="7173" width="18.54296875" style="1198" customWidth="1"/>
    <col min="7174" max="7174" width="13" style="1198" bestFit="1" customWidth="1"/>
    <col min="7175" max="7175" width="70.7265625" style="1198" bestFit="1" customWidth="1"/>
    <col min="7176" max="7423" width="8.7265625" style="1198"/>
    <col min="7424" max="7424" width="6.1796875" style="1198" bestFit="1" customWidth="1"/>
    <col min="7425" max="7425" width="19.7265625" style="1198" bestFit="1" customWidth="1"/>
    <col min="7426" max="7426" width="10.1796875" style="1198" bestFit="1" customWidth="1"/>
    <col min="7427" max="7427" width="14" style="1198" customWidth="1"/>
    <col min="7428" max="7428" width="14.36328125" style="1198" bestFit="1" customWidth="1"/>
    <col min="7429" max="7429" width="18.54296875" style="1198" customWidth="1"/>
    <col min="7430" max="7430" width="13" style="1198" bestFit="1" customWidth="1"/>
    <col min="7431" max="7431" width="70.7265625" style="1198" bestFit="1" customWidth="1"/>
    <col min="7432" max="7679" width="8.7265625" style="1198"/>
    <col min="7680" max="7680" width="6.1796875" style="1198" bestFit="1" customWidth="1"/>
    <col min="7681" max="7681" width="19.7265625" style="1198" bestFit="1" customWidth="1"/>
    <col min="7682" max="7682" width="10.1796875" style="1198" bestFit="1" customWidth="1"/>
    <col min="7683" max="7683" width="14" style="1198" customWidth="1"/>
    <col min="7684" max="7684" width="14.36328125" style="1198" bestFit="1" customWidth="1"/>
    <col min="7685" max="7685" width="18.54296875" style="1198" customWidth="1"/>
    <col min="7686" max="7686" width="13" style="1198" bestFit="1" customWidth="1"/>
    <col min="7687" max="7687" width="70.7265625" style="1198" bestFit="1" customWidth="1"/>
    <col min="7688" max="7935" width="8.7265625" style="1198"/>
    <col min="7936" max="7936" width="6.1796875" style="1198" bestFit="1" customWidth="1"/>
    <col min="7937" max="7937" width="19.7265625" style="1198" bestFit="1" customWidth="1"/>
    <col min="7938" max="7938" width="10.1796875" style="1198" bestFit="1" customWidth="1"/>
    <col min="7939" max="7939" width="14" style="1198" customWidth="1"/>
    <col min="7940" max="7940" width="14.36328125" style="1198" bestFit="1" customWidth="1"/>
    <col min="7941" max="7941" width="18.54296875" style="1198" customWidth="1"/>
    <col min="7942" max="7942" width="13" style="1198" bestFit="1" customWidth="1"/>
    <col min="7943" max="7943" width="70.7265625" style="1198" bestFit="1" customWidth="1"/>
    <col min="7944" max="8191" width="8.7265625" style="1198"/>
    <col min="8192" max="8192" width="6.1796875" style="1198" bestFit="1" customWidth="1"/>
    <col min="8193" max="8193" width="19.7265625" style="1198" bestFit="1" customWidth="1"/>
    <col min="8194" max="8194" width="10.1796875" style="1198" bestFit="1" customWidth="1"/>
    <col min="8195" max="8195" width="14" style="1198" customWidth="1"/>
    <col min="8196" max="8196" width="14.36328125" style="1198" bestFit="1" customWidth="1"/>
    <col min="8197" max="8197" width="18.54296875" style="1198" customWidth="1"/>
    <col min="8198" max="8198" width="13" style="1198" bestFit="1" customWidth="1"/>
    <col min="8199" max="8199" width="70.7265625" style="1198" bestFit="1" customWidth="1"/>
    <col min="8200" max="8447" width="8.7265625" style="1198"/>
    <col min="8448" max="8448" width="6.1796875" style="1198" bestFit="1" customWidth="1"/>
    <col min="8449" max="8449" width="19.7265625" style="1198" bestFit="1" customWidth="1"/>
    <col min="8450" max="8450" width="10.1796875" style="1198" bestFit="1" customWidth="1"/>
    <col min="8451" max="8451" width="14" style="1198" customWidth="1"/>
    <col min="8452" max="8452" width="14.36328125" style="1198" bestFit="1" customWidth="1"/>
    <col min="8453" max="8453" width="18.54296875" style="1198" customWidth="1"/>
    <col min="8454" max="8454" width="13" style="1198" bestFit="1" customWidth="1"/>
    <col min="8455" max="8455" width="70.7265625" style="1198" bestFit="1" customWidth="1"/>
    <col min="8456" max="8703" width="8.7265625" style="1198"/>
    <col min="8704" max="8704" width="6.1796875" style="1198" bestFit="1" customWidth="1"/>
    <col min="8705" max="8705" width="19.7265625" style="1198" bestFit="1" customWidth="1"/>
    <col min="8706" max="8706" width="10.1796875" style="1198" bestFit="1" customWidth="1"/>
    <col min="8707" max="8707" width="14" style="1198" customWidth="1"/>
    <col min="8708" max="8708" width="14.36328125" style="1198" bestFit="1" customWidth="1"/>
    <col min="8709" max="8709" width="18.54296875" style="1198" customWidth="1"/>
    <col min="8710" max="8710" width="13" style="1198" bestFit="1" customWidth="1"/>
    <col min="8711" max="8711" width="70.7265625" style="1198" bestFit="1" customWidth="1"/>
    <col min="8712" max="8959" width="8.7265625" style="1198"/>
    <col min="8960" max="8960" width="6.1796875" style="1198" bestFit="1" customWidth="1"/>
    <col min="8961" max="8961" width="19.7265625" style="1198" bestFit="1" customWidth="1"/>
    <col min="8962" max="8962" width="10.1796875" style="1198" bestFit="1" customWidth="1"/>
    <col min="8963" max="8963" width="14" style="1198" customWidth="1"/>
    <col min="8964" max="8964" width="14.36328125" style="1198" bestFit="1" customWidth="1"/>
    <col min="8965" max="8965" width="18.54296875" style="1198" customWidth="1"/>
    <col min="8966" max="8966" width="13" style="1198" bestFit="1" customWidth="1"/>
    <col min="8967" max="8967" width="70.7265625" style="1198" bestFit="1" customWidth="1"/>
    <col min="8968" max="9215" width="8.7265625" style="1198"/>
    <col min="9216" max="9216" width="6.1796875" style="1198" bestFit="1" customWidth="1"/>
    <col min="9217" max="9217" width="19.7265625" style="1198" bestFit="1" customWidth="1"/>
    <col min="9218" max="9218" width="10.1796875" style="1198" bestFit="1" customWidth="1"/>
    <col min="9219" max="9219" width="14" style="1198" customWidth="1"/>
    <col min="9220" max="9220" width="14.36328125" style="1198" bestFit="1" customWidth="1"/>
    <col min="9221" max="9221" width="18.54296875" style="1198" customWidth="1"/>
    <col min="9222" max="9222" width="13" style="1198" bestFit="1" customWidth="1"/>
    <col min="9223" max="9223" width="70.7265625" style="1198" bestFit="1" customWidth="1"/>
    <col min="9224" max="9471" width="8.7265625" style="1198"/>
    <col min="9472" max="9472" width="6.1796875" style="1198" bestFit="1" customWidth="1"/>
    <col min="9473" max="9473" width="19.7265625" style="1198" bestFit="1" customWidth="1"/>
    <col min="9474" max="9474" width="10.1796875" style="1198" bestFit="1" customWidth="1"/>
    <col min="9475" max="9475" width="14" style="1198" customWidth="1"/>
    <col min="9476" max="9476" width="14.36328125" style="1198" bestFit="1" customWidth="1"/>
    <col min="9477" max="9477" width="18.54296875" style="1198" customWidth="1"/>
    <col min="9478" max="9478" width="13" style="1198" bestFit="1" customWidth="1"/>
    <col min="9479" max="9479" width="70.7265625" style="1198" bestFit="1" customWidth="1"/>
    <col min="9480" max="9727" width="8.7265625" style="1198"/>
    <col min="9728" max="9728" width="6.1796875" style="1198" bestFit="1" customWidth="1"/>
    <col min="9729" max="9729" width="19.7265625" style="1198" bestFit="1" customWidth="1"/>
    <col min="9730" max="9730" width="10.1796875" style="1198" bestFit="1" customWidth="1"/>
    <col min="9731" max="9731" width="14" style="1198" customWidth="1"/>
    <col min="9732" max="9732" width="14.36328125" style="1198" bestFit="1" customWidth="1"/>
    <col min="9733" max="9733" width="18.54296875" style="1198" customWidth="1"/>
    <col min="9734" max="9734" width="13" style="1198" bestFit="1" customWidth="1"/>
    <col min="9735" max="9735" width="70.7265625" style="1198" bestFit="1" customWidth="1"/>
    <col min="9736" max="9983" width="8.7265625" style="1198"/>
    <col min="9984" max="9984" width="6.1796875" style="1198" bestFit="1" customWidth="1"/>
    <col min="9985" max="9985" width="19.7265625" style="1198" bestFit="1" customWidth="1"/>
    <col min="9986" max="9986" width="10.1796875" style="1198" bestFit="1" customWidth="1"/>
    <col min="9987" max="9987" width="14" style="1198" customWidth="1"/>
    <col min="9988" max="9988" width="14.36328125" style="1198" bestFit="1" customWidth="1"/>
    <col min="9989" max="9989" width="18.54296875" style="1198" customWidth="1"/>
    <col min="9990" max="9990" width="13" style="1198" bestFit="1" customWidth="1"/>
    <col min="9991" max="9991" width="70.7265625" style="1198" bestFit="1" customWidth="1"/>
    <col min="9992" max="10239" width="8.7265625" style="1198"/>
    <col min="10240" max="10240" width="6.1796875" style="1198" bestFit="1" customWidth="1"/>
    <col min="10241" max="10241" width="19.7265625" style="1198" bestFit="1" customWidth="1"/>
    <col min="10242" max="10242" width="10.1796875" style="1198" bestFit="1" customWidth="1"/>
    <col min="10243" max="10243" width="14" style="1198" customWidth="1"/>
    <col min="10244" max="10244" width="14.36328125" style="1198" bestFit="1" customWidth="1"/>
    <col min="10245" max="10245" width="18.54296875" style="1198" customWidth="1"/>
    <col min="10246" max="10246" width="13" style="1198" bestFit="1" customWidth="1"/>
    <col min="10247" max="10247" width="70.7265625" style="1198" bestFit="1" customWidth="1"/>
    <col min="10248" max="10495" width="8.7265625" style="1198"/>
    <col min="10496" max="10496" width="6.1796875" style="1198" bestFit="1" customWidth="1"/>
    <col min="10497" max="10497" width="19.7265625" style="1198" bestFit="1" customWidth="1"/>
    <col min="10498" max="10498" width="10.1796875" style="1198" bestFit="1" customWidth="1"/>
    <col min="10499" max="10499" width="14" style="1198" customWidth="1"/>
    <col min="10500" max="10500" width="14.36328125" style="1198" bestFit="1" customWidth="1"/>
    <col min="10501" max="10501" width="18.54296875" style="1198" customWidth="1"/>
    <col min="10502" max="10502" width="13" style="1198" bestFit="1" customWidth="1"/>
    <col min="10503" max="10503" width="70.7265625" style="1198" bestFit="1" customWidth="1"/>
    <col min="10504" max="10751" width="8.7265625" style="1198"/>
    <col min="10752" max="10752" width="6.1796875" style="1198" bestFit="1" customWidth="1"/>
    <col min="10753" max="10753" width="19.7265625" style="1198" bestFit="1" customWidth="1"/>
    <col min="10754" max="10754" width="10.1796875" style="1198" bestFit="1" customWidth="1"/>
    <col min="10755" max="10755" width="14" style="1198" customWidth="1"/>
    <col min="10756" max="10756" width="14.36328125" style="1198" bestFit="1" customWidth="1"/>
    <col min="10757" max="10757" width="18.54296875" style="1198" customWidth="1"/>
    <col min="10758" max="10758" width="13" style="1198" bestFit="1" customWidth="1"/>
    <col min="10759" max="10759" width="70.7265625" style="1198" bestFit="1" customWidth="1"/>
    <col min="10760" max="11007" width="8.7265625" style="1198"/>
    <col min="11008" max="11008" width="6.1796875" style="1198" bestFit="1" customWidth="1"/>
    <col min="11009" max="11009" width="19.7265625" style="1198" bestFit="1" customWidth="1"/>
    <col min="11010" max="11010" width="10.1796875" style="1198" bestFit="1" customWidth="1"/>
    <col min="11011" max="11011" width="14" style="1198" customWidth="1"/>
    <col min="11012" max="11012" width="14.36328125" style="1198" bestFit="1" customWidth="1"/>
    <col min="11013" max="11013" width="18.54296875" style="1198" customWidth="1"/>
    <col min="11014" max="11014" width="13" style="1198" bestFit="1" customWidth="1"/>
    <col min="11015" max="11015" width="70.7265625" style="1198" bestFit="1" customWidth="1"/>
    <col min="11016" max="11263" width="8.7265625" style="1198"/>
    <col min="11264" max="11264" width="6.1796875" style="1198" bestFit="1" customWidth="1"/>
    <col min="11265" max="11265" width="19.7265625" style="1198" bestFit="1" customWidth="1"/>
    <col min="11266" max="11266" width="10.1796875" style="1198" bestFit="1" customWidth="1"/>
    <col min="11267" max="11267" width="14" style="1198" customWidth="1"/>
    <col min="11268" max="11268" width="14.36328125" style="1198" bestFit="1" customWidth="1"/>
    <col min="11269" max="11269" width="18.54296875" style="1198" customWidth="1"/>
    <col min="11270" max="11270" width="13" style="1198" bestFit="1" customWidth="1"/>
    <col min="11271" max="11271" width="70.7265625" style="1198" bestFit="1" customWidth="1"/>
    <col min="11272" max="11519" width="8.7265625" style="1198"/>
    <col min="11520" max="11520" width="6.1796875" style="1198" bestFit="1" customWidth="1"/>
    <col min="11521" max="11521" width="19.7265625" style="1198" bestFit="1" customWidth="1"/>
    <col min="11522" max="11522" width="10.1796875" style="1198" bestFit="1" customWidth="1"/>
    <col min="11523" max="11523" width="14" style="1198" customWidth="1"/>
    <col min="11524" max="11524" width="14.36328125" style="1198" bestFit="1" customWidth="1"/>
    <col min="11525" max="11525" width="18.54296875" style="1198" customWidth="1"/>
    <col min="11526" max="11526" width="13" style="1198" bestFit="1" customWidth="1"/>
    <col min="11527" max="11527" width="70.7265625" style="1198" bestFit="1" customWidth="1"/>
    <col min="11528" max="11775" width="8.7265625" style="1198"/>
    <col min="11776" max="11776" width="6.1796875" style="1198" bestFit="1" customWidth="1"/>
    <col min="11777" max="11777" width="19.7265625" style="1198" bestFit="1" customWidth="1"/>
    <col min="11778" max="11778" width="10.1796875" style="1198" bestFit="1" customWidth="1"/>
    <col min="11779" max="11779" width="14" style="1198" customWidth="1"/>
    <col min="11780" max="11780" width="14.36328125" style="1198" bestFit="1" customWidth="1"/>
    <col min="11781" max="11781" width="18.54296875" style="1198" customWidth="1"/>
    <col min="11782" max="11782" width="13" style="1198" bestFit="1" customWidth="1"/>
    <col min="11783" max="11783" width="70.7265625" style="1198" bestFit="1" customWidth="1"/>
    <col min="11784" max="12031" width="8.7265625" style="1198"/>
    <col min="12032" max="12032" width="6.1796875" style="1198" bestFit="1" customWidth="1"/>
    <col min="12033" max="12033" width="19.7265625" style="1198" bestFit="1" customWidth="1"/>
    <col min="12034" max="12034" width="10.1796875" style="1198" bestFit="1" customWidth="1"/>
    <col min="12035" max="12035" width="14" style="1198" customWidth="1"/>
    <col min="12036" max="12036" width="14.36328125" style="1198" bestFit="1" customWidth="1"/>
    <col min="12037" max="12037" width="18.54296875" style="1198" customWidth="1"/>
    <col min="12038" max="12038" width="13" style="1198" bestFit="1" customWidth="1"/>
    <col min="12039" max="12039" width="70.7265625" style="1198" bestFit="1" customWidth="1"/>
    <col min="12040" max="12287" width="8.7265625" style="1198"/>
    <col min="12288" max="12288" width="6.1796875" style="1198" bestFit="1" customWidth="1"/>
    <col min="12289" max="12289" width="19.7265625" style="1198" bestFit="1" customWidth="1"/>
    <col min="12290" max="12290" width="10.1796875" style="1198" bestFit="1" customWidth="1"/>
    <col min="12291" max="12291" width="14" style="1198" customWidth="1"/>
    <col min="12292" max="12292" width="14.36328125" style="1198" bestFit="1" customWidth="1"/>
    <col min="12293" max="12293" width="18.54296875" style="1198" customWidth="1"/>
    <col min="12294" max="12294" width="13" style="1198" bestFit="1" customWidth="1"/>
    <col min="12295" max="12295" width="70.7265625" style="1198" bestFit="1" customWidth="1"/>
    <col min="12296" max="12543" width="8.7265625" style="1198"/>
    <col min="12544" max="12544" width="6.1796875" style="1198" bestFit="1" customWidth="1"/>
    <col min="12545" max="12545" width="19.7265625" style="1198" bestFit="1" customWidth="1"/>
    <col min="12546" max="12546" width="10.1796875" style="1198" bestFit="1" customWidth="1"/>
    <col min="12547" max="12547" width="14" style="1198" customWidth="1"/>
    <col min="12548" max="12548" width="14.36328125" style="1198" bestFit="1" customWidth="1"/>
    <col min="12549" max="12549" width="18.54296875" style="1198" customWidth="1"/>
    <col min="12550" max="12550" width="13" style="1198" bestFit="1" customWidth="1"/>
    <col min="12551" max="12551" width="70.7265625" style="1198" bestFit="1" customWidth="1"/>
    <col min="12552" max="12799" width="8.7265625" style="1198"/>
    <col min="12800" max="12800" width="6.1796875" style="1198" bestFit="1" customWidth="1"/>
    <col min="12801" max="12801" width="19.7265625" style="1198" bestFit="1" customWidth="1"/>
    <col min="12802" max="12802" width="10.1796875" style="1198" bestFit="1" customWidth="1"/>
    <col min="12803" max="12803" width="14" style="1198" customWidth="1"/>
    <col min="12804" max="12804" width="14.36328125" style="1198" bestFit="1" customWidth="1"/>
    <col min="12805" max="12805" width="18.54296875" style="1198" customWidth="1"/>
    <col min="12806" max="12806" width="13" style="1198" bestFit="1" customWidth="1"/>
    <col min="12807" max="12807" width="70.7265625" style="1198" bestFit="1" customWidth="1"/>
    <col min="12808" max="13055" width="8.7265625" style="1198"/>
    <col min="13056" max="13056" width="6.1796875" style="1198" bestFit="1" customWidth="1"/>
    <col min="13057" max="13057" width="19.7265625" style="1198" bestFit="1" customWidth="1"/>
    <col min="13058" max="13058" width="10.1796875" style="1198" bestFit="1" customWidth="1"/>
    <col min="13059" max="13059" width="14" style="1198" customWidth="1"/>
    <col min="13060" max="13060" width="14.36328125" style="1198" bestFit="1" customWidth="1"/>
    <col min="13061" max="13061" width="18.54296875" style="1198" customWidth="1"/>
    <col min="13062" max="13062" width="13" style="1198" bestFit="1" customWidth="1"/>
    <col min="13063" max="13063" width="70.7265625" style="1198" bestFit="1" customWidth="1"/>
    <col min="13064" max="13311" width="8.7265625" style="1198"/>
    <col min="13312" max="13312" width="6.1796875" style="1198" bestFit="1" customWidth="1"/>
    <col min="13313" max="13313" width="19.7265625" style="1198" bestFit="1" customWidth="1"/>
    <col min="13314" max="13314" width="10.1796875" style="1198" bestFit="1" customWidth="1"/>
    <col min="13315" max="13315" width="14" style="1198" customWidth="1"/>
    <col min="13316" max="13316" width="14.36328125" style="1198" bestFit="1" customWidth="1"/>
    <col min="13317" max="13317" width="18.54296875" style="1198" customWidth="1"/>
    <col min="13318" max="13318" width="13" style="1198" bestFit="1" customWidth="1"/>
    <col min="13319" max="13319" width="70.7265625" style="1198" bestFit="1" customWidth="1"/>
    <col min="13320" max="13567" width="8.7265625" style="1198"/>
    <col min="13568" max="13568" width="6.1796875" style="1198" bestFit="1" customWidth="1"/>
    <col min="13569" max="13569" width="19.7265625" style="1198" bestFit="1" customWidth="1"/>
    <col min="13570" max="13570" width="10.1796875" style="1198" bestFit="1" customWidth="1"/>
    <col min="13571" max="13571" width="14" style="1198" customWidth="1"/>
    <col min="13572" max="13572" width="14.36328125" style="1198" bestFit="1" customWidth="1"/>
    <col min="13573" max="13573" width="18.54296875" style="1198" customWidth="1"/>
    <col min="13574" max="13574" width="13" style="1198" bestFit="1" customWidth="1"/>
    <col min="13575" max="13575" width="70.7265625" style="1198" bestFit="1" customWidth="1"/>
    <col min="13576" max="13823" width="8.7265625" style="1198"/>
    <col min="13824" max="13824" width="6.1796875" style="1198" bestFit="1" customWidth="1"/>
    <col min="13825" max="13825" width="19.7265625" style="1198" bestFit="1" customWidth="1"/>
    <col min="13826" max="13826" width="10.1796875" style="1198" bestFit="1" customWidth="1"/>
    <col min="13827" max="13827" width="14" style="1198" customWidth="1"/>
    <col min="13828" max="13828" width="14.36328125" style="1198" bestFit="1" customWidth="1"/>
    <col min="13829" max="13829" width="18.54296875" style="1198" customWidth="1"/>
    <col min="13830" max="13830" width="13" style="1198" bestFit="1" customWidth="1"/>
    <col min="13831" max="13831" width="70.7265625" style="1198" bestFit="1" customWidth="1"/>
    <col min="13832" max="14079" width="8.7265625" style="1198"/>
    <col min="14080" max="14080" width="6.1796875" style="1198" bestFit="1" customWidth="1"/>
    <col min="14081" max="14081" width="19.7265625" style="1198" bestFit="1" customWidth="1"/>
    <col min="14082" max="14082" width="10.1796875" style="1198" bestFit="1" customWidth="1"/>
    <col min="14083" max="14083" width="14" style="1198" customWidth="1"/>
    <col min="14084" max="14084" width="14.36328125" style="1198" bestFit="1" customWidth="1"/>
    <col min="14085" max="14085" width="18.54296875" style="1198" customWidth="1"/>
    <col min="14086" max="14086" width="13" style="1198" bestFit="1" customWidth="1"/>
    <col min="14087" max="14087" width="70.7265625" style="1198" bestFit="1" customWidth="1"/>
    <col min="14088" max="14335" width="8.7265625" style="1198"/>
    <col min="14336" max="14336" width="6.1796875" style="1198" bestFit="1" customWidth="1"/>
    <col min="14337" max="14337" width="19.7265625" style="1198" bestFit="1" customWidth="1"/>
    <col min="14338" max="14338" width="10.1796875" style="1198" bestFit="1" customWidth="1"/>
    <col min="14339" max="14339" width="14" style="1198" customWidth="1"/>
    <col min="14340" max="14340" width="14.36328125" style="1198" bestFit="1" customWidth="1"/>
    <col min="14341" max="14341" width="18.54296875" style="1198" customWidth="1"/>
    <col min="14342" max="14342" width="13" style="1198" bestFit="1" customWidth="1"/>
    <col min="14343" max="14343" width="70.7265625" style="1198" bestFit="1" customWidth="1"/>
    <col min="14344" max="14591" width="8.7265625" style="1198"/>
    <col min="14592" max="14592" width="6.1796875" style="1198" bestFit="1" customWidth="1"/>
    <col min="14593" max="14593" width="19.7265625" style="1198" bestFit="1" customWidth="1"/>
    <col min="14594" max="14594" width="10.1796875" style="1198" bestFit="1" customWidth="1"/>
    <col min="14595" max="14595" width="14" style="1198" customWidth="1"/>
    <col min="14596" max="14596" width="14.36328125" style="1198" bestFit="1" customWidth="1"/>
    <col min="14597" max="14597" width="18.54296875" style="1198" customWidth="1"/>
    <col min="14598" max="14598" width="13" style="1198" bestFit="1" customWidth="1"/>
    <col min="14599" max="14599" width="70.7265625" style="1198" bestFit="1" customWidth="1"/>
    <col min="14600" max="14847" width="8.7265625" style="1198"/>
    <col min="14848" max="14848" width="6.1796875" style="1198" bestFit="1" customWidth="1"/>
    <col min="14849" max="14849" width="19.7265625" style="1198" bestFit="1" customWidth="1"/>
    <col min="14850" max="14850" width="10.1796875" style="1198" bestFit="1" customWidth="1"/>
    <col min="14851" max="14851" width="14" style="1198" customWidth="1"/>
    <col min="14852" max="14852" width="14.36328125" style="1198" bestFit="1" customWidth="1"/>
    <col min="14853" max="14853" width="18.54296875" style="1198" customWidth="1"/>
    <col min="14854" max="14854" width="13" style="1198" bestFit="1" customWidth="1"/>
    <col min="14855" max="14855" width="70.7265625" style="1198" bestFit="1" customWidth="1"/>
    <col min="14856" max="15103" width="8.7265625" style="1198"/>
    <col min="15104" max="15104" width="6.1796875" style="1198" bestFit="1" customWidth="1"/>
    <col min="15105" max="15105" width="19.7265625" style="1198" bestFit="1" customWidth="1"/>
    <col min="15106" max="15106" width="10.1796875" style="1198" bestFit="1" customWidth="1"/>
    <col min="15107" max="15107" width="14" style="1198" customWidth="1"/>
    <col min="15108" max="15108" width="14.36328125" style="1198" bestFit="1" customWidth="1"/>
    <col min="15109" max="15109" width="18.54296875" style="1198" customWidth="1"/>
    <col min="15110" max="15110" width="13" style="1198" bestFit="1" customWidth="1"/>
    <col min="15111" max="15111" width="70.7265625" style="1198" bestFit="1" customWidth="1"/>
    <col min="15112" max="15359" width="8.7265625" style="1198"/>
    <col min="15360" max="15360" width="6.1796875" style="1198" bestFit="1" customWidth="1"/>
    <col min="15361" max="15361" width="19.7265625" style="1198" bestFit="1" customWidth="1"/>
    <col min="15362" max="15362" width="10.1796875" style="1198" bestFit="1" customWidth="1"/>
    <col min="15363" max="15363" width="14" style="1198" customWidth="1"/>
    <col min="15364" max="15364" width="14.36328125" style="1198" bestFit="1" customWidth="1"/>
    <col min="15365" max="15365" width="18.54296875" style="1198" customWidth="1"/>
    <col min="15366" max="15366" width="13" style="1198" bestFit="1" customWidth="1"/>
    <col min="15367" max="15367" width="70.7265625" style="1198" bestFit="1" customWidth="1"/>
    <col min="15368" max="15615" width="8.7265625" style="1198"/>
    <col min="15616" max="15616" width="6.1796875" style="1198" bestFit="1" customWidth="1"/>
    <col min="15617" max="15617" width="19.7265625" style="1198" bestFit="1" customWidth="1"/>
    <col min="15618" max="15618" width="10.1796875" style="1198" bestFit="1" customWidth="1"/>
    <col min="15619" max="15619" width="14" style="1198" customWidth="1"/>
    <col min="15620" max="15620" width="14.36328125" style="1198" bestFit="1" customWidth="1"/>
    <col min="15621" max="15621" width="18.54296875" style="1198" customWidth="1"/>
    <col min="15622" max="15622" width="13" style="1198" bestFit="1" customWidth="1"/>
    <col min="15623" max="15623" width="70.7265625" style="1198" bestFit="1" customWidth="1"/>
    <col min="15624" max="15871" width="8.7265625" style="1198"/>
    <col min="15872" max="15872" width="6.1796875" style="1198" bestFit="1" customWidth="1"/>
    <col min="15873" max="15873" width="19.7265625" style="1198" bestFit="1" customWidth="1"/>
    <col min="15874" max="15874" width="10.1796875" style="1198" bestFit="1" customWidth="1"/>
    <col min="15875" max="15875" width="14" style="1198" customWidth="1"/>
    <col min="15876" max="15876" width="14.36328125" style="1198" bestFit="1" customWidth="1"/>
    <col min="15877" max="15877" width="18.54296875" style="1198" customWidth="1"/>
    <col min="15878" max="15878" width="13" style="1198" bestFit="1" customWidth="1"/>
    <col min="15879" max="15879" width="70.7265625" style="1198" bestFit="1" customWidth="1"/>
    <col min="15880" max="16127" width="8.7265625" style="1198"/>
    <col min="16128" max="16128" width="6.1796875" style="1198" bestFit="1" customWidth="1"/>
    <col min="16129" max="16129" width="19.7265625" style="1198" bestFit="1" customWidth="1"/>
    <col min="16130" max="16130" width="10.1796875" style="1198" bestFit="1" customWidth="1"/>
    <col min="16131" max="16131" width="14" style="1198" customWidth="1"/>
    <col min="16132" max="16132" width="14.36328125" style="1198" bestFit="1" customWidth="1"/>
    <col min="16133" max="16133" width="18.54296875" style="1198" customWidth="1"/>
    <col min="16134" max="16134" width="13" style="1198" bestFit="1" customWidth="1"/>
    <col min="16135" max="16135" width="70.7265625" style="1198" bestFit="1" customWidth="1"/>
    <col min="16136" max="16384" width="8.7265625" style="1198"/>
  </cols>
  <sheetData>
    <row r="1" spans="1:12" ht="13">
      <c r="A1" s="1596" t="s">
        <v>3452</v>
      </c>
      <c r="B1" s="1596"/>
      <c r="C1" s="1596"/>
      <c r="D1" s="1596"/>
      <c r="E1" s="1596"/>
      <c r="F1" s="1596"/>
      <c r="G1" s="1596"/>
    </row>
    <row r="2" spans="1:12" ht="54.5" customHeight="1">
      <c r="A2" s="1199" t="s">
        <v>2877</v>
      </c>
      <c r="B2" s="1199" t="s">
        <v>3267</v>
      </c>
      <c r="C2" s="1200" t="s">
        <v>2683</v>
      </c>
      <c r="D2" s="1200" t="s">
        <v>3453</v>
      </c>
      <c r="E2" s="1200" t="s">
        <v>3454</v>
      </c>
      <c r="F2" s="1200" t="s">
        <v>593</v>
      </c>
      <c r="G2" s="1199" t="s">
        <v>19</v>
      </c>
    </row>
    <row r="3" spans="1:12" ht="14.5">
      <c r="A3" s="1597" t="s">
        <v>1675</v>
      </c>
      <c r="B3" s="1201" t="s">
        <v>3438</v>
      </c>
      <c r="C3" s="1211" t="s">
        <v>1857</v>
      </c>
      <c r="D3" s="1203">
        <v>1</v>
      </c>
      <c r="E3" s="1203">
        <v>2</v>
      </c>
      <c r="F3" s="1203">
        <f>D3-E3</f>
        <v>-1</v>
      </c>
      <c r="G3" s="1205" t="s">
        <v>3444</v>
      </c>
    </row>
    <row r="4" spans="1:12" ht="14.5">
      <c r="A4" s="1597"/>
      <c r="B4" s="1201" t="s">
        <v>3439</v>
      </c>
      <c r="C4" s="1211" t="s">
        <v>3455</v>
      </c>
      <c r="D4" s="1203"/>
      <c r="E4" s="1203">
        <v>0</v>
      </c>
      <c r="F4" s="1203">
        <f t="shared" ref="F4:F43" si="0">D4-E4</f>
        <v>0</v>
      </c>
      <c r="G4" s="1212"/>
    </row>
    <row r="5" spans="1:12" ht="14.5">
      <c r="A5" s="1597"/>
      <c r="B5" s="1201" t="s">
        <v>3441</v>
      </c>
      <c r="C5" s="1211" t="s">
        <v>3455</v>
      </c>
      <c r="D5" s="1203"/>
      <c r="E5" s="1203">
        <v>2</v>
      </c>
      <c r="F5" s="1203">
        <f t="shared" si="0"/>
        <v>-2</v>
      </c>
      <c r="G5" s="1205" t="s">
        <v>3444</v>
      </c>
    </row>
    <row r="6" spans="1:12" ht="14.5">
      <c r="A6" s="1597"/>
      <c r="B6" s="1201" t="s">
        <v>3442</v>
      </c>
      <c r="C6" s="1211" t="s">
        <v>3455</v>
      </c>
      <c r="D6" s="1203"/>
      <c r="E6" s="1203">
        <v>0</v>
      </c>
      <c r="F6" s="1203">
        <f t="shared" si="0"/>
        <v>0</v>
      </c>
      <c r="G6" s="1205"/>
    </row>
    <row r="7" spans="1:12" ht="14.5">
      <c r="A7" s="1597"/>
      <c r="B7" s="1201" t="s">
        <v>3443</v>
      </c>
      <c r="C7" s="1211" t="s">
        <v>3455</v>
      </c>
      <c r="D7" s="1203"/>
      <c r="E7" s="1203">
        <v>0</v>
      </c>
      <c r="F7" s="1203">
        <f t="shared" si="0"/>
        <v>0</v>
      </c>
      <c r="G7" s="1206"/>
    </row>
    <row r="8" spans="1:12" ht="14.5">
      <c r="A8" s="1597" t="s">
        <v>2397</v>
      </c>
      <c r="B8" s="1201" t="s">
        <v>3438</v>
      </c>
      <c r="C8" s="1211" t="s">
        <v>1857</v>
      </c>
      <c r="D8" s="1203">
        <v>33.5</v>
      </c>
      <c r="E8" s="1203">
        <v>31</v>
      </c>
      <c r="F8" s="1203">
        <f t="shared" si="0"/>
        <v>2.5</v>
      </c>
      <c r="G8" s="1205"/>
      <c r="L8" s="1198">
        <f>6/4</f>
        <v>1.5</v>
      </c>
    </row>
    <row r="9" spans="1:12" ht="14.5">
      <c r="A9" s="1597"/>
      <c r="B9" s="1201" t="s">
        <v>3439</v>
      </c>
      <c r="C9" s="1211" t="s">
        <v>3455</v>
      </c>
      <c r="D9" s="1203">
        <v>6</v>
      </c>
      <c r="E9" s="1203">
        <v>6</v>
      </c>
      <c r="F9" s="1203">
        <f t="shared" si="0"/>
        <v>0</v>
      </c>
      <c r="G9" s="1206"/>
    </row>
    <row r="10" spans="1:12" ht="14.5">
      <c r="A10" s="1597"/>
      <c r="B10" s="1201" t="s">
        <v>3441</v>
      </c>
      <c r="C10" s="1211" t="s">
        <v>3455</v>
      </c>
      <c r="D10" s="1203">
        <v>16</v>
      </c>
      <c r="E10" s="1203">
        <v>15</v>
      </c>
      <c r="F10" s="1203">
        <f t="shared" si="0"/>
        <v>1</v>
      </c>
      <c r="G10" s="1205"/>
    </row>
    <row r="11" spans="1:12" ht="14.5">
      <c r="A11" s="1597"/>
      <c r="B11" s="1201" t="s">
        <v>3442</v>
      </c>
      <c r="C11" s="1211" t="s">
        <v>3455</v>
      </c>
      <c r="D11" s="1203">
        <v>4</v>
      </c>
      <c r="E11" s="1203">
        <v>4</v>
      </c>
      <c r="F11" s="1203">
        <f t="shared" si="0"/>
        <v>0</v>
      </c>
      <c r="G11" s="1205"/>
    </row>
    <row r="12" spans="1:12" ht="14.5">
      <c r="A12" s="1597"/>
      <c r="B12" s="1201" t="s">
        <v>3445</v>
      </c>
      <c r="C12" s="1211" t="s">
        <v>3455</v>
      </c>
      <c r="D12" s="1203">
        <v>8</v>
      </c>
      <c r="E12" s="1203">
        <v>8</v>
      </c>
      <c r="F12" s="1203">
        <f t="shared" si="0"/>
        <v>0</v>
      </c>
      <c r="G12" s="1206"/>
    </row>
    <row r="13" spans="1:12" ht="14.5">
      <c r="A13" s="1597"/>
      <c r="B13" s="1201" t="s">
        <v>3448</v>
      </c>
      <c r="C13" s="1211" t="s">
        <v>3455</v>
      </c>
      <c r="D13" s="1203">
        <v>1</v>
      </c>
      <c r="E13" s="1203">
        <v>0</v>
      </c>
      <c r="F13" s="1203">
        <f t="shared" si="0"/>
        <v>1</v>
      </c>
      <c r="G13" s="1212"/>
    </row>
    <row r="14" spans="1:12" ht="14.5">
      <c r="A14" s="1597"/>
      <c r="B14" s="1201" t="s">
        <v>3456</v>
      </c>
      <c r="C14" s="1211" t="s">
        <v>3455</v>
      </c>
      <c r="D14" s="1203">
        <v>1</v>
      </c>
      <c r="E14" s="1203">
        <v>0</v>
      </c>
      <c r="F14" s="1203">
        <f t="shared" si="0"/>
        <v>1</v>
      </c>
      <c r="G14" s="1212"/>
    </row>
    <row r="15" spans="1:12" ht="14.5">
      <c r="A15" s="1597"/>
      <c r="B15" s="1201" t="s">
        <v>3457</v>
      </c>
      <c r="C15" s="1211" t="s">
        <v>3455</v>
      </c>
      <c r="D15" s="1203">
        <v>2</v>
      </c>
      <c r="E15" s="1203">
        <v>0</v>
      </c>
      <c r="F15" s="1203">
        <f t="shared" si="0"/>
        <v>2</v>
      </c>
      <c r="G15" s="1212"/>
    </row>
    <row r="16" spans="1:12" ht="14.5">
      <c r="A16" s="1597"/>
      <c r="B16" s="1201" t="s">
        <v>3458</v>
      </c>
      <c r="C16" s="1211" t="s">
        <v>3455</v>
      </c>
      <c r="D16" s="1203">
        <v>1</v>
      </c>
      <c r="E16" s="1203">
        <v>0</v>
      </c>
      <c r="F16" s="1203">
        <f t="shared" si="0"/>
        <v>1</v>
      </c>
      <c r="G16" s="1212"/>
    </row>
    <row r="17" spans="1:7" ht="14.5">
      <c r="A17" s="1597" t="s">
        <v>2398</v>
      </c>
      <c r="B17" s="1201" t="s">
        <v>3438</v>
      </c>
      <c r="C17" s="1211" t="s">
        <v>1857</v>
      </c>
      <c r="D17" s="1203">
        <v>33.25</v>
      </c>
      <c r="E17" s="1203">
        <v>31</v>
      </c>
      <c r="F17" s="1203">
        <f t="shared" si="0"/>
        <v>2.25</v>
      </c>
      <c r="G17" s="1205"/>
    </row>
    <row r="18" spans="1:7" ht="14.5">
      <c r="A18" s="1597"/>
      <c r="B18" s="1201" t="s">
        <v>3439</v>
      </c>
      <c r="C18" s="1211" t="s">
        <v>3455</v>
      </c>
      <c r="D18" s="1203">
        <v>7</v>
      </c>
      <c r="E18" s="1203">
        <v>7</v>
      </c>
      <c r="F18" s="1203">
        <f t="shared" si="0"/>
        <v>0</v>
      </c>
      <c r="G18" s="1205"/>
    </row>
    <row r="19" spans="1:7" ht="14.5">
      <c r="A19" s="1597"/>
      <c r="B19" s="1201" t="s">
        <v>3441</v>
      </c>
      <c r="C19" s="1211" t="s">
        <v>3455</v>
      </c>
      <c r="D19" s="1203">
        <v>4</v>
      </c>
      <c r="E19" s="1203">
        <v>4</v>
      </c>
      <c r="F19" s="1203">
        <f t="shared" si="0"/>
        <v>0</v>
      </c>
      <c r="G19" s="1205"/>
    </row>
    <row r="20" spans="1:7" ht="14.5">
      <c r="A20" s="1597"/>
      <c r="B20" s="1201" t="s">
        <v>3442</v>
      </c>
      <c r="C20" s="1211" t="s">
        <v>3455</v>
      </c>
      <c r="D20" s="1203">
        <v>8</v>
      </c>
      <c r="E20" s="1203">
        <v>7</v>
      </c>
      <c r="F20" s="1203">
        <f t="shared" si="0"/>
        <v>1</v>
      </c>
      <c r="G20" s="1205"/>
    </row>
    <row r="21" spans="1:7" ht="14.5">
      <c r="A21" s="1597"/>
      <c r="B21" s="1201" t="s">
        <v>3443</v>
      </c>
      <c r="C21" s="1211" t="s">
        <v>3455</v>
      </c>
      <c r="D21" s="1203"/>
      <c r="E21" s="1203">
        <v>0</v>
      </c>
      <c r="F21" s="1203">
        <f t="shared" si="0"/>
        <v>0</v>
      </c>
      <c r="G21" s="1205"/>
    </row>
    <row r="22" spans="1:7" ht="14.5">
      <c r="A22" s="1597"/>
      <c r="B22" s="1201" t="s">
        <v>3445</v>
      </c>
      <c r="C22" s="1211" t="s">
        <v>3455</v>
      </c>
      <c r="D22" s="1203">
        <v>8</v>
      </c>
      <c r="E22" s="1203">
        <v>8</v>
      </c>
      <c r="F22" s="1203">
        <f t="shared" si="0"/>
        <v>0</v>
      </c>
      <c r="G22" s="1206"/>
    </row>
    <row r="23" spans="1:7" ht="14.5">
      <c r="A23" s="1597"/>
      <c r="B23" s="1201" t="s">
        <v>3447</v>
      </c>
      <c r="C23" s="1211" t="s">
        <v>3455</v>
      </c>
      <c r="D23" s="1203">
        <v>1</v>
      </c>
      <c r="E23" s="1203">
        <v>0</v>
      </c>
      <c r="F23" s="1203">
        <f t="shared" si="0"/>
        <v>1</v>
      </c>
      <c r="G23" s="1212"/>
    </row>
    <row r="24" spans="1:7" ht="14.5">
      <c r="A24" s="1597"/>
      <c r="B24" s="1201" t="s">
        <v>3448</v>
      </c>
      <c r="C24" s="1211" t="s">
        <v>3455</v>
      </c>
      <c r="D24" s="1203">
        <v>2</v>
      </c>
      <c r="E24" s="1203">
        <v>2</v>
      </c>
      <c r="F24" s="1203">
        <f t="shared" si="0"/>
        <v>0</v>
      </c>
      <c r="G24" s="1206"/>
    </row>
    <row r="25" spans="1:7" ht="14.5">
      <c r="A25" s="1597"/>
      <c r="B25" s="1201" t="s">
        <v>3457</v>
      </c>
      <c r="C25" s="1211" t="s">
        <v>3455</v>
      </c>
      <c r="D25" s="1203">
        <v>1</v>
      </c>
      <c r="E25" s="1203">
        <v>0</v>
      </c>
      <c r="F25" s="1203">
        <f t="shared" si="0"/>
        <v>1</v>
      </c>
      <c r="G25" s="1212"/>
    </row>
    <row r="26" spans="1:7" ht="14.5">
      <c r="A26" s="1597"/>
      <c r="B26" s="1201" t="s">
        <v>3459</v>
      </c>
      <c r="C26" s="1211" t="s">
        <v>3455</v>
      </c>
      <c r="D26" s="1203">
        <v>2</v>
      </c>
      <c r="E26" s="1203">
        <v>0</v>
      </c>
      <c r="F26" s="1203">
        <f t="shared" si="0"/>
        <v>2</v>
      </c>
      <c r="G26" s="1212"/>
    </row>
    <row r="27" spans="1:7" ht="14.5">
      <c r="A27" s="1597" t="s">
        <v>2425</v>
      </c>
      <c r="B27" s="1201" t="s">
        <v>3438</v>
      </c>
      <c r="C27" s="1211" t="s">
        <v>1857</v>
      </c>
      <c r="D27" s="1203">
        <v>31.75</v>
      </c>
      <c r="E27" s="1203">
        <v>28</v>
      </c>
      <c r="F27" s="1203">
        <f t="shared" si="0"/>
        <v>3.75</v>
      </c>
      <c r="G27" s="1205"/>
    </row>
    <row r="28" spans="1:7" ht="14.5">
      <c r="A28" s="1597"/>
      <c r="B28" s="1201" t="s">
        <v>3439</v>
      </c>
      <c r="C28" s="1211" t="s">
        <v>3455</v>
      </c>
      <c r="D28" s="1203">
        <v>4</v>
      </c>
      <c r="E28" s="1203">
        <v>5</v>
      </c>
      <c r="F28" s="1203">
        <f t="shared" si="0"/>
        <v>-1</v>
      </c>
      <c r="G28" s="1205" t="s">
        <v>3444</v>
      </c>
    </row>
    <row r="29" spans="1:7" ht="14.5">
      <c r="A29" s="1597"/>
      <c r="B29" s="1201" t="s">
        <v>3441</v>
      </c>
      <c r="C29" s="1211" t="s">
        <v>3455</v>
      </c>
      <c r="D29" s="1203">
        <v>5</v>
      </c>
      <c r="E29" s="1203">
        <v>5</v>
      </c>
      <c r="F29" s="1203">
        <f t="shared" si="0"/>
        <v>0</v>
      </c>
      <c r="G29" s="1205"/>
    </row>
    <row r="30" spans="1:7" ht="14.5">
      <c r="A30" s="1597"/>
      <c r="B30" s="1201" t="s">
        <v>3442</v>
      </c>
      <c r="C30" s="1211" t="s">
        <v>3455</v>
      </c>
      <c r="D30" s="1203">
        <v>10</v>
      </c>
      <c r="E30" s="1203">
        <v>9</v>
      </c>
      <c r="F30" s="1203">
        <f t="shared" si="0"/>
        <v>1</v>
      </c>
      <c r="G30" s="1205"/>
    </row>
    <row r="31" spans="1:7" ht="14.5">
      <c r="A31" s="1597"/>
      <c r="B31" s="1201" t="s">
        <v>3445</v>
      </c>
      <c r="C31" s="1211" t="s">
        <v>3455</v>
      </c>
      <c r="D31" s="1203">
        <v>5</v>
      </c>
      <c r="E31" s="1203">
        <v>5</v>
      </c>
      <c r="F31" s="1203">
        <f t="shared" si="0"/>
        <v>0</v>
      </c>
      <c r="G31" s="1205"/>
    </row>
    <row r="32" spans="1:7" ht="14.5">
      <c r="A32" s="1597"/>
      <c r="B32" s="1201" t="s">
        <v>3447</v>
      </c>
      <c r="C32" s="1211" t="s">
        <v>3455</v>
      </c>
      <c r="D32" s="1203">
        <v>3</v>
      </c>
      <c r="E32" s="1203">
        <v>3</v>
      </c>
      <c r="F32" s="1203">
        <f t="shared" si="0"/>
        <v>0</v>
      </c>
      <c r="G32" s="1206"/>
    </row>
    <row r="33" spans="1:7" ht="14.5">
      <c r="A33" s="1597"/>
      <c r="B33" s="1201" t="s">
        <v>3448</v>
      </c>
      <c r="C33" s="1211" t="s">
        <v>3455</v>
      </c>
      <c r="D33" s="1203">
        <v>1</v>
      </c>
      <c r="E33" s="1203">
        <v>1</v>
      </c>
      <c r="F33" s="1203">
        <f t="shared" si="0"/>
        <v>0</v>
      </c>
      <c r="G33" s="1206"/>
    </row>
    <row r="34" spans="1:7" ht="14.5">
      <c r="A34" s="1597"/>
      <c r="B34" s="1201" t="s">
        <v>3456</v>
      </c>
      <c r="C34" s="1211" t="s">
        <v>3455</v>
      </c>
      <c r="D34" s="1203">
        <v>6</v>
      </c>
      <c r="E34" s="1203">
        <v>6</v>
      </c>
      <c r="F34" s="1203">
        <f t="shared" si="0"/>
        <v>0</v>
      </c>
      <c r="G34" s="1206"/>
    </row>
    <row r="35" spans="1:7" ht="14.5">
      <c r="A35" s="1597"/>
      <c r="B35" s="1201" t="s">
        <v>3474</v>
      </c>
      <c r="C35" s="1211" t="s">
        <v>3455</v>
      </c>
      <c r="D35" s="1203">
        <v>1</v>
      </c>
      <c r="E35" s="1203">
        <v>0</v>
      </c>
      <c r="F35" s="1203">
        <f t="shared" si="0"/>
        <v>1</v>
      </c>
      <c r="G35" s="1206"/>
    </row>
    <row r="36" spans="1:7" ht="14.5">
      <c r="A36" s="1597"/>
      <c r="B36" s="1201" t="s">
        <v>3460</v>
      </c>
      <c r="C36" s="1211" t="s">
        <v>3455</v>
      </c>
      <c r="D36" s="1203">
        <v>1</v>
      </c>
      <c r="E36" s="1203">
        <v>1</v>
      </c>
      <c r="F36" s="1203">
        <f t="shared" si="0"/>
        <v>0</v>
      </c>
      <c r="G36" s="1206"/>
    </row>
    <row r="37" spans="1:7" ht="14.5">
      <c r="A37" s="1597"/>
      <c r="B37" s="1201" t="s">
        <v>3446</v>
      </c>
      <c r="C37" s="1211" t="s">
        <v>1857</v>
      </c>
      <c r="D37" s="1203">
        <v>6.5</v>
      </c>
      <c r="E37" s="1203">
        <v>5</v>
      </c>
      <c r="F37" s="1203">
        <f t="shared" si="0"/>
        <v>1.5</v>
      </c>
      <c r="G37" s="1205"/>
    </row>
    <row r="38" spans="1:7" ht="14.5">
      <c r="A38" s="1597"/>
      <c r="B38" s="1201" t="s">
        <v>3439</v>
      </c>
      <c r="C38" s="1211" t="s">
        <v>3455</v>
      </c>
      <c r="D38" s="1203">
        <v>1</v>
      </c>
      <c r="E38" s="1203">
        <v>1</v>
      </c>
      <c r="F38" s="1203">
        <f t="shared" si="0"/>
        <v>0</v>
      </c>
      <c r="G38" s="1205"/>
    </row>
    <row r="39" spans="1:7" ht="14.5">
      <c r="A39" s="1597"/>
      <c r="B39" s="1201" t="s">
        <v>3441</v>
      </c>
      <c r="C39" s="1211" t="s">
        <v>3455</v>
      </c>
      <c r="D39" s="1203">
        <v>1</v>
      </c>
      <c r="E39" s="1203">
        <v>1</v>
      </c>
      <c r="F39" s="1203">
        <f t="shared" si="0"/>
        <v>0</v>
      </c>
      <c r="G39" s="1205"/>
    </row>
    <row r="40" spans="1:7" ht="14.5">
      <c r="A40" s="1597"/>
      <c r="B40" s="1201" t="s">
        <v>3442</v>
      </c>
      <c r="C40" s="1211" t="s">
        <v>3455</v>
      </c>
      <c r="D40" s="1203">
        <v>7</v>
      </c>
      <c r="E40" s="1203">
        <v>5</v>
      </c>
      <c r="F40" s="1203">
        <f t="shared" si="0"/>
        <v>2</v>
      </c>
      <c r="G40" s="1205"/>
    </row>
    <row r="41" spans="1:7" ht="14.5">
      <c r="A41" s="1597"/>
      <c r="B41" s="1201" t="s">
        <v>3447</v>
      </c>
      <c r="C41" s="1211" t="s">
        <v>3455</v>
      </c>
      <c r="D41" s="1203">
        <v>3</v>
      </c>
      <c r="E41" s="1203">
        <v>3</v>
      </c>
      <c r="F41" s="1203">
        <f t="shared" si="0"/>
        <v>0</v>
      </c>
      <c r="G41" s="1205"/>
    </row>
    <row r="42" spans="1:7" ht="14.5">
      <c r="A42" s="1597"/>
      <c r="B42" s="1201" t="s">
        <v>3445</v>
      </c>
      <c r="C42" s="1211" t="s">
        <v>3455</v>
      </c>
      <c r="D42" s="1203">
        <v>3</v>
      </c>
      <c r="E42" s="1203">
        <v>2</v>
      </c>
      <c r="F42" s="1203">
        <f t="shared" si="0"/>
        <v>1</v>
      </c>
      <c r="G42" s="1206"/>
    </row>
    <row r="43" spans="1:7" ht="14.5">
      <c r="A43" s="1597"/>
      <c r="B43" s="1201" t="s">
        <v>3448</v>
      </c>
      <c r="C43" s="1211" t="s">
        <v>3455</v>
      </c>
      <c r="D43" s="1203">
        <v>2</v>
      </c>
      <c r="E43" s="1203">
        <v>2</v>
      </c>
      <c r="F43" s="1203">
        <f t="shared" si="0"/>
        <v>0</v>
      </c>
      <c r="G43" s="1206"/>
    </row>
    <row r="44" spans="1:7" ht="13">
      <c r="A44" s="1595" t="s">
        <v>994</v>
      </c>
      <c r="B44" s="1595"/>
      <c r="C44" s="1213" t="s">
        <v>1857</v>
      </c>
      <c r="D44" s="1213">
        <f>D3+D8+D17+D27+D37+((D4)/4)+(D29/4)+(D39/4)+(D9/4)+(D18/4)+(D28/4)+(D38/4)</f>
        <v>112</v>
      </c>
      <c r="E44" s="1213">
        <f>E3+E8+E17+E27+E37+((E4)/4)+(E29/4)+(E39/4)+(E9/4)+(E18/4)+(E28/4)+(E38/4)</f>
        <v>103.25</v>
      </c>
      <c r="F44" s="1213">
        <f>F3+F8+F17+F27+F37+((F4)/4)+(F29/4)+(F39/4)+(F9/4)+(F18/4)+(F28/4)+(F38/4)</f>
        <v>8.75</v>
      </c>
      <c r="G44" s="1213"/>
    </row>
  </sheetData>
  <autoFilter ref="A2:G44" xr:uid="{C24839B0-7CA8-4DB9-96FB-33F13366939F}"/>
  <mergeCells count="6">
    <mergeCell ref="A44:B44"/>
    <mergeCell ref="A1:G1"/>
    <mergeCell ref="A3:A7"/>
    <mergeCell ref="A8:A16"/>
    <mergeCell ref="A17:A26"/>
    <mergeCell ref="A27:A43"/>
  </mergeCells>
  <conditionalFormatting sqref="F1:F43 F45:F65537">
    <cfRule type="cellIs" dxfId="3568" priority="1" stopIfTrue="1" operator="lessThan">
      <formula>0</formula>
    </cfRule>
  </conditionalFormatting>
  <conditionalFormatting sqref="G2:G3 G5:G12 G17:G22 G24 G27:G43 G45:G65537">
    <cfRule type="cellIs" dxfId="3567" priority="2" stopIfTrue="1" operator="equal">
      <formula>#REF!</formula>
    </cfRule>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3BEE7-B270-401B-AD44-AA82DFDE9604}">
  <sheetPr>
    <tabColor rgb="FF00B050"/>
  </sheetPr>
  <dimension ref="A1:G52"/>
  <sheetViews>
    <sheetView showZeros="0" zoomScaleNormal="100" workbookViewId="0">
      <selection activeCell="I30" sqref="I30"/>
    </sheetView>
  </sheetViews>
  <sheetFormatPr defaultRowHeight="12.5"/>
  <cols>
    <col min="1" max="1" width="10.7265625" style="1198" bestFit="1" customWidth="1"/>
    <col min="2" max="2" width="16.54296875" style="1198" bestFit="1" customWidth="1"/>
    <col min="3" max="3" width="14.36328125" style="1198" bestFit="1" customWidth="1"/>
    <col min="4" max="5" width="15.90625" style="1198" customWidth="1"/>
    <col min="6" max="6" width="11.81640625" style="1198" customWidth="1"/>
    <col min="7" max="7" width="18.36328125" style="1198" bestFit="1" customWidth="1"/>
    <col min="8" max="256" width="8.7265625" style="1198"/>
    <col min="257" max="257" width="10.7265625" style="1198" bestFit="1" customWidth="1"/>
    <col min="258" max="258" width="16.54296875" style="1198" bestFit="1" customWidth="1"/>
    <col min="259" max="259" width="14.36328125" style="1198" bestFit="1" customWidth="1"/>
    <col min="260" max="261" width="15.90625" style="1198" customWidth="1"/>
    <col min="262" max="262" width="11.81640625" style="1198" customWidth="1"/>
    <col min="263" max="263" width="18.36328125" style="1198" bestFit="1" customWidth="1"/>
    <col min="264" max="512" width="8.7265625" style="1198"/>
    <col min="513" max="513" width="10.7265625" style="1198" bestFit="1" customWidth="1"/>
    <col min="514" max="514" width="16.54296875" style="1198" bestFit="1" customWidth="1"/>
    <col min="515" max="515" width="14.36328125" style="1198" bestFit="1" customWidth="1"/>
    <col min="516" max="517" width="15.90625" style="1198" customWidth="1"/>
    <col min="518" max="518" width="11.81640625" style="1198" customWidth="1"/>
    <col min="519" max="519" width="18.36328125" style="1198" bestFit="1" customWidth="1"/>
    <col min="520" max="768" width="8.7265625" style="1198"/>
    <col min="769" max="769" width="10.7265625" style="1198" bestFit="1" customWidth="1"/>
    <col min="770" max="770" width="16.54296875" style="1198" bestFit="1" customWidth="1"/>
    <col min="771" max="771" width="14.36328125" style="1198" bestFit="1" customWidth="1"/>
    <col min="772" max="773" width="15.90625" style="1198" customWidth="1"/>
    <col min="774" max="774" width="11.81640625" style="1198" customWidth="1"/>
    <col min="775" max="775" width="18.36328125" style="1198" bestFit="1" customWidth="1"/>
    <col min="776" max="1024" width="8.7265625" style="1198"/>
    <col min="1025" max="1025" width="10.7265625" style="1198" bestFit="1" customWidth="1"/>
    <col min="1026" max="1026" width="16.54296875" style="1198" bestFit="1" customWidth="1"/>
    <col min="1027" max="1027" width="14.36328125" style="1198" bestFit="1" customWidth="1"/>
    <col min="1028" max="1029" width="15.90625" style="1198" customWidth="1"/>
    <col min="1030" max="1030" width="11.81640625" style="1198" customWidth="1"/>
    <col min="1031" max="1031" width="18.36328125" style="1198" bestFit="1" customWidth="1"/>
    <col min="1032" max="1280" width="8.7265625" style="1198"/>
    <col min="1281" max="1281" width="10.7265625" style="1198" bestFit="1" customWidth="1"/>
    <col min="1282" max="1282" width="16.54296875" style="1198" bestFit="1" customWidth="1"/>
    <col min="1283" max="1283" width="14.36328125" style="1198" bestFit="1" customWidth="1"/>
    <col min="1284" max="1285" width="15.90625" style="1198" customWidth="1"/>
    <col min="1286" max="1286" width="11.81640625" style="1198" customWidth="1"/>
    <col min="1287" max="1287" width="18.36328125" style="1198" bestFit="1" customWidth="1"/>
    <col min="1288" max="1536" width="8.7265625" style="1198"/>
    <col min="1537" max="1537" width="10.7265625" style="1198" bestFit="1" customWidth="1"/>
    <col min="1538" max="1538" width="16.54296875" style="1198" bestFit="1" customWidth="1"/>
    <col min="1539" max="1539" width="14.36328125" style="1198" bestFit="1" customWidth="1"/>
    <col min="1540" max="1541" width="15.90625" style="1198" customWidth="1"/>
    <col min="1542" max="1542" width="11.81640625" style="1198" customWidth="1"/>
    <col min="1543" max="1543" width="18.36328125" style="1198" bestFit="1" customWidth="1"/>
    <col min="1544" max="1792" width="8.7265625" style="1198"/>
    <col min="1793" max="1793" width="10.7265625" style="1198" bestFit="1" customWidth="1"/>
    <col min="1794" max="1794" width="16.54296875" style="1198" bestFit="1" customWidth="1"/>
    <col min="1795" max="1795" width="14.36328125" style="1198" bestFit="1" customWidth="1"/>
    <col min="1796" max="1797" width="15.90625" style="1198" customWidth="1"/>
    <col min="1798" max="1798" width="11.81640625" style="1198" customWidth="1"/>
    <col min="1799" max="1799" width="18.36328125" style="1198" bestFit="1" customWidth="1"/>
    <col min="1800" max="2048" width="8.7265625" style="1198"/>
    <col min="2049" max="2049" width="10.7265625" style="1198" bestFit="1" customWidth="1"/>
    <col min="2050" max="2050" width="16.54296875" style="1198" bestFit="1" customWidth="1"/>
    <col min="2051" max="2051" width="14.36328125" style="1198" bestFit="1" customWidth="1"/>
    <col min="2052" max="2053" width="15.90625" style="1198" customWidth="1"/>
    <col min="2054" max="2054" width="11.81640625" style="1198" customWidth="1"/>
    <col min="2055" max="2055" width="18.36328125" style="1198" bestFit="1" customWidth="1"/>
    <col min="2056" max="2304" width="8.7265625" style="1198"/>
    <col min="2305" max="2305" width="10.7265625" style="1198" bestFit="1" customWidth="1"/>
    <col min="2306" max="2306" width="16.54296875" style="1198" bestFit="1" customWidth="1"/>
    <col min="2307" max="2307" width="14.36328125" style="1198" bestFit="1" customWidth="1"/>
    <col min="2308" max="2309" width="15.90625" style="1198" customWidth="1"/>
    <col min="2310" max="2310" width="11.81640625" style="1198" customWidth="1"/>
    <col min="2311" max="2311" width="18.36328125" style="1198" bestFit="1" customWidth="1"/>
    <col min="2312" max="2560" width="8.7265625" style="1198"/>
    <col min="2561" max="2561" width="10.7265625" style="1198" bestFit="1" customWidth="1"/>
    <col min="2562" max="2562" width="16.54296875" style="1198" bestFit="1" customWidth="1"/>
    <col min="2563" max="2563" width="14.36328125" style="1198" bestFit="1" customWidth="1"/>
    <col min="2564" max="2565" width="15.90625" style="1198" customWidth="1"/>
    <col min="2566" max="2566" width="11.81640625" style="1198" customWidth="1"/>
    <col min="2567" max="2567" width="18.36328125" style="1198" bestFit="1" customWidth="1"/>
    <col min="2568" max="2816" width="8.7265625" style="1198"/>
    <col min="2817" max="2817" width="10.7265625" style="1198" bestFit="1" customWidth="1"/>
    <col min="2818" max="2818" width="16.54296875" style="1198" bestFit="1" customWidth="1"/>
    <col min="2819" max="2819" width="14.36328125" style="1198" bestFit="1" customWidth="1"/>
    <col min="2820" max="2821" width="15.90625" style="1198" customWidth="1"/>
    <col min="2822" max="2822" width="11.81640625" style="1198" customWidth="1"/>
    <col min="2823" max="2823" width="18.36328125" style="1198" bestFit="1" customWidth="1"/>
    <col min="2824" max="3072" width="8.7265625" style="1198"/>
    <col min="3073" max="3073" width="10.7265625" style="1198" bestFit="1" customWidth="1"/>
    <col min="3074" max="3074" width="16.54296875" style="1198" bestFit="1" customWidth="1"/>
    <col min="3075" max="3075" width="14.36328125" style="1198" bestFit="1" customWidth="1"/>
    <col min="3076" max="3077" width="15.90625" style="1198" customWidth="1"/>
    <col min="3078" max="3078" width="11.81640625" style="1198" customWidth="1"/>
    <col min="3079" max="3079" width="18.36328125" style="1198" bestFit="1" customWidth="1"/>
    <col min="3080" max="3328" width="8.7265625" style="1198"/>
    <col min="3329" max="3329" width="10.7265625" style="1198" bestFit="1" customWidth="1"/>
    <col min="3330" max="3330" width="16.54296875" style="1198" bestFit="1" customWidth="1"/>
    <col min="3331" max="3331" width="14.36328125" style="1198" bestFit="1" customWidth="1"/>
    <col min="3332" max="3333" width="15.90625" style="1198" customWidth="1"/>
    <col min="3334" max="3334" width="11.81640625" style="1198" customWidth="1"/>
    <col min="3335" max="3335" width="18.36328125" style="1198" bestFit="1" customWidth="1"/>
    <col min="3336" max="3584" width="8.7265625" style="1198"/>
    <col min="3585" max="3585" width="10.7265625" style="1198" bestFit="1" customWidth="1"/>
    <col min="3586" max="3586" width="16.54296875" style="1198" bestFit="1" customWidth="1"/>
    <col min="3587" max="3587" width="14.36328125" style="1198" bestFit="1" customWidth="1"/>
    <col min="3588" max="3589" width="15.90625" style="1198" customWidth="1"/>
    <col min="3590" max="3590" width="11.81640625" style="1198" customWidth="1"/>
    <col min="3591" max="3591" width="18.36328125" style="1198" bestFit="1" customWidth="1"/>
    <col min="3592" max="3840" width="8.7265625" style="1198"/>
    <col min="3841" max="3841" width="10.7265625" style="1198" bestFit="1" customWidth="1"/>
    <col min="3842" max="3842" width="16.54296875" style="1198" bestFit="1" customWidth="1"/>
    <col min="3843" max="3843" width="14.36328125" style="1198" bestFit="1" customWidth="1"/>
    <col min="3844" max="3845" width="15.90625" style="1198" customWidth="1"/>
    <col min="3846" max="3846" width="11.81640625" style="1198" customWidth="1"/>
    <col min="3847" max="3847" width="18.36328125" style="1198" bestFit="1" customWidth="1"/>
    <col min="3848" max="4096" width="8.7265625" style="1198"/>
    <col min="4097" max="4097" width="10.7265625" style="1198" bestFit="1" customWidth="1"/>
    <col min="4098" max="4098" width="16.54296875" style="1198" bestFit="1" customWidth="1"/>
    <col min="4099" max="4099" width="14.36328125" style="1198" bestFit="1" customWidth="1"/>
    <col min="4100" max="4101" width="15.90625" style="1198" customWidth="1"/>
    <col min="4102" max="4102" width="11.81640625" style="1198" customWidth="1"/>
    <col min="4103" max="4103" width="18.36328125" style="1198" bestFit="1" customWidth="1"/>
    <col min="4104" max="4352" width="8.7265625" style="1198"/>
    <col min="4353" max="4353" width="10.7265625" style="1198" bestFit="1" customWidth="1"/>
    <col min="4354" max="4354" width="16.54296875" style="1198" bestFit="1" customWidth="1"/>
    <col min="4355" max="4355" width="14.36328125" style="1198" bestFit="1" customWidth="1"/>
    <col min="4356" max="4357" width="15.90625" style="1198" customWidth="1"/>
    <col min="4358" max="4358" width="11.81640625" style="1198" customWidth="1"/>
    <col min="4359" max="4359" width="18.36328125" style="1198" bestFit="1" customWidth="1"/>
    <col min="4360" max="4608" width="8.7265625" style="1198"/>
    <col min="4609" max="4609" width="10.7265625" style="1198" bestFit="1" customWidth="1"/>
    <col min="4610" max="4610" width="16.54296875" style="1198" bestFit="1" customWidth="1"/>
    <col min="4611" max="4611" width="14.36328125" style="1198" bestFit="1" customWidth="1"/>
    <col min="4612" max="4613" width="15.90625" style="1198" customWidth="1"/>
    <col min="4614" max="4614" width="11.81640625" style="1198" customWidth="1"/>
    <col min="4615" max="4615" width="18.36328125" style="1198" bestFit="1" customWidth="1"/>
    <col min="4616" max="4864" width="8.7265625" style="1198"/>
    <col min="4865" max="4865" width="10.7265625" style="1198" bestFit="1" customWidth="1"/>
    <col min="4866" max="4866" width="16.54296875" style="1198" bestFit="1" customWidth="1"/>
    <col min="4867" max="4867" width="14.36328125" style="1198" bestFit="1" customWidth="1"/>
    <col min="4868" max="4869" width="15.90625" style="1198" customWidth="1"/>
    <col min="4870" max="4870" width="11.81640625" style="1198" customWidth="1"/>
    <col min="4871" max="4871" width="18.36328125" style="1198" bestFit="1" customWidth="1"/>
    <col min="4872" max="5120" width="8.7265625" style="1198"/>
    <col min="5121" max="5121" width="10.7265625" style="1198" bestFit="1" customWidth="1"/>
    <col min="5122" max="5122" width="16.54296875" style="1198" bestFit="1" customWidth="1"/>
    <col min="5123" max="5123" width="14.36328125" style="1198" bestFit="1" customWidth="1"/>
    <col min="5124" max="5125" width="15.90625" style="1198" customWidth="1"/>
    <col min="5126" max="5126" width="11.81640625" style="1198" customWidth="1"/>
    <col min="5127" max="5127" width="18.36328125" style="1198" bestFit="1" customWidth="1"/>
    <col min="5128" max="5376" width="8.7265625" style="1198"/>
    <col min="5377" max="5377" width="10.7265625" style="1198" bestFit="1" customWidth="1"/>
    <col min="5378" max="5378" width="16.54296875" style="1198" bestFit="1" customWidth="1"/>
    <col min="5379" max="5379" width="14.36328125" style="1198" bestFit="1" customWidth="1"/>
    <col min="5380" max="5381" width="15.90625" style="1198" customWidth="1"/>
    <col min="5382" max="5382" width="11.81640625" style="1198" customWidth="1"/>
    <col min="5383" max="5383" width="18.36328125" style="1198" bestFit="1" customWidth="1"/>
    <col min="5384" max="5632" width="8.7265625" style="1198"/>
    <col min="5633" max="5633" width="10.7265625" style="1198" bestFit="1" customWidth="1"/>
    <col min="5634" max="5634" width="16.54296875" style="1198" bestFit="1" customWidth="1"/>
    <col min="5635" max="5635" width="14.36328125" style="1198" bestFit="1" customWidth="1"/>
    <col min="5636" max="5637" width="15.90625" style="1198" customWidth="1"/>
    <col min="5638" max="5638" width="11.81640625" style="1198" customWidth="1"/>
    <col min="5639" max="5639" width="18.36328125" style="1198" bestFit="1" customWidth="1"/>
    <col min="5640" max="5888" width="8.7265625" style="1198"/>
    <col min="5889" max="5889" width="10.7265625" style="1198" bestFit="1" customWidth="1"/>
    <col min="5890" max="5890" width="16.54296875" style="1198" bestFit="1" customWidth="1"/>
    <col min="5891" max="5891" width="14.36328125" style="1198" bestFit="1" customWidth="1"/>
    <col min="5892" max="5893" width="15.90625" style="1198" customWidth="1"/>
    <col min="5894" max="5894" width="11.81640625" style="1198" customWidth="1"/>
    <col min="5895" max="5895" width="18.36328125" style="1198" bestFit="1" customWidth="1"/>
    <col min="5896" max="6144" width="8.7265625" style="1198"/>
    <col min="6145" max="6145" width="10.7265625" style="1198" bestFit="1" customWidth="1"/>
    <col min="6146" max="6146" width="16.54296875" style="1198" bestFit="1" customWidth="1"/>
    <col min="6147" max="6147" width="14.36328125" style="1198" bestFit="1" customWidth="1"/>
    <col min="6148" max="6149" width="15.90625" style="1198" customWidth="1"/>
    <col min="6150" max="6150" width="11.81640625" style="1198" customWidth="1"/>
    <col min="6151" max="6151" width="18.36328125" style="1198" bestFit="1" customWidth="1"/>
    <col min="6152" max="6400" width="8.7265625" style="1198"/>
    <col min="6401" max="6401" width="10.7265625" style="1198" bestFit="1" customWidth="1"/>
    <col min="6402" max="6402" width="16.54296875" style="1198" bestFit="1" customWidth="1"/>
    <col min="6403" max="6403" width="14.36328125" style="1198" bestFit="1" customWidth="1"/>
    <col min="6404" max="6405" width="15.90625" style="1198" customWidth="1"/>
    <col min="6406" max="6406" width="11.81640625" style="1198" customWidth="1"/>
    <col min="6407" max="6407" width="18.36328125" style="1198" bestFit="1" customWidth="1"/>
    <col min="6408" max="6656" width="8.7265625" style="1198"/>
    <col min="6657" max="6657" width="10.7265625" style="1198" bestFit="1" customWidth="1"/>
    <col min="6658" max="6658" width="16.54296875" style="1198" bestFit="1" customWidth="1"/>
    <col min="6659" max="6659" width="14.36328125" style="1198" bestFit="1" customWidth="1"/>
    <col min="6660" max="6661" width="15.90625" style="1198" customWidth="1"/>
    <col min="6662" max="6662" width="11.81640625" style="1198" customWidth="1"/>
    <col min="6663" max="6663" width="18.36328125" style="1198" bestFit="1" customWidth="1"/>
    <col min="6664" max="6912" width="8.7265625" style="1198"/>
    <col min="6913" max="6913" width="10.7265625" style="1198" bestFit="1" customWidth="1"/>
    <col min="6914" max="6914" width="16.54296875" style="1198" bestFit="1" customWidth="1"/>
    <col min="6915" max="6915" width="14.36328125" style="1198" bestFit="1" customWidth="1"/>
    <col min="6916" max="6917" width="15.90625" style="1198" customWidth="1"/>
    <col min="6918" max="6918" width="11.81640625" style="1198" customWidth="1"/>
    <col min="6919" max="6919" width="18.36328125" style="1198" bestFit="1" customWidth="1"/>
    <col min="6920" max="7168" width="8.7265625" style="1198"/>
    <col min="7169" max="7169" width="10.7265625" style="1198" bestFit="1" customWidth="1"/>
    <col min="7170" max="7170" width="16.54296875" style="1198" bestFit="1" customWidth="1"/>
    <col min="7171" max="7171" width="14.36328125" style="1198" bestFit="1" customWidth="1"/>
    <col min="7172" max="7173" width="15.90625" style="1198" customWidth="1"/>
    <col min="7174" max="7174" width="11.81640625" style="1198" customWidth="1"/>
    <col min="7175" max="7175" width="18.36328125" style="1198" bestFit="1" customWidth="1"/>
    <col min="7176" max="7424" width="8.7265625" style="1198"/>
    <col min="7425" max="7425" width="10.7265625" style="1198" bestFit="1" customWidth="1"/>
    <col min="7426" max="7426" width="16.54296875" style="1198" bestFit="1" customWidth="1"/>
    <col min="7427" max="7427" width="14.36328125" style="1198" bestFit="1" customWidth="1"/>
    <col min="7428" max="7429" width="15.90625" style="1198" customWidth="1"/>
    <col min="7430" max="7430" width="11.81640625" style="1198" customWidth="1"/>
    <col min="7431" max="7431" width="18.36328125" style="1198" bestFit="1" customWidth="1"/>
    <col min="7432" max="7680" width="8.7265625" style="1198"/>
    <col min="7681" max="7681" width="10.7265625" style="1198" bestFit="1" customWidth="1"/>
    <col min="7682" max="7682" width="16.54296875" style="1198" bestFit="1" customWidth="1"/>
    <col min="7683" max="7683" width="14.36328125" style="1198" bestFit="1" customWidth="1"/>
    <col min="7684" max="7685" width="15.90625" style="1198" customWidth="1"/>
    <col min="7686" max="7686" width="11.81640625" style="1198" customWidth="1"/>
    <col min="7687" max="7687" width="18.36328125" style="1198" bestFit="1" customWidth="1"/>
    <col min="7688" max="7936" width="8.7265625" style="1198"/>
    <col min="7937" max="7937" width="10.7265625" style="1198" bestFit="1" customWidth="1"/>
    <col min="7938" max="7938" width="16.54296875" style="1198" bestFit="1" customWidth="1"/>
    <col min="7939" max="7939" width="14.36328125" style="1198" bestFit="1" customWidth="1"/>
    <col min="7940" max="7941" width="15.90625" style="1198" customWidth="1"/>
    <col min="7942" max="7942" width="11.81640625" style="1198" customWidth="1"/>
    <col min="7943" max="7943" width="18.36328125" style="1198" bestFit="1" customWidth="1"/>
    <col min="7944" max="8192" width="8.7265625" style="1198"/>
    <col min="8193" max="8193" width="10.7265625" style="1198" bestFit="1" customWidth="1"/>
    <col min="8194" max="8194" width="16.54296875" style="1198" bestFit="1" customWidth="1"/>
    <col min="8195" max="8195" width="14.36328125" style="1198" bestFit="1" customWidth="1"/>
    <col min="8196" max="8197" width="15.90625" style="1198" customWidth="1"/>
    <col min="8198" max="8198" width="11.81640625" style="1198" customWidth="1"/>
    <col min="8199" max="8199" width="18.36328125" style="1198" bestFit="1" customWidth="1"/>
    <col min="8200" max="8448" width="8.7265625" style="1198"/>
    <col min="8449" max="8449" width="10.7265625" style="1198" bestFit="1" customWidth="1"/>
    <col min="8450" max="8450" width="16.54296875" style="1198" bestFit="1" customWidth="1"/>
    <col min="8451" max="8451" width="14.36328125" style="1198" bestFit="1" customWidth="1"/>
    <col min="8452" max="8453" width="15.90625" style="1198" customWidth="1"/>
    <col min="8454" max="8454" width="11.81640625" style="1198" customWidth="1"/>
    <col min="8455" max="8455" width="18.36328125" style="1198" bestFit="1" customWidth="1"/>
    <col min="8456" max="8704" width="8.7265625" style="1198"/>
    <col min="8705" max="8705" width="10.7265625" style="1198" bestFit="1" customWidth="1"/>
    <col min="8706" max="8706" width="16.54296875" style="1198" bestFit="1" customWidth="1"/>
    <col min="8707" max="8707" width="14.36328125" style="1198" bestFit="1" customWidth="1"/>
    <col min="8708" max="8709" width="15.90625" style="1198" customWidth="1"/>
    <col min="8710" max="8710" width="11.81640625" style="1198" customWidth="1"/>
    <col min="8711" max="8711" width="18.36328125" style="1198" bestFit="1" customWidth="1"/>
    <col min="8712" max="8960" width="8.7265625" style="1198"/>
    <col min="8961" max="8961" width="10.7265625" style="1198" bestFit="1" customWidth="1"/>
    <col min="8962" max="8962" width="16.54296875" style="1198" bestFit="1" customWidth="1"/>
    <col min="8963" max="8963" width="14.36328125" style="1198" bestFit="1" customWidth="1"/>
    <col min="8964" max="8965" width="15.90625" style="1198" customWidth="1"/>
    <col min="8966" max="8966" width="11.81640625" style="1198" customWidth="1"/>
    <col min="8967" max="8967" width="18.36328125" style="1198" bestFit="1" customWidth="1"/>
    <col min="8968" max="9216" width="8.7265625" style="1198"/>
    <col min="9217" max="9217" width="10.7265625" style="1198" bestFit="1" customWidth="1"/>
    <col min="9218" max="9218" width="16.54296875" style="1198" bestFit="1" customWidth="1"/>
    <col min="9219" max="9219" width="14.36328125" style="1198" bestFit="1" customWidth="1"/>
    <col min="9220" max="9221" width="15.90625" style="1198" customWidth="1"/>
    <col min="9222" max="9222" width="11.81640625" style="1198" customWidth="1"/>
    <col min="9223" max="9223" width="18.36328125" style="1198" bestFit="1" customWidth="1"/>
    <col min="9224" max="9472" width="8.7265625" style="1198"/>
    <col min="9473" max="9473" width="10.7265625" style="1198" bestFit="1" customWidth="1"/>
    <col min="9474" max="9474" width="16.54296875" style="1198" bestFit="1" customWidth="1"/>
    <col min="9475" max="9475" width="14.36328125" style="1198" bestFit="1" customWidth="1"/>
    <col min="9476" max="9477" width="15.90625" style="1198" customWidth="1"/>
    <col min="9478" max="9478" width="11.81640625" style="1198" customWidth="1"/>
    <col min="9479" max="9479" width="18.36328125" style="1198" bestFit="1" customWidth="1"/>
    <col min="9480" max="9728" width="8.7265625" style="1198"/>
    <col min="9729" max="9729" width="10.7265625" style="1198" bestFit="1" customWidth="1"/>
    <col min="9730" max="9730" width="16.54296875" style="1198" bestFit="1" customWidth="1"/>
    <col min="9731" max="9731" width="14.36328125" style="1198" bestFit="1" customWidth="1"/>
    <col min="9732" max="9733" width="15.90625" style="1198" customWidth="1"/>
    <col min="9734" max="9734" width="11.81640625" style="1198" customWidth="1"/>
    <col min="9735" max="9735" width="18.36328125" style="1198" bestFit="1" customWidth="1"/>
    <col min="9736" max="9984" width="8.7265625" style="1198"/>
    <col min="9985" max="9985" width="10.7265625" style="1198" bestFit="1" customWidth="1"/>
    <col min="9986" max="9986" width="16.54296875" style="1198" bestFit="1" customWidth="1"/>
    <col min="9987" max="9987" width="14.36328125" style="1198" bestFit="1" customWidth="1"/>
    <col min="9988" max="9989" width="15.90625" style="1198" customWidth="1"/>
    <col min="9990" max="9990" width="11.81640625" style="1198" customWidth="1"/>
    <col min="9991" max="9991" width="18.36328125" style="1198" bestFit="1" customWidth="1"/>
    <col min="9992" max="10240" width="8.7265625" style="1198"/>
    <col min="10241" max="10241" width="10.7265625" style="1198" bestFit="1" customWidth="1"/>
    <col min="10242" max="10242" width="16.54296875" style="1198" bestFit="1" customWidth="1"/>
    <col min="10243" max="10243" width="14.36328125" style="1198" bestFit="1" customWidth="1"/>
    <col min="10244" max="10245" width="15.90625" style="1198" customWidth="1"/>
    <col min="10246" max="10246" width="11.81640625" style="1198" customWidth="1"/>
    <col min="10247" max="10247" width="18.36328125" style="1198" bestFit="1" customWidth="1"/>
    <col min="10248" max="10496" width="8.7265625" style="1198"/>
    <col min="10497" max="10497" width="10.7265625" style="1198" bestFit="1" customWidth="1"/>
    <col min="10498" max="10498" width="16.54296875" style="1198" bestFit="1" customWidth="1"/>
    <col min="10499" max="10499" width="14.36328125" style="1198" bestFit="1" customWidth="1"/>
    <col min="10500" max="10501" width="15.90625" style="1198" customWidth="1"/>
    <col min="10502" max="10502" width="11.81640625" style="1198" customWidth="1"/>
    <col min="10503" max="10503" width="18.36328125" style="1198" bestFit="1" customWidth="1"/>
    <col min="10504" max="10752" width="8.7265625" style="1198"/>
    <col min="10753" max="10753" width="10.7265625" style="1198" bestFit="1" customWidth="1"/>
    <col min="10754" max="10754" width="16.54296875" style="1198" bestFit="1" customWidth="1"/>
    <col min="10755" max="10755" width="14.36328125" style="1198" bestFit="1" customWidth="1"/>
    <col min="10756" max="10757" width="15.90625" style="1198" customWidth="1"/>
    <col min="10758" max="10758" width="11.81640625" style="1198" customWidth="1"/>
    <col min="10759" max="10759" width="18.36328125" style="1198" bestFit="1" customWidth="1"/>
    <col min="10760" max="11008" width="8.7265625" style="1198"/>
    <col min="11009" max="11009" width="10.7265625" style="1198" bestFit="1" customWidth="1"/>
    <col min="11010" max="11010" width="16.54296875" style="1198" bestFit="1" customWidth="1"/>
    <col min="11011" max="11011" width="14.36328125" style="1198" bestFit="1" customWidth="1"/>
    <col min="11012" max="11013" width="15.90625" style="1198" customWidth="1"/>
    <col min="11014" max="11014" width="11.81640625" style="1198" customWidth="1"/>
    <col min="11015" max="11015" width="18.36328125" style="1198" bestFit="1" customWidth="1"/>
    <col min="11016" max="11264" width="8.7265625" style="1198"/>
    <col min="11265" max="11265" width="10.7265625" style="1198" bestFit="1" customWidth="1"/>
    <col min="11266" max="11266" width="16.54296875" style="1198" bestFit="1" customWidth="1"/>
    <col min="11267" max="11267" width="14.36328125" style="1198" bestFit="1" customWidth="1"/>
    <col min="11268" max="11269" width="15.90625" style="1198" customWidth="1"/>
    <col min="11270" max="11270" width="11.81640625" style="1198" customWidth="1"/>
    <col min="11271" max="11271" width="18.36328125" style="1198" bestFit="1" customWidth="1"/>
    <col min="11272" max="11520" width="8.7265625" style="1198"/>
    <col min="11521" max="11521" width="10.7265625" style="1198" bestFit="1" customWidth="1"/>
    <col min="11522" max="11522" width="16.54296875" style="1198" bestFit="1" customWidth="1"/>
    <col min="11523" max="11523" width="14.36328125" style="1198" bestFit="1" customWidth="1"/>
    <col min="11524" max="11525" width="15.90625" style="1198" customWidth="1"/>
    <col min="11526" max="11526" width="11.81640625" style="1198" customWidth="1"/>
    <col min="11527" max="11527" width="18.36328125" style="1198" bestFit="1" customWidth="1"/>
    <col min="11528" max="11776" width="8.7265625" style="1198"/>
    <col min="11777" max="11777" width="10.7265625" style="1198" bestFit="1" customWidth="1"/>
    <col min="11778" max="11778" width="16.54296875" style="1198" bestFit="1" customWidth="1"/>
    <col min="11779" max="11779" width="14.36328125" style="1198" bestFit="1" customWidth="1"/>
    <col min="11780" max="11781" width="15.90625" style="1198" customWidth="1"/>
    <col min="11782" max="11782" width="11.81640625" style="1198" customWidth="1"/>
    <col min="11783" max="11783" width="18.36328125" style="1198" bestFit="1" customWidth="1"/>
    <col min="11784" max="12032" width="8.7265625" style="1198"/>
    <col min="12033" max="12033" width="10.7265625" style="1198" bestFit="1" customWidth="1"/>
    <col min="12034" max="12034" width="16.54296875" style="1198" bestFit="1" customWidth="1"/>
    <col min="12035" max="12035" width="14.36328125" style="1198" bestFit="1" customWidth="1"/>
    <col min="12036" max="12037" width="15.90625" style="1198" customWidth="1"/>
    <col min="12038" max="12038" width="11.81640625" style="1198" customWidth="1"/>
    <col min="12039" max="12039" width="18.36328125" style="1198" bestFit="1" customWidth="1"/>
    <col min="12040" max="12288" width="8.7265625" style="1198"/>
    <col min="12289" max="12289" width="10.7265625" style="1198" bestFit="1" customWidth="1"/>
    <col min="12290" max="12290" width="16.54296875" style="1198" bestFit="1" customWidth="1"/>
    <col min="12291" max="12291" width="14.36328125" style="1198" bestFit="1" customWidth="1"/>
    <col min="12292" max="12293" width="15.90625" style="1198" customWidth="1"/>
    <col min="12294" max="12294" width="11.81640625" style="1198" customWidth="1"/>
    <col min="12295" max="12295" width="18.36328125" style="1198" bestFit="1" customWidth="1"/>
    <col min="12296" max="12544" width="8.7265625" style="1198"/>
    <col min="12545" max="12545" width="10.7265625" style="1198" bestFit="1" customWidth="1"/>
    <col min="12546" max="12546" width="16.54296875" style="1198" bestFit="1" customWidth="1"/>
    <col min="12547" max="12547" width="14.36328125" style="1198" bestFit="1" customWidth="1"/>
    <col min="12548" max="12549" width="15.90625" style="1198" customWidth="1"/>
    <col min="12550" max="12550" width="11.81640625" style="1198" customWidth="1"/>
    <col min="12551" max="12551" width="18.36328125" style="1198" bestFit="1" customWidth="1"/>
    <col min="12552" max="12800" width="8.7265625" style="1198"/>
    <col min="12801" max="12801" width="10.7265625" style="1198" bestFit="1" customWidth="1"/>
    <col min="12802" max="12802" width="16.54296875" style="1198" bestFit="1" customWidth="1"/>
    <col min="12803" max="12803" width="14.36328125" style="1198" bestFit="1" customWidth="1"/>
    <col min="12804" max="12805" width="15.90625" style="1198" customWidth="1"/>
    <col min="12806" max="12806" width="11.81640625" style="1198" customWidth="1"/>
    <col min="12807" max="12807" width="18.36328125" style="1198" bestFit="1" customWidth="1"/>
    <col min="12808" max="13056" width="8.7265625" style="1198"/>
    <col min="13057" max="13057" width="10.7265625" style="1198" bestFit="1" customWidth="1"/>
    <col min="13058" max="13058" width="16.54296875" style="1198" bestFit="1" customWidth="1"/>
    <col min="13059" max="13059" width="14.36328125" style="1198" bestFit="1" customWidth="1"/>
    <col min="13060" max="13061" width="15.90625" style="1198" customWidth="1"/>
    <col min="13062" max="13062" width="11.81640625" style="1198" customWidth="1"/>
    <col min="13063" max="13063" width="18.36328125" style="1198" bestFit="1" customWidth="1"/>
    <col min="13064" max="13312" width="8.7265625" style="1198"/>
    <col min="13313" max="13313" width="10.7265625" style="1198" bestFit="1" customWidth="1"/>
    <col min="13314" max="13314" width="16.54296875" style="1198" bestFit="1" customWidth="1"/>
    <col min="13315" max="13315" width="14.36328125" style="1198" bestFit="1" customWidth="1"/>
    <col min="13316" max="13317" width="15.90625" style="1198" customWidth="1"/>
    <col min="13318" max="13318" width="11.81640625" style="1198" customWidth="1"/>
    <col min="13319" max="13319" width="18.36328125" style="1198" bestFit="1" customWidth="1"/>
    <col min="13320" max="13568" width="8.7265625" style="1198"/>
    <col min="13569" max="13569" width="10.7265625" style="1198" bestFit="1" customWidth="1"/>
    <col min="13570" max="13570" width="16.54296875" style="1198" bestFit="1" customWidth="1"/>
    <col min="13571" max="13571" width="14.36328125" style="1198" bestFit="1" customWidth="1"/>
    <col min="13572" max="13573" width="15.90625" style="1198" customWidth="1"/>
    <col min="13574" max="13574" width="11.81640625" style="1198" customWidth="1"/>
    <col min="13575" max="13575" width="18.36328125" style="1198" bestFit="1" customWidth="1"/>
    <col min="13576" max="13824" width="8.7265625" style="1198"/>
    <col min="13825" max="13825" width="10.7265625" style="1198" bestFit="1" customWidth="1"/>
    <col min="13826" max="13826" width="16.54296875" style="1198" bestFit="1" customWidth="1"/>
    <col min="13827" max="13827" width="14.36328125" style="1198" bestFit="1" customWidth="1"/>
    <col min="13828" max="13829" width="15.90625" style="1198" customWidth="1"/>
    <col min="13830" max="13830" width="11.81640625" style="1198" customWidth="1"/>
    <col min="13831" max="13831" width="18.36328125" style="1198" bestFit="1" customWidth="1"/>
    <col min="13832" max="14080" width="8.7265625" style="1198"/>
    <col min="14081" max="14081" width="10.7265625" style="1198" bestFit="1" customWidth="1"/>
    <col min="14082" max="14082" width="16.54296875" style="1198" bestFit="1" customWidth="1"/>
    <col min="14083" max="14083" width="14.36328125" style="1198" bestFit="1" customWidth="1"/>
    <col min="14084" max="14085" width="15.90625" style="1198" customWidth="1"/>
    <col min="14086" max="14086" width="11.81640625" style="1198" customWidth="1"/>
    <col min="14087" max="14087" width="18.36328125" style="1198" bestFit="1" customWidth="1"/>
    <col min="14088" max="14336" width="8.7265625" style="1198"/>
    <col min="14337" max="14337" width="10.7265625" style="1198" bestFit="1" customWidth="1"/>
    <col min="14338" max="14338" width="16.54296875" style="1198" bestFit="1" customWidth="1"/>
    <col min="14339" max="14339" width="14.36328125" style="1198" bestFit="1" customWidth="1"/>
    <col min="14340" max="14341" width="15.90625" style="1198" customWidth="1"/>
    <col min="14342" max="14342" width="11.81640625" style="1198" customWidth="1"/>
    <col min="14343" max="14343" width="18.36328125" style="1198" bestFit="1" customWidth="1"/>
    <col min="14344" max="14592" width="8.7265625" style="1198"/>
    <col min="14593" max="14593" width="10.7265625" style="1198" bestFit="1" customWidth="1"/>
    <col min="14594" max="14594" width="16.54296875" style="1198" bestFit="1" customWidth="1"/>
    <col min="14595" max="14595" width="14.36328125" style="1198" bestFit="1" customWidth="1"/>
    <col min="14596" max="14597" width="15.90625" style="1198" customWidth="1"/>
    <col min="14598" max="14598" width="11.81640625" style="1198" customWidth="1"/>
    <col min="14599" max="14599" width="18.36328125" style="1198" bestFit="1" customWidth="1"/>
    <col min="14600" max="14848" width="8.7265625" style="1198"/>
    <col min="14849" max="14849" width="10.7265625" style="1198" bestFit="1" customWidth="1"/>
    <col min="14850" max="14850" width="16.54296875" style="1198" bestFit="1" customWidth="1"/>
    <col min="14851" max="14851" width="14.36328125" style="1198" bestFit="1" customWidth="1"/>
    <col min="14852" max="14853" width="15.90625" style="1198" customWidth="1"/>
    <col min="14854" max="14854" width="11.81640625" style="1198" customWidth="1"/>
    <col min="14855" max="14855" width="18.36328125" style="1198" bestFit="1" customWidth="1"/>
    <col min="14856" max="15104" width="8.7265625" style="1198"/>
    <col min="15105" max="15105" width="10.7265625" style="1198" bestFit="1" customWidth="1"/>
    <col min="15106" max="15106" width="16.54296875" style="1198" bestFit="1" customWidth="1"/>
    <col min="15107" max="15107" width="14.36328125" style="1198" bestFit="1" customWidth="1"/>
    <col min="15108" max="15109" width="15.90625" style="1198" customWidth="1"/>
    <col min="15110" max="15110" width="11.81640625" style="1198" customWidth="1"/>
    <col min="15111" max="15111" width="18.36328125" style="1198" bestFit="1" customWidth="1"/>
    <col min="15112" max="15360" width="8.7265625" style="1198"/>
    <col min="15361" max="15361" width="10.7265625" style="1198" bestFit="1" customWidth="1"/>
    <col min="15362" max="15362" width="16.54296875" style="1198" bestFit="1" customWidth="1"/>
    <col min="15363" max="15363" width="14.36328125" style="1198" bestFit="1" customWidth="1"/>
    <col min="15364" max="15365" width="15.90625" style="1198" customWidth="1"/>
    <col min="15366" max="15366" width="11.81640625" style="1198" customWidth="1"/>
    <col min="15367" max="15367" width="18.36328125" style="1198" bestFit="1" customWidth="1"/>
    <col min="15368" max="15616" width="8.7265625" style="1198"/>
    <col min="15617" max="15617" width="10.7265625" style="1198" bestFit="1" customWidth="1"/>
    <col min="15618" max="15618" width="16.54296875" style="1198" bestFit="1" customWidth="1"/>
    <col min="15619" max="15619" width="14.36328125" style="1198" bestFit="1" customWidth="1"/>
    <col min="15620" max="15621" width="15.90625" style="1198" customWidth="1"/>
    <col min="15622" max="15622" width="11.81640625" style="1198" customWidth="1"/>
    <col min="15623" max="15623" width="18.36328125" style="1198" bestFit="1" customWidth="1"/>
    <col min="15624" max="15872" width="8.7265625" style="1198"/>
    <col min="15873" max="15873" width="10.7265625" style="1198" bestFit="1" customWidth="1"/>
    <col min="15874" max="15874" width="16.54296875" style="1198" bestFit="1" customWidth="1"/>
    <col min="15875" max="15875" width="14.36328125" style="1198" bestFit="1" customWidth="1"/>
    <col min="15876" max="15877" width="15.90625" style="1198" customWidth="1"/>
    <col min="15878" max="15878" width="11.81640625" style="1198" customWidth="1"/>
    <col min="15879" max="15879" width="18.36328125" style="1198" bestFit="1" customWidth="1"/>
    <col min="15880" max="16128" width="8.7265625" style="1198"/>
    <col min="16129" max="16129" width="10.7265625" style="1198" bestFit="1" customWidth="1"/>
    <col min="16130" max="16130" width="16.54296875" style="1198" bestFit="1" customWidth="1"/>
    <col min="16131" max="16131" width="14.36328125" style="1198" bestFit="1" customWidth="1"/>
    <col min="16132" max="16133" width="15.90625" style="1198" customWidth="1"/>
    <col min="16134" max="16134" width="11.81640625" style="1198" customWidth="1"/>
    <col min="16135" max="16135" width="18.36328125" style="1198" bestFit="1" customWidth="1"/>
    <col min="16136" max="16384" width="8.7265625" style="1198"/>
  </cols>
  <sheetData>
    <row r="1" spans="1:7" ht="13">
      <c r="A1" s="1597" t="s">
        <v>3461</v>
      </c>
      <c r="B1" s="1597"/>
      <c r="C1" s="1597"/>
      <c r="D1" s="1597"/>
      <c r="E1" s="1597"/>
      <c r="F1" s="1597"/>
      <c r="G1" s="1597"/>
    </row>
    <row r="2" spans="1:7" ht="65">
      <c r="A2" s="1199" t="s">
        <v>2877</v>
      </c>
      <c r="B2" s="1199" t="s">
        <v>3267</v>
      </c>
      <c r="C2" s="1200" t="s">
        <v>3453</v>
      </c>
      <c r="D2" s="1200" t="s">
        <v>3462</v>
      </c>
      <c r="E2" s="1209" t="s">
        <v>3450</v>
      </c>
      <c r="F2" s="1200" t="s">
        <v>593</v>
      </c>
      <c r="G2" s="1199" t="s">
        <v>19</v>
      </c>
    </row>
    <row r="3" spans="1:7" ht="13">
      <c r="A3" s="1597" t="s">
        <v>1675</v>
      </c>
      <c r="B3" s="1201" t="s">
        <v>3268</v>
      </c>
      <c r="C3" s="1205">
        <v>1</v>
      </c>
      <c r="D3" s="1205"/>
      <c r="E3" s="1204"/>
      <c r="F3" s="1205">
        <f>C3-D3-E3</f>
        <v>1</v>
      </c>
      <c r="G3" s="1205"/>
    </row>
    <row r="4" spans="1:7" ht="13">
      <c r="A4" s="1597"/>
      <c r="B4" s="1210" t="s">
        <v>3269</v>
      </c>
      <c r="C4" s="1205">
        <v>1</v>
      </c>
      <c r="D4" s="1205"/>
      <c r="E4" s="1204"/>
      <c r="F4" s="1205">
        <f t="shared" ref="F4:F51" si="0">C4-D4-E4</f>
        <v>1</v>
      </c>
      <c r="G4" s="1205"/>
    </row>
    <row r="5" spans="1:7" ht="7.5" customHeight="1">
      <c r="A5" s="1201"/>
      <c r="B5" s="1201"/>
      <c r="C5" s="1205"/>
      <c r="D5" s="1205"/>
      <c r="E5" s="1204"/>
      <c r="F5" s="1205">
        <f t="shared" si="0"/>
        <v>0</v>
      </c>
      <c r="G5" s="1205"/>
    </row>
    <row r="6" spans="1:7" ht="13">
      <c r="A6" s="1598" t="s">
        <v>2397</v>
      </c>
      <c r="B6" s="1201" t="s">
        <v>3268</v>
      </c>
      <c r="C6" s="1205">
        <v>35</v>
      </c>
      <c r="D6" s="1205">
        <v>14</v>
      </c>
      <c r="E6" s="1204">
        <v>7</v>
      </c>
      <c r="F6" s="1205">
        <f t="shared" si="0"/>
        <v>14</v>
      </c>
      <c r="G6" s="1205"/>
    </row>
    <row r="7" spans="1:7" ht="13">
      <c r="A7" s="1599"/>
      <c r="B7" s="1210" t="s">
        <v>3269</v>
      </c>
      <c r="C7" s="1205">
        <v>13</v>
      </c>
      <c r="D7" s="1205">
        <v>14</v>
      </c>
      <c r="E7" s="1204"/>
      <c r="F7" s="1205">
        <f t="shared" si="0"/>
        <v>-1</v>
      </c>
      <c r="G7" s="1205" t="s">
        <v>3463</v>
      </c>
    </row>
    <row r="8" spans="1:7" ht="13">
      <c r="A8" s="1599"/>
      <c r="B8" s="1210" t="s">
        <v>3270</v>
      </c>
      <c r="C8" s="1205">
        <v>3</v>
      </c>
      <c r="D8" s="1205"/>
      <c r="E8" s="1204">
        <v>2</v>
      </c>
      <c r="F8" s="1205">
        <f t="shared" si="0"/>
        <v>1</v>
      </c>
      <c r="G8" s="1205"/>
    </row>
    <row r="9" spans="1:7" ht="13">
      <c r="A9" s="1599"/>
      <c r="B9" s="1210" t="s">
        <v>3271</v>
      </c>
      <c r="C9" s="1205">
        <v>1</v>
      </c>
      <c r="D9" s="1205"/>
      <c r="E9" s="1204">
        <v>1</v>
      </c>
      <c r="F9" s="1205">
        <f t="shared" si="0"/>
        <v>0</v>
      </c>
      <c r="G9" s="1205"/>
    </row>
    <row r="10" spans="1:7" ht="13">
      <c r="A10" s="1599"/>
      <c r="B10" s="1210" t="s">
        <v>3272</v>
      </c>
      <c r="C10" s="1205">
        <v>6</v>
      </c>
      <c r="D10" s="1205">
        <v>4</v>
      </c>
      <c r="E10" s="1204">
        <v>1</v>
      </c>
      <c r="F10" s="1205">
        <f t="shared" si="0"/>
        <v>1</v>
      </c>
      <c r="G10" s="1205"/>
    </row>
    <row r="11" spans="1:7" ht="13">
      <c r="A11" s="1599"/>
      <c r="B11" s="1214" t="s">
        <v>3464</v>
      </c>
      <c r="C11" s="1205">
        <v>28</v>
      </c>
      <c r="D11" s="1205"/>
      <c r="E11" s="1204"/>
      <c r="F11" s="1205">
        <f t="shared" si="0"/>
        <v>28</v>
      </c>
      <c r="G11" s="1205"/>
    </row>
    <row r="12" spans="1:7" ht="13">
      <c r="A12" s="1599"/>
      <c r="B12" s="1214" t="s">
        <v>3465</v>
      </c>
      <c r="C12" s="1205">
        <v>9</v>
      </c>
      <c r="D12" s="1205"/>
      <c r="E12" s="1204"/>
      <c r="F12" s="1205">
        <f t="shared" si="0"/>
        <v>9</v>
      </c>
      <c r="G12" s="1205"/>
    </row>
    <row r="13" spans="1:7" ht="13">
      <c r="A13" s="1599"/>
      <c r="B13" s="1214" t="s">
        <v>3466</v>
      </c>
      <c r="C13" s="1205">
        <v>12</v>
      </c>
      <c r="D13" s="1205"/>
      <c r="E13" s="1204">
        <v>8</v>
      </c>
      <c r="F13" s="1205">
        <f t="shared" si="0"/>
        <v>4</v>
      </c>
      <c r="G13" s="1205"/>
    </row>
    <row r="14" spans="1:7" ht="13">
      <c r="A14" s="1599"/>
      <c r="B14" s="1214" t="s">
        <v>3467</v>
      </c>
      <c r="C14" s="1205">
        <v>10</v>
      </c>
      <c r="D14" s="1205"/>
      <c r="E14" s="1204"/>
      <c r="F14" s="1205">
        <f t="shared" si="0"/>
        <v>10</v>
      </c>
      <c r="G14" s="1205"/>
    </row>
    <row r="15" spans="1:7" ht="13">
      <c r="A15" s="1599"/>
      <c r="B15" s="1214" t="s">
        <v>3468</v>
      </c>
      <c r="C15" s="1205">
        <v>17</v>
      </c>
      <c r="D15" s="1205"/>
      <c r="E15" s="1204">
        <v>7</v>
      </c>
      <c r="F15" s="1205">
        <f t="shared" si="0"/>
        <v>10</v>
      </c>
      <c r="G15" s="1205"/>
    </row>
    <row r="16" spans="1:7" ht="13">
      <c r="A16" s="1599"/>
      <c r="B16" s="1214" t="s">
        <v>3469</v>
      </c>
      <c r="C16" s="1205">
        <v>1</v>
      </c>
      <c r="D16" s="1205"/>
      <c r="E16" s="1204"/>
      <c r="F16" s="1205">
        <f t="shared" si="0"/>
        <v>1</v>
      </c>
      <c r="G16" s="1205"/>
    </row>
    <row r="17" spans="1:7" ht="13">
      <c r="A17" s="1599"/>
      <c r="B17" s="1214" t="s">
        <v>3470</v>
      </c>
      <c r="C17" s="1205">
        <v>7</v>
      </c>
      <c r="D17" s="1205"/>
      <c r="E17" s="1204">
        <v>2</v>
      </c>
      <c r="F17" s="1205">
        <f t="shared" si="0"/>
        <v>5</v>
      </c>
      <c r="G17" s="1205"/>
    </row>
    <row r="18" spans="1:7" ht="13">
      <c r="A18" s="1599"/>
      <c r="B18" s="1214" t="s">
        <v>3471</v>
      </c>
      <c r="C18" s="1205">
        <v>1</v>
      </c>
      <c r="D18" s="1205"/>
      <c r="E18" s="1204"/>
      <c r="F18" s="1205">
        <f t="shared" si="0"/>
        <v>1</v>
      </c>
      <c r="G18" s="1205"/>
    </row>
    <row r="19" spans="1:7" ht="13">
      <c r="A19" s="1599"/>
      <c r="B19" s="1214" t="s">
        <v>3472</v>
      </c>
      <c r="C19" s="1205">
        <v>7</v>
      </c>
      <c r="D19" s="1205"/>
      <c r="E19" s="1204"/>
      <c r="F19" s="1205">
        <f t="shared" si="0"/>
        <v>7</v>
      </c>
      <c r="G19" s="1205"/>
    </row>
    <row r="20" spans="1:7" ht="7.5" customHeight="1">
      <c r="A20" s="1201"/>
      <c r="B20" s="1201"/>
      <c r="C20" s="1205"/>
      <c r="D20" s="1205"/>
      <c r="E20" s="1204"/>
      <c r="F20" s="1205">
        <f t="shared" si="0"/>
        <v>0</v>
      </c>
      <c r="G20" s="1205"/>
    </row>
    <row r="21" spans="1:7" ht="13">
      <c r="A21" s="1598" t="s">
        <v>2398</v>
      </c>
      <c r="B21" s="1201" t="s">
        <v>3268</v>
      </c>
      <c r="C21" s="1205">
        <v>35</v>
      </c>
      <c r="D21" s="1205">
        <v>12</v>
      </c>
      <c r="E21" s="1204">
        <v>6</v>
      </c>
      <c r="F21" s="1205">
        <f t="shared" si="0"/>
        <v>17</v>
      </c>
      <c r="G21" s="1205"/>
    </row>
    <row r="22" spans="1:7" ht="13">
      <c r="A22" s="1599"/>
      <c r="B22" s="1210" t="s">
        <v>3269</v>
      </c>
      <c r="C22" s="1205">
        <v>13</v>
      </c>
      <c r="D22" s="1205">
        <v>12</v>
      </c>
      <c r="E22" s="1204"/>
      <c r="F22" s="1205">
        <f t="shared" si="0"/>
        <v>1</v>
      </c>
      <c r="G22" s="1205"/>
    </row>
    <row r="23" spans="1:7" ht="13">
      <c r="A23" s="1599"/>
      <c r="B23" s="1210" t="s">
        <v>3270</v>
      </c>
      <c r="C23" s="1205">
        <v>1</v>
      </c>
      <c r="D23" s="1205"/>
      <c r="E23" s="1204">
        <v>1</v>
      </c>
      <c r="F23" s="1205">
        <f t="shared" si="0"/>
        <v>0</v>
      </c>
      <c r="G23" s="1205"/>
    </row>
    <row r="24" spans="1:7" ht="13">
      <c r="A24" s="1599"/>
      <c r="B24" s="1210" t="s">
        <v>3271</v>
      </c>
      <c r="C24" s="1205"/>
      <c r="D24" s="1205"/>
      <c r="E24" s="1204"/>
      <c r="F24" s="1205">
        <f t="shared" si="0"/>
        <v>0</v>
      </c>
      <c r="G24" s="1205"/>
    </row>
    <row r="25" spans="1:7" ht="13">
      <c r="A25" s="1599"/>
      <c r="B25" s="1210" t="s">
        <v>3272</v>
      </c>
      <c r="C25" s="1205">
        <v>5</v>
      </c>
      <c r="D25" s="1205">
        <v>2</v>
      </c>
      <c r="E25" s="1204">
        <v>1</v>
      </c>
      <c r="F25" s="1205">
        <f t="shared" si="0"/>
        <v>2</v>
      </c>
      <c r="G25" s="1205"/>
    </row>
    <row r="26" spans="1:7" ht="13">
      <c r="A26" s="1599"/>
      <c r="B26" s="1214" t="s">
        <v>3464</v>
      </c>
      <c r="C26" s="1205">
        <v>31</v>
      </c>
      <c r="D26" s="1205"/>
      <c r="E26" s="1204"/>
      <c r="F26" s="1205">
        <f t="shared" si="0"/>
        <v>31</v>
      </c>
      <c r="G26" s="1205"/>
    </row>
    <row r="27" spans="1:7" ht="13">
      <c r="A27" s="1599"/>
      <c r="B27" s="1214" t="s">
        <v>3465</v>
      </c>
      <c r="C27" s="1205">
        <v>13</v>
      </c>
      <c r="D27" s="1205"/>
      <c r="E27" s="1204"/>
      <c r="F27" s="1205">
        <f t="shared" si="0"/>
        <v>13</v>
      </c>
      <c r="G27" s="1205"/>
    </row>
    <row r="28" spans="1:7" ht="13">
      <c r="A28" s="1599"/>
      <c r="B28" s="1214" t="s">
        <v>3466</v>
      </c>
      <c r="C28" s="1205">
        <v>15</v>
      </c>
      <c r="D28" s="1205"/>
      <c r="E28" s="1204">
        <v>7</v>
      </c>
      <c r="F28" s="1205">
        <f t="shared" si="0"/>
        <v>8</v>
      </c>
      <c r="G28" s="1205"/>
    </row>
    <row r="29" spans="1:7" ht="13">
      <c r="A29" s="1599"/>
      <c r="B29" s="1214" t="s">
        <v>3467</v>
      </c>
      <c r="C29" s="1205">
        <v>7</v>
      </c>
      <c r="D29" s="1205"/>
      <c r="E29" s="1204"/>
      <c r="F29" s="1205">
        <f t="shared" si="0"/>
        <v>7</v>
      </c>
      <c r="G29" s="1205"/>
    </row>
    <row r="30" spans="1:7" ht="13">
      <c r="A30" s="1599"/>
      <c r="B30" s="1214" t="s">
        <v>3468</v>
      </c>
      <c r="C30" s="1205">
        <v>18</v>
      </c>
      <c r="D30" s="1205"/>
      <c r="E30" s="1204">
        <v>7</v>
      </c>
      <c r="F30" s="1205">
        <f t="shared" si="0"/>
        <v>11</v>
      </c>
      <c r="G30" s="1205"/>
    </row>
    <row r="31" spans="1:7" ht="13">
      <c r="A31" s="1599"/>
      <c r="B31" s="1214" t="s">
        <v>3469</v>
      </c>
      <c r="C31" s="1205">
        <v>2</v>
      </c>
      <c r="D31" s="1205"/>
      <c r="E31" s="1204"/>
      <c r="F31" s="1205">
        <f t="shared" si="0"/>
        <v>2</v>
      </c>
      <c r="G31" s="1205"/>
    </row>
    <row r="32" spans="1:7" ht="13">
      <c r="A32" s="1599"/>
      <c r="B32" s="1214" t="s">
        <v>3470</v>
      </c>
      <c r="C32" s="1205">
        <v>5</v>
      </c>
      <c r="D32" s="1205"/>
      <c r="E32" s="1204">
        <v>1</v>
      </c>
      <c r="F32" s="1205">
        <f t="shared" si="0"/>
        <v>4</v>
      </c>
      <c r="G32" s="1205"/>
    </row>
    <row r="33" spans="1:7" ht="13">
      <c r="A33" s="1599"/>
      <c r="B33" s="1214" t="s">
        <v>3471</v>
      </c>
      <c r="C33" s="1205">
        <v>5</v>
      </c>
      <c r="D33" s="1205"/>
      <c r="E33" s="1204"/>
      <c r="F33" s="1205">
        <f t="shared" si="0"/>
        <v>5</v>
      </c>
      <c r="G33" s="1205"/>
    </row>
    <row r="34" spans="1:7" ht="13">
      <c r="A34" s="1599"/>
      <c r="B34" s="1214" t="s">
        <v>3472</v>
      </c>
      <c r="C34" s="1205">
        <v>16</v>
      </c>
      <c r="D34" s="1205"/>
      <c r="E34" s="1204">
        <v>6</v>
      </c>
      <c r="F34" s="1205">
        <f t="shared" si="0"/>
        <v>10</v>
      </c>
      <c r="G34" s="1205"/>
    </row>
    <row r="35" spans="1:7" ht="7" customHeight="1">
      <c r="A35" s="1201"/>
      <c r="B35" s="1201"/>
      <c r="C35" s="1205"/>
      <c r="D35" s="1205"/>
      <c r="E35" s="1204"/>
      <c r="F35" s="1205">
        <f t="shared" si="0"/>
        <v>0</v>
      </c>
      <c r="G35" s="1205"/>
    </row>
    <row r="36" spans="1:7" ht="13">
      <c r="A36" s="1597" t="s">
        <v>2425</v>
      </c>
      <c r="B36" s="1201" t="s">
        <v>3268</v>
      </c>
      <c r="C36" s="1205">
        <v>41</v>
      </c>
      <c r="D36" s="1205">
        <v>15</v>
      </c>
      <c r="E36" s="1204">
        <v>7</v>
      </c>
      <c r="F36" s="1205">
        <f t="shared" si="0"/>
        <v>19</v>
      </c>
      <c r="G36" s="1205"/>
    </row>
    <row r="37" spans="1:7" ht="13">
      <c r="A37" s="1597"/>
      <c r="B37" s="1210" t="s">
        <v>3269</v>
      </c>
      <c r="C37" s="1205">
        <v>27</v>
      </c>
      <c r="D37" s="1205">
        <v>15</v>
      </c>
      <c r="E37" s="1204"/>
      <c r="F37" s="1205">
        <f t="shared" si="0"/>
        <v>12</v>
      </c>
      <c r="G37" s="1205"/>
    </row>
    <row r="38" spans="1:7" ht="13">
      <c r="A38" s="1597"/>
      <c r="B38" s="1210" t="s">
        <v>3270</v>
      </c>
      <c r="C38" s="1205">
        <v>1</v>
      </c>
      <c r="D38" s="1205"/>
      <c r="E38" s="1204">
        <v>1</v>
      </c>
      <c r="F38" s="1205">
        <f t="shared" si="0"/>
        <v>0</v>
      </c>
      <c r="G38" s="1205"/>
    </row>
    <row r="39" spans="1:7" ht="13">
      <c r="A39" s="1597"/>
      <c r="B39" s="1210" t="s">
        <v>3271</v>
      </c>
      <c r="C39" s="1205">
        <v>1</v>
      </c>
      <c r="D39" s="1205"/>
      <c r="E39" s="1204"/>
      <c r="F39" s="1205">
        <f t="shared" si="0"/>
        <v>1</v>
      </c>
      <c r="G39" s="1205"/>
    </row>
    <row r="40" spans="1:7" ht="13">
      <c r="A40" s="1597"/>
      <c r="B40" s="1210" t="s">
        <v>3272</v>
      </c>
      <c r="C40" s="1205">
        <v>9</v>
      </c>
      <c r="D40" s="1205">
        <v>5</v>
      </c>
      <c r="E40" s="1204"/>
      <c r="F40" s="1205">
        <f t="shared" si="0"/>
        <v>4</v>
      </c>
      <c r="G40" s="1205"/>
    </row>
    <row r="41" spans="1:7" ht="13">
      <c r="A41" s="1597"/>
      <c r="B41" s="1214" t="s">
        <v>3464</v>
      </c>
      <c r="C41" s="1205">
        <v>10</v>
      </c>
      <c r="D41" s="1205"/>
      <c r="E41" s="1204"/>
      <c r="F41" s="1205">
        <f t="shared" si="0"/>
        <v>10</v>
      </c>
      <c r="G41" s="1205"/>
    </row>
    <row r="42" spans="1:7" ht="13">
      <c r="A42" s="1597"/>
      <c r="B42" s="1214" t="s">
        <v>3465</v>
      </c>
      <c r="C42" s="1205">
        <v>5</v>
      </c>
      <c r="D42" s="1205"/>
      <c r="E42" s="1204"/>
      <c r="F42" s="1205">
        <f t="shared" si="0"/>
        <v>5</v>
      </c>
      <c r="G42" s="1205"/>
    </row>
    <row r="43" spans="1:7" ht="13">
      <c r="A43" s="1597"/>
      <c r="B43" s="1214" t="s">
        <v>3466</v>
      </c>
      <c r="C43" s="1205">
        <v>24</v>
      </c>
      <c r="D43" s="1205"/>
      <c r="E43" s="1204">
        <v>9</v>
      </c>
      <c r="F43" s="1205">
        <f t="shared" si="0"/>
        <v>15</v>
      </c>
      <c r="G43" s="1205"/>
    </row>
    <row r="44" spans="1:7" ht="13">
      <c r="A44" s="1597"/>
      <c r="B44" s="1214" t="s">
        <v>3467</v>
      </c>
      <c r="C44" s="1205">
        <v>5</v>
      </c>
      <c r="D44" s="1205"/>
      <c r="E44" s="1204"/>
      <c r="F44" s="1205">
        <f t="shared" si="0"/>
        <v>5</v>
      </c>
      <c r="G44" s="1205"/>
    </row>
    <row r="45" spans="1:7" ht="13">
      <c r="A45" s="1597"/>
      <c r="B45" s="1214" t="s">
        <v>3468</v>
      </c>
      <c r="C45" s="1205">
        <v>8</v>
      </c>
      <c r="D45" s="1205"/>
      <c r="E45" s="1204">
        <v>7</v>
      </c>
      <c r="F45" s="1205">
        <f t="shared" si="0"/>
        <v>1</v>
      </c>
      <c r="G45" s="1205"/>
    </row>
    <row r="46" spans="1:7" ht="13">
      <c r="A46" s="1597"/>
      <c r="B46" s="1214" t="s">
        <v>3469</v>
      </c>
      <c r="C46" s="1205"/>
      <c r="D46" s="1205"/>
      <c r="E46" s="1204"/>
      <c r="F46" s="1205">
        <f t="shared" si="0"/>
        <v>0</v>
      </c>
      <c r="G46" s="1205"/>
    </row>
    <row r="47" spans="1:7" ht="13">
      <c r="A47" s="1597"/>
      <c r="B47" s="1214" t="s">
        <v>3470</v>
      </c>
      <c r="C47" s="1205">
        <v>5</v>
      </c>
      <c r="D47" s="1205"/>
      <c r="E47" s="1204">
        <v>1</v>
      </c>
      <c r="F47" s="1205">
        <f t="shared" si="0"/>
        <v>4</v>
      </c>
      <c r="G47" s="1205"/>
    </row>
    <row r="48" spans="1:7" ht="13">
      <c r="A48" s="1597"/>
      <c r="B48" s="1214" t="s">
        <v>3471</v>
      </c>
      <c r="C48" s="1205">
        <v>3</v>
      </c>
      <c r="D48" s="1205"/>
      <c r="E48" s="1204"/>
      <c r="F48" s="1205">
        <f t="shared" si="0"/>
        <v>3</v>
      </c>
      <c r="G48" s="1215" t="s">
        <v>3473</v>
      </c>
    </row>
    <row r="49" spans="1:7" ht="13">
      <c r="A49" s="1597"/>
      <c r="B49" s="1214" t="s">
        <v>3472</v>
      </c>
      <c r="C49" s="1205">
        <v>12</v>
      </c>
      <c r="D49" s="1205"/>
      <c r="E49" s="1204"/>
      <c r="F49" s="1205">
        <f t="shared" si="0"/>
        <v>12</v>
      </c>
      <c r="G49" s="1205"/>
    </row>
    <row r="50" spans="1:7" ht="13">
      <c r="A50" s="1597"/>
      <c r="B50" s="1210" t="s">
        <v>3273</v>
      </c>
      <c r="C50" s="1205">
        <v>6</v>
      </c>
      <c r="D50" s="1205"/>
      <c r="E50" s="1204"/>
      <c r="F50" s="1205">
        <f t="shared" si="0"/>
        <v>6</v>
      </c>
      <c r="G50" s="1205"/>
    </row>
    <row r="51" spans="1:7" ht="13">
      <c r="A51" s="1597"/>
      <c r="B51" s="1210" t="s">
        <v>3274</v>
      </c>
      <c r="C51" s="1205">
        <v>1</v>
      </c>
      <c r="D51" s="1205"/>
      <c r="E51" s="1204"/>
      <c r="F51" s="1205">
        <f t="shared" si="0"/>
        <v>1</v>
      </c>
      <c r="G51" s="1205"/>
    </row>
    <row r="52" spans="1:7" ht="13">
      <c r="A52" s="1597" t="s">
        <v>994</v>
      </c>
      <c r="B52" s="1597"/>
      <c r="C52" s="1201">
        <f>C36+C21+C6+C3</f>
        <v>112</v>
      </c>
      <c r="D52" s="1201">
        <f>D36+D21+D6+D3</f>
        <v>41</v>
      </c>
      <c r="E52" s="1197">
        <f>E36+E21+E6+E3</f>
        <v>20</v>
      </c>
      <c r="F52" s="1201">
        <f>F36+F21+F6+F3</f>
        <v>51</v>
      </c>
      <c r="G52" s="1201"/>
    </row>
  </sheetData>
  <autoFilter ref="A2:G52" xr:uid="{3F9A2A36-90A5-49A7-B370-C44CF63DB270}"/>
  <mergeCells count="6">
    <mergeCell ref="A52:B52"/>
    <mergeCell ref="A1:G1"/>
    <mergeCell ref="A3:A4"/>
    <mergeCell ref="A6:A19"/>
    <mergeCell ref="A21:A34"/>
    <mergeCell ref="A36:A51"/>
  </mergeCells>
  <conditionalFormatting sqref="F1:F51 F53:F65536">
    <cfRule type="cellIs" dxfId="3566" priority="1" stopIfTrue="1" operator="lessThan">
      <formula>0</formula>
    </cfRule>
  </conditionalFormatting>
  <pageMargins left="0.7" right="0.7" top="0.75" bottom="0.75" header="0.3" footer="0.3"/>
  <pageSetup scale="63"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65784-5283-4ED1-8B48-CB33A79268D6}">
  <dimension ref="C3:G17"/>
  <sheetViews>
    <sheetView workbookViewId="0">
      <selection activeCell="D18" sqref="D18"/>
    </sheetView>
  </sheetViews>
  <sheetFormatPr defaultRowHeight="14.5"/>
  <cols>
    <col min="3" max="3" width="19.54296875" bestFit="1" customWidth="1"/>
    <col min="4" max="4" width="67.81640625" bestFit="1" customWidth="1"/>
    <col min="7" max="7" width="9.54296875" bestFit="1" customWidth="1"/>
  </cols>
  <sheetData>
    <row r="3" spans="3:7" ht="29" customHeight="1">
      <c r="C3" s="10" t="s">
        <v>574</v>
      </c>
      <c r="D3" s="1412" t="s">
        <v>3356</v>
      </c>
      <c r="E3" s="1412"/>
      <c r="F3" s="1412"/>
      <c r="G3" s="1412"/>
    </row>
    <row r="4" spans="3:7">
      <c r="C4" s="10" t="s">
        <v>3352</v>
      </c>
      <c r="D4" s="1411" t="s">
        <v>3353</v>
      </c>
      <c r="E4" s="1411"/>
      <c r="F4" s="1411"/>
      <c r="G4" s="1411"/>
    </row>
    <row r="5" spans="3:7">
      <c r="C5" s="10" t="s">
        <v>3354</v>
      </c>
      <c r="D5" s="1411" t="s">
        <v>3355</v>
      </c>
      <c r="E5" s="1411"/>
      <c r="F5" s="1411"/>
      <c r="G5" s="1411"/>
    </row>
    <row r="6" spans="3:7">
      <c r="C6" s="1411" t="s">
        <v>3357</v>
      </c>
      <c r="D6" s="1411"/>
      <c r="E6" s="10" t="s">
        <v>3358</v>
      </c>
      <c r="F6" s="10" t="s">
        <v>3359</v>
      </c>
      <c r="G6" s="10" t="s">
        <v>3360</v>
      </c>
    </row>
    <row r="7" spans="3:7">
      <c r="C7" s="1613" t="s">
        <v>3361</v>
      </c>
      <c r="D7" s="1613"/>
      <c r="E7" s="33">
        <v>137</v>
      </c>
      <c r="F7" s="33">
        <v>20</v>
      </c>
      <c r="G7" s="1171">
        <v>46402</v>
      </c>
    </row>
    <row r="8" spans="3:7">
      <c r="C8" s="1613" t="s">
        <v>3362</v>
      </c>
      <c r="D8" s="1613"/>
      <c r="E8" s="33">
        <v>33</v>
      </c>
      <c r="F8" s="33">
        <v>22</v>
      </c>
      <c r="G8" s="1171">
        <v>46461</v>
      </c>
    </row>
    <row r="9" spans="3:7">
      <c r="C9" s="1613" t="s">
        <v>3363</v>
      </c>
      <c r="D9" s="1613"/>
      <c r="E9" s="33">
        <v>3.4</v>
      </c>
      <c r="F9" s="33">
        <v>18</v>
      </c>
      <c r="G9" s="1171">
        <v>46341</v>
      </c>
    </row>
    <row r="10" spans="3:7">
      <c r="C10" s="12"/>
      <c r="D10" s="12"/>
      <c r="E10" s="1002">
        <f>SUM(E7:E9)</f>
        <v>173.4</v>
      </c>
      <c r="F10" s="12"/>
      <c r="G10" s="12"/>
    </row>
    <row r="11" spans="3:7">
      <c r="C11" s="1614" t="s">
        <v>3364</v>
      </c>
      <c r="D11" s="1457"/>
      <c r="E11" s="1614" t="s">
        <v>3365</v>
      </c>
      <c r="F11" s="1457"/>
      <c r="G11" s="1457"/>
    </row>
    <row r="16" spans="3:7">
      <c r="D16">
        <f>137+33+3.4</f>
        <v>173.4</v>
      </c>
    </row>
    <row r="17" spans="4:4">
      <c r="D17">
        <f>389+116+18</f>
        <v>523</v>
      </c>
    </row>
  </sheetData>
  <mergeCells count="9">
    <mergeCell ref="C9:D9"/>
    <mergeCell ref="C11:D11"/>
    <mergeCell ref="E11:G11"/>
    <mergeCell ref="D3:G3"/>
    <mergeCell ref="D4:G4"/>
    <mergeCell ref="D5:G5"/>
    <mergeCell ref="C6:D6"/>
    <mergeCell ref="C7:D7"/>
    <mergeCell ref="C8:D8"/>
  </mergeCell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1772</v>
      </c>
    </row>
    <row r="3" spans="2:16">
      <c r="B3" s="645" t="s">
        <v>2181</v>
      </c>
    </row>
    <row r="5" spans="2:16" ht="29">
      <c r="B5" s="10" t="s">
        <v>2179</v>
      </c>
      <c r="C5" s="755" t="s">
        <v>2380</v>
      </c>
      <c r="D5" s="755" t="s">
        <v>2381</v>
      </c>
      <c r="E5" s="755" t="s">
        <v>2382</v>
      </c>
      <c r="F5" s="755" t="s">
        <v>2383</v>
      </c>
      <c r="G5" s="755" t="s">
        <v>994</v>
      </c>
    </row>
    <row r="6" spans="2:16">
      <c r="B6" s="13" t="s">
        <v>2180</v>
      </c>
      <c r="C6" s="13">
        <v>1</v>
      </c>
      <c r="D6" s="13">
        <v>3</v>
      </c>
      <c r="E6" s="13">
        <v>7</v>
      </c>
      <c r="F6" s="13">
        <v>8</v>
      </c>
      <c r="G6" s="13">
        <f>SUM(C6:F6)</f>
        <v>19</v>
      </c>
    </row>
    <row r="7" spans="2:16">
      <c r="B7" s="13" t="s">
        <v>21</v>
      </c>
      <c r="C7" s="13">
        <v>1</v>
      </c>
      <c r="D7" s="13"/>
      <c r="E7" s="13">
        <v>1</v>
      </c>
      <c r="F7" s="13">
        <v>1</v>
      </c>
      <c r="G7" s="13">
        <f>SUM(C7:F7)</f>
        <v>3</v>
      </c>
    </row>
    <row r="9" spans="2:16" s="367" customFormat="1">
      <c r="B9" s="1411" t="s">
        <v>1918</v>
      </c>
      <c r="C9" s="1411" t="s">
        <v>1433</v>
      </c>
      <c r="D9" s="1412" t="s">
        <v>2367</v>
      </c>
      <c r="E9" s="1412" t="s">
        <v>44</v>
      </c>
      <c r="F9" s="1411" t="s">
        <v>45</v>
      </c>
      <c r="G9" s="1411" t="s">
        <v>627</v>
      </c>
      <c r="H9" s="1541" t="s">
        <v>2180</v>
      </c>
      <c r="I9" s="1618"/>
      <c r="J9" s="1618"/>
      <c r="K9" s="1618"/>
      <c r="L9" s="1618"/>
      <c r="M9" s="1542"/>
      <c r="N9" s="1541" t="s">
        <v>21</v>
      </c>
      <c r="O9" s="1542"/>
      <c r="P9" s="1411" t="s">
        <v>1764</v>
      </c>
    </row>
    <row r="10" spans="2:16">
      <c r="B10" s="1411"/>
      <c r="C10" s="1411"/>
      <c r="D10" s="1412" t="s">
        <v>2367</v>
      </c>
      <c r="E10" s="1412" t="s">
        <v>44</v>
      </c>
      <c r="F10" s="1411" t="s">
        <v>45</v>
      </c>
      <c r="G10" s="1411" t="s">
        <v>627</v>
      </c>
      <c r="H10" s="755" t="s">
        <v>2369</v>
      </c>
      <c r="I10" s="755" t="s">
        <v>2370</v>
      </c>
      <c r="J10" s="755" t="s">
        <v>2369</v>
      </c>
      <c r="K10" s="755" t="s">
        <v>2370</v>
      </c>
      <c r="L10" s="755" t="s">
        <v>2369</v>
      </c>
      <c r="M10" s="755" t="s">
        <v>2370</v>
      </c>
      <c r="N10" s="9" t="s">
        <v>2369</v>
      </c>
      <c r="O10" s="9" t="s">
        <v>2370</v>
      </c>
      <c r="P10" s="1411"/>
    </row>
    <row r="11" spans="2:16">
      <c r="B11" s="13"/>
      <c r="C11" s="12"/>
      <c r="D11" s="12"/>
      <c r="E11" s="12"/>
      <c r="F11" s="12"/>
      <c r="G11" s="12"/>
      <c r="H11" s="13"/>
      <c r="I11" s="13"/>
      <c r="J11" s="13"/>
      <c r="K11" s="13"/>
      <c r="L11" s="13"/>
      <c r="M11" s="13"/>
      <c r="N11" s="12"/>
      <c r="O11" s="12"/>
      <c r="P11" s="12"/>
    </row>
    <row r="12" spans="2:16">
      <c r="B12" s="13">
        <v>1</v>
      </c>
      <c r="C12" s="1414" t="s">
        <v>2371</v>
      </c>
      <c r="D12" s="796" t="s">
        <v>1654</v>
      </c>
      <c r="E12" s="797" t="s">
        <v>76</v>
      </c>
      <c r="F12" s="805" t="s">
        <v>210</v>
      </c>
      <c r="G12" s="799" t="s">
        <v>2372</v>
      </c>
      <c r="H12" s="800">
        <v>45900</v>
      </c>
      <c r="I12" s="800">
        <v>45904</v>
      </c>
      <c r="J12" s="800">
        <v>45902</v>
      </c>
      <c r="K12" s="800">
        <v>45905</v>
      </c>
      <c r="L12" s="800">
        <v>45904</v>
      </c>
      <c r="M12" s="801">
        <v>45909</v>
      </c>
      <c r="N12" s="804">
        <v>45900</v>
      </c>
      <c r="O12" s="804">
        <v>45924</v>
      </c>
      <c r="P12" s="859"/>
    </row>
    <row r="13" spans="2:16">
      <c r="B13" s="13">
        <f t="shared" ref="B13:B30" si="0">B12+1</f>
        <v>2</v>
      </c>
      <c r="C13" s="1414"/>
      <c r="D13" s="813" t="s">
        <v>2423</v>
      </c>
      <c r="E13" s="814" t="s">
        <v>1269</v>
      </c>
      <c r="F13" s="798" t="s">
        <v>2426</v>
      </c>
      <c r="G13" s="799" t="s">
        <v>2372</v>
      </c>
      <c r="H13" s="803">
        <v>45909</v>
      </c>
      <c r="I13" s="803">
        <f>H13+5</f>
        <v>45914</v>
      </c>
      <c r="J13" s="803">
        <f>H13+3</f>
        <v>45912</v>
      </c>
      <c r="K13" s="803">
        <f>J13+4</f>
        <v>45916</v>
      </c>
      <c r="L13" s="803">
        <f>J13+2</f>
        <v>45914</v>
      </c>
      <c r="M13" s="803">
        <f>L13+6</f>
        <v>45920</v>
      </c>
      <c r="N13" s="804">
        <v>45907</v>
      </c>
      <c r="O13" s="804">
        <v>45920</v>
      </c>
      <c r="P13" s="857"/>
    </row>
    <row r="14" spans="2:16">
      <c r="B14" s="13">
        <f t="shared" si="0"/>
        <v>3</v>
      </c>
      <c r="C14" s="1414"/>
      <c r="D14" s="925" t="s">
        <v>1660</v>
      </c>
      <c r="E14" s="926" t="s">
        <v>53</v>
      </c>
      <c r="F14" s="924" t="s">
        <v>2736</v>
      </c>
      <c r="G14" s="799" t="s">
        <v>2372</v>
      </c>
      <c r="H14" s="803">
        <v>45920</v>
      </c>
      <c r="I14" s="803">
        <f>H14+4</f>
        <v>45924</v>
      </c>
      <c r="J14" s="803">
        <f>H14+2</f>
        <v>45922</v>
      </c>
      <c r="K14" s="803">
        <f>J14+3</f>
        <v>45925</v>
      </c>
      <c r="L14" s="803">
        <f>J14+2</f>
        <v>45924</v>
      </c>
      <c r="M14" s="803">
        <f>L14+3</f>
        <v>45927</v>
      </c>
      <c r="N14" s="804">
        <v>45930</v>
      </c>
      <c r="O14" s="12"/>
      <c r="P14" s="896" t="s">
        <v>2737</v>
      </c>
    </row>
    <row r="15" spans="2:16">
      <c r="B15" s="13">
        <f t="shared" si="0"/>
        <v>4</v>
      </c>
      <c r="C15" s="1414"/>
      <c r="D15" s="796" t="s">
        <v>1657</v>
      </c>
      <c r="E15" s="797" t="s">
        <v>76</v>
      </c>
      <c r="F15" s="924" t="s">
        <v>2736</v>
      </c>
      <c r="G15" s="799" t="s">
        <v>2372</v>
      </c>
      <c r="H15" s="803">
        <v>45897</v>
      </c>
      <c r="I15" s="803">
        <v>45902</v>
      </c>
      <c r="J15" s="803">
        <v>45899</v>
      </c>
      <c r="K15" s="803">
        <v>45903</v>
      </c>
      <c r="L15" s="803">
        <v>45902</v>
      </c>
      <c r="M15" s="803">
        <v>45907</v>
      </c>
      <c r="N15" s="804">
        <v>45926</v>
      </c>
      <c r="O15" s="12"/>
      <c r="P15" s="896" t="s">
        <v>1408</v>
      </c>
    </row>
    <row r="16" spans="2:16">
      <c r="B16" s="13">
        <f t="shared" si="0"/>
        <v>5</v>
      </c>
      <c r="C16" s="1414"/>
      <c r="D16" s="796" t="s">
        <v>2373</v>
      </c>
      <c r="E16" s="797" t="s">
        <v>1361</v>
      </c>
      <c r="F16" s="798" t="s">
        <v>897</v>
      </c>
      <c r="G16" s="799" t="s">
        <v>2372</v>
      </c>
      <c r="H16" s="803">
        <v>45907</v>
      </c>
      <c r="I16" s="803">
        <f>H16+5</f>
        <v>45912</v>
      </c>
      <c r="J16" s="803">
        <f>H16+3</f>
        <v>45910</v>
      </c>
      <c r="K16" s="803">
        <f>J16+4</f>
        <v>45914</v>
      </c>
      <c r="L16" s="803">
        <f>J16+2</f>
        <v>45912</v>
      </c>
      <c r="M16" s="803">
        <f>L16+6</f>
        <v>45918</v>
      </c>
      <c r="N16" s="804">
        <v>45910</v>
      </c>
      <c r="O16" s="12"/>
      <c r="P16" s="861" t="s">
        <v>1408</v>
      </c>
    </row>
    <row r="17" spans="2:16">
      <c r="B17" s="13">
        <f t="shared" si="0"/>
        <v>6</v>
      </c>
      <c r="C17" s="1414"/>
      <c r="D17" s="796" t="s">
        <v>2374</v>
      </c>
      <c r="E17" s="797" t="s">
        <v>1277</v>
      </c>
      <c r="F17" s="798" t="s">
        <v>897</v>
      </c>
      <c r="G17" s="799" t="s">
        <v>2372</v>
      </c>
      <c r="H17" s="803">
        <v>45918</v>
      </c>
      <c r="I17" s="803">
        <f>H17+5</f>
        <v>45923</v>
      </c>
      <c r="J17" s="803">
        <f>H17+3</f>
        <v>45921</v>
      </c>
      <c r="K17" s="803">
        <f>J17+4</f>
        <v>45925</v>
      </c>
      <c r="L17" s="803">
        <f>J17+2</f>
        <v>45923</v>
      </c>
      <c r="M17" s="803">
        <f>L17+6</f>
        <v>45929</v>
      </c>
      <c r="N17" s="804">
        <v>45911</v>
      </c>
      <c r="O17" s="12"/>
      <c r="P17" s="896" t="s">
        <v>2821</v>
      </c>
    </row>
    <row r="18" spans="2:16">
      <c r="B18" s="13">
        <f t="shared" si="0"/>
        <v>7</v>
      </c>
      <c r="C18" s="1414"/>
      <c r="D18" s="925" t="s">
        <v>1116</v>
      </c>
      <c r="E18" s="926" t="s">
        <v>62</v>
      </c>
      <c r="F18" s="924" t="s">
        <v>1765</v>
      </c>
      <c r="G18" s="799" t="s">
        <v>2372</v>
      </c>
      <c r="H18" s="803">
        <v>45902</v>
      </c>
      <c r="I18" s="803">
        <f>H18+3</f>
        <v>45905</v>
      </c>
      <c r="J18" s="803">
        <f>H18+2</f>
        <v>45904</v>
      </c>
      <c r="K18" s="803">
        <f>J18+3</f>
        <v>45907</v>
      </c>
      <c r="L18" s="803">
        <f>J18+1</f>
        <v>45905</v>
      </c>
      <c r="M18" s="803">
        <f>L18+4</f>
        <v>45909</v>
      </c>
      <c r="N18" s="804">
        <v>45925</v>
      </c>
      <c r="O18" s="12"/>
      <c r="P18" s="896" t="s">
        <v>2737</v>
      </c>
    </row>
    <row r="19" spans="2:16">
      <c r="B19" s="13">
        <f t="shared" si="0"/>
        <v>8</v>
      </c>
      <c r="C19" s="1414"/>
      <c r="D19" s="796" t="s">
        <v>894</v>
      </c>
      <c r="E19" s="797" t="s">
        <v>53</v>
      </c>
      <c r="F19" s="798"/>
      <c r="G19" s="799" t="s">
        <v>2375</v>
      </c>
      <c r="H19" s="803">
        <v>45908</v>
      </c>
      <c r="I19" s="803">
        <f>H19+3</f>
        <v>45911</v>
      </c>
      <c r="J19" s="803">
        <f>H19+2</f>
        <v>45910</v>
      </c>
      <c r="K19" s="803">
        <f>J19+3</f>
        <v>45913</v>
      </c>
      <c r="L19" s="803">
        <f>J19+1</f>
        <v>45911</v>
      </c>
      <c r="M19" s="803">
        <f>L19+4</f>
        <v>45915</v>
      </c>
      <c r="N19" s="12"/>
      <c r="O19" s="12"/>
      <c r="P19" s="12"/>
    </row>
    <row r="20" spans="2:16">
      <c r="B20" s="13">
        <f t="shared" si="0"/>
        <v>9</v>
      </c>
      <c r="C20" s="1414"/>
      <c r="D20" s="796" t="s">
        <v>974</v>
      </c>
      <c r="E20" s="797" t="s">
        <v>62</v>
      </c>
      <c r="F20" s="798"/>
      <c r="G20" s="802" t="s">
        <v>2375</v>
      </c>
      <c r="H20" s="803">
        <v>45914</v>
      </c>
      <c r="I20" s="803">
        <f>H20+3</f>
        <v>45917</v>
      </c>
      <c r="J20" s="803">
        <f>H20+2</f>
        <v>45916</v>
      </c>
      <c r="K20" s="803">
        <f>J20+3</f>
        <v>45919</v>
      </c>
      <c r="L20" s="803">
        <f>J20+1</f>
        <v>45917</v>
      </c>
      <c r="M20" s="803">
        <f>L20+4</f>
        <v>45921</v>
      </c>
      <c r="N20" s="12"/>
      <c r="O20" s="12"/>
      <c r="P20" s="12"/>
    </row>
    <row r="21" spans="2:16">
      <c r="B21" s="13">
        <f t="shared" si="0"/>
        <v>10</v>
      </c>
      <c r="C21" s="1414"/>
      <c r="D21" s="796" t="s">
        <v>814</v>
      </c>
      <c r="E21" s="797" t="s">
        <v>62</v>
      </c>
      <c r="F21" s="798"/>
      <c r="G21" s="802" t="s">
        <v>2375</v>
      </c>
      <c r="H21" s="803">
        <v>45920</v>
      </c>
      <c r="I21" s="803">
        <f>H21+3</f>
        <v>45923</v>
      </c>
      <c r="J21" s="803">
        <f>H21+2</f>
        <v>45922</v>
      </c>
      <c r="K21" s="803">
        <f>J21+3</f>
        <v>45925</v>
      </c>
      <c r="L21" s="803">
        <f>J21+1</f>
        <v>45923</v>
      </c>
      <c r="M21" s="803">
        <f>L21+4</f>
        <v>45927</v>
      </c>
      <c r="N21" s="12"/>
      <c r="O21" s="12"/>
      <c r="P21" s="12"/>
    </row>
    <row r="22" spans="2:16">
      <c r="B22" s="13">
        <f t="shared" si="0"/>
        <v>11</v>
      </c>
      <c r="C22" s="1414" t="s">
        <v>2376</v>
      </c>
      <c r="D22" s="862" t="s">
        <v>2724</v>
      </c>
      <c r="E22" s="863" t="s">
        <v>62</v>
      </c>
      <c r="F22" s="864" t="s">
        <v>1765</v>
      </c>
      <c r="G22" s="799" t="s">
        <v>2372</v>
      </c>
      <c r="H22" s="800">
        <v>45905</v>
      </c>
      <c r="I22" s="800">
        <v>45909</v>
      </c>
      <c r="J22" s="800">
        <v>45907</v>
      </c>
      <c r="K22" s="800">
        <v>45910</v>
      </c>
      <c r="L22" s="800">
        <v>45909</v>
      </c>
      <c r="M22" s="801">
        <v>45912</v>
      </c>
      <c r="N22" s="804">
        <v>45925</v>
      </c>
      <c r="O22" s="12"/>
      <c r="P22" s="861" t="s">
        <v>1408</v>
      </c>
    </row>
    <row r="23" spans="2:16">
      <c r="B23" s="13">
        <f t="shared" si="0"/>
        <v>12</v>
      </c>
      <c r="C23" s="1414"/>
      <c r="D23" s="796" t="s">
        <v>2378</v>
      </c>
      <c r="E23" s="797" t="s">
        <v>76</v>
      </c>
      <c r="F23" s="798"/>
      <c r="G23" s="799" t="s">
        <v>2375</v>
      </c>
      <c r="H23" s="800">
        <v>45911</v>
      </c>
      <c r="I23" s="800">
        <v>45915</v>
      </c>
      <c r="J23" s="800">
        <v>45913</v>
      </c>
      <c r="K23" s="800">
        <v>45916</v>
      </c>
      <c r="L23" s="800">
        <v>45915</v>
      </c>
      <c r="M23" s="801">
        <v>45918</v>
      </c>
      <c r="N23" s="12"/>
      <c r="O23" s="12"/>
      <c r="P23" s="12"/>
    </row>
    <row r="24" spans="2:16">
      <c r="B24" s="13">
        <f t="shared" si="0"/>
        <v>13</v>
      </c>
      <c r="C24" s="1414"/>
      <c r="D24" s="796" t="s">
        <v>2379</v>
      </c>
      <c r="E24" s="797" t="s">
        <v>76</v>
      </c>
      <c r="F24" s="798"/>
      <c r="G24" s="799" t="s">
        <v>2375</v>
      </c>
      <c r="H24" s="800">
        <v>45920</v>
      </c>
      <c r="I24" s="800">
        <v>45924</v>
      </c>
      <c r="J24" s="800">
        <v>45922</v>
      </c>
      <c r="K24" s="800">
        <v>45925</v>
      </c>
      <c r="L24" s="800">
        <v>45924</v>
      </c>
      <c r="M24" s="801">
        <v>45928</v>
      </c>
      <c r="N24" s="12"/>
      <c r="O24" s="12"/>
      <c r="P24" s="12"/>
    </row>
    <row r="25" spans="2:16">
      <c r="B25" s="13">
        <f t="shared" si="0"/>
        <v>14</v>
      </c>
      <c r="C25" s="1414"/>
      <c r="D25" s="796" t="s">
        <v>746</v>
      </c>
      <c r="E25" s="797" t="s">
        <v>53</v>
      </c>
      <c r="F25" s="798"/>
      <c r="G25" s="799" t="s">
        <v>2375</v>
      </c>
      <c r="H25" s="800">
        <v>45908</v>
      </c>
      <c r="I25" s="800">
        <f>H25+4</f>
        <v>45912</v>
      </c>
      <c r="J25" s="800">
        <v>45910</v>
      </c>
      <c r="K25" s="800">
        <f>J25+3</f>
        <v>45913</v>
      </c>
      <c r="L25" s="800">
        <v>45912</v>
      </c>
      <c r="M25" s="801">
        <f>L25+3</f>
        <v>45915</v>
      </c>
      <c r="N25" s="12"/>
      <c r="O25" s="12"/>
      <c r="P25" s="802"/>
    </row>
    <row r="26" spans="2:16">
      <c r="B26" s="13">
        <f t="shared" si="0"/>
        <v>15</v>
      </c>
      <c r="C26" s="1414"/>
      <c r="D26" s="796" t="s">
        <v>761</v>
      </c>
      <c r="E26" s="797" t="s">
        <v>62</v>
      </c>
      <c r="F26" s="798"/>
      <c r="G26" s="799" t="s">
        <v>2375</v>
      </c>
      <c r="H26" s="800">
        <v>45915</v>
      </c>
      <c r="I26" s="800">
        <v>45919</v>
      </c>
      <c r="J26" s="800">
        <v>45917</v>
      </c>
      <c r="K26" s="800">
        <v>45920</v>
      </c>
      <c r="L26" s="800">
        <v>45919</v>
      </c>
      <c r="M26" s="800">
        <v>45922</v>
      </c>
      <c r="N26" s="12"/>
      <c r="O26" s="12"/>
      <c r="P26" s="802"/>
    </row>
    <row r="27" spans="2:16">
      <c r="B27" s="13">
        <f t="shared" si="0"/>
        <v>16</v>
      </c>
      <c r="C27" s="1414"/>
      <c r="D27" s="796" t="s">
        <v>554</v>
      </c>
      <c r="E27" s="797" t="s">
        <v>76</v>
      </c>
      <c r="F27" s="798"/>
      <c r="G27" s="799" t="s">
        <v>2375</v>
      </c>
      <c r="H27" s="800">
        <v>45922</v>
      </c>
      <c r="I27" s="800">
        <v>45926</v>
      </c>
      <c r="J27" s="800">
        <v>45924</v>
      </c>
      <c r="K27" s="800">
        <v>45927</v>
      </c>
      <c r="L27" s="800">
        <v>45926</v>
      </c>
      <c r="M27" s="800">
        <v>45929</v>
      </c>
      <c r="N27" s="12"/>
      <c r="O27" s="12"/>
      <c r="P27" s="802"/>
    </row>
    <row r="28" spans="2:16">
      <c r="B28" s="13">
        <f t="shared" si="0"/>
        <v>17</v>
      </c>
      <c r="C28" s="1414"/>
      <c r="D28" s="796" t="s">
        <v>134</v>
      </c>
      <c r="E28" s="797" t="s">
        <v>76</v>
      </c>
      <c r="F28" s="798"/>
      <c r="G28" s="799" t="s">
        <v>2375</v>
      </c>
      <c r="H28" s="800">
        <v>45908</v>
      </c>
      <c r="I28" s="803">
        <f>H28+4</f>
        <v>45912</v>
      </c>
      <c r="J28" s="803">
        <f>H28+2</f>
        <v>45910</v>
      </c>
      <c r="K28" s="803">
        <f>J28+3</f>
        <v>45913</v>
      </c>
      <c r="L28" s="803">
        <f>J28+2</f>
        <v>45912</v>
      </c>
      <c r="M28" s="803">
        <f>L28+3</f>
        <v>45915</v>
      </c>
      <c r="N28" s="12"/>
      <c r="O28" s="12"/>
      <c r="P28" s="802"/>
    </row>
    <row r="29" spans="2:16">
      <c r="B29" s="13">
        <f t="shared" si="0"/>
        <v>18</v>
      </c>
      <c r="C29" s="1414"/>
      <c r="D29" s="796" t="s">
        <v>118</v>
      </c>
      <c r="E29" s="797" t="s">
        <v>53</v>
      </c>
      <c r="F29" s="798"/>
      <c r="G29" s="799" t="s">
        <v>2375</v>
      </c>
      <c r="H29" s="803">
        <v>45915</v>
      </c>
      <c r="I29" s="803">
        <f>H29+4</f>
        <v>45919</v>
      </c>
      <c r="J29" s="803">
        <f>H29+2</f>
        <v>45917</v>
      </c>
      <c r="K29" s="803">
        <f>J29+3</f>
        <v>45920</v>
      </c>
      <c r="L29" s="803">
        <f>J29+2</f>
        <v>45919</v>
      </c>
      <c r="M29" s="803">
        <f>L29+3</f>
        <v>45922</v>
      </c>
      <c r="N29" s="12"/>
      <c r="O29" s="12"/>
      <c r="P29" s="12"/>
    </row>
    <row r="30" spans="2:16">
      <c r="B30" s="13">
        <f t="shared" si="0"/>
        <v>19</v>
      </c>
      <c r="C30" s="1414"/>
      <c r="D30" s="796" t="s">
        <v>151</v>
      </c>
      <c r="E30" s="797" t="s">
        <v>76</v>
      </c>
      <c r="F30" s="798"/>
      <c r="G30" s="799" t="s">
        <v>2375</v>
      </c>
      <c r="H30" s="803">
        <v>45922</v>
      </c>
      <c r="I30" s="803">
        <f>H30+4</f>
        <v>45926</v>
      </c>
      <c r="J30" s="803">
        <f>H30+2</f>
        <v>45924</v>
      </c>
      <c r="K30" s="803">
        <f>J30+3</f>
        <v>45927</v>
      </c>
      <c r="L30" s="803">
        <f>J30+2</f>
        <v>45926</v>
      </c>
      <c r="M30" s="803">
        <f>L30+3</f>
        <v>45929</v>
      </c>
      <c r="N30" s="12"/>
      <c r="O30" s="12"/>
      <c r="P30" s="12"/>
    </row>
    <row r="32" spans="2:16">
      <c r="C32" s="645" t="s">
        <v>2385</v>
      </c>
    </row>
    <row r="33" spans="3:16">
      <c r="C33" s="645" t="s">
        <v>2181</v>
      </c>
    </row>
    <row r="35" spans="3:16" ht="29">
      <c r="C35" s="10" t="s">
        <v>2179</v>
      </c>
      <c r="D35" s="755" t="s">
        <v>2380</v>
      </c>
      <c r="E35" s="755" t="s">
        <v>2381</v>
      </c>
      <c r="F35" s="755" t="s">
        <v>2382</v>
      </c>
      <c r="G35" s="755" t="s">
        <v>2383</v>
      </c>
      <c r="H35" s="755" t="s">
        <v>994</v>
      </c>
    </row>
    <row r="36" spans="3:16">
      <c r="C36" s="13" t="s">
        <v>2180</v>
      </c>
      <c r="D36" s="13"/>
      <c r="E36" s="13"/>
      <c r="F36" s="13">
        <v>2</v>
      </c>
      <c r="G36" s="13">
        <v>1</v>
      </c>
      <c r="H36" s="13">
        <f>SUM(D36:G36)</f>
        <v>3</v>
      </c>
    </row>
    <row r="37" spans="3:16">
      <c r="C37" s="13" t="s">
        <v>21</v>
      </c>
      <c r="D37" s="13"/>
      <c r="E37" s="13"/>
      <c r="F37" s="13"/>
      <c r="G37" s="13"/>
      <c r="H37" s="13">
        <f>SUM(D37:G37)</f>
        <v>0</v>
      </c>
    </row>
    <row r="39" spans="3:16" ht="14.5" customHeight="1">
      <c r="C39" s="1411" t="s">
        <v>1918</v>
      </c>
      <c r="D39" s="1619" t="s">
        <v>2367</v>
      </c>
      <c r="E39" s="1619" t="s">
        <v>44</v>
      </c>
      <c r="F39" s="1621" t="s">
        <v>45</v>
      </c>
      <c r="G39" s="1621" t="s">
        <v>627</v>
      </c>
      <c r="H39" s="1541" t="s">
        <v>2180</v>
      </c>
      <c r="I39" s="1618"/>
      <c r="J39" s="1618"/>
      <c r="K39" s="1618"/>
      <c r="L39" s="1618"/>
      <c r="M39" s="1542"/>
      <c r="N39" s="1541" t="s">
        <v>21</v>
      </c>
      <c r="O39" s="1542"/>
      <c r="P39" s="10" t="s">
        <v>1764</v>
      </c>
    </row>
    <row r="40" spans="3:16" ht="14.5" customHeight="1">
      <c r="C40" s="1411"/>
      <c r="D40" s="1620"/>
      <c r="E40" s="1620"/>
      <c r="F40" s="1622"/>
      <c r="G40" s="1622"/>
      <c r="H40" s="755" t="s">
        <v>570</v>
      </c>
      <c r="I40" s="755" t="s">
        <v>570</v>
      </c>
      <c r="J40" s="755" t="s">
        <v>2369</v>
      </c>
      <c r="K40" s="755" t="s">
        <v>2370</v>
      </c>
      <c r="L40" s="755" t="s">
        <v>2369</v>
      </c>
      <c r="M40" s="755" t="s">
        <v>2370</v>
      </c>
      <c r="N40" s="755" t="s">
        <v>2369</v>
      </c>
      <c r="O40" s="755" t="s">
        <v>2370</v>
      </c>
      <c r="P40" s="10"/>
    </row>
    <row r="41" spans="3:16" s="806" customFormat="1">
      <c r="C41" s="33">
        <v>1</v>
      </c>
      <c r="D41" s="809" t="s">
        <v>2387</v>
      </c>
      <c r="E41" s="798" t="s">
        <v>1269</v>
      </c>
      <c r="F41" s="798"/>
      <c r="G41" s="799"/>
      <c r="H41" s="800">
        <v>45904</v>
      </c>
      <c r="I41" s="800">
        <v>45915</v>
      </c>
      <c r="J41" s="800">
        <v>45907</v>
      </c>
      <c r="K41" s="800">
        <v>45912</v>
      </c>
      <c r="L41" s="800">
        <v>45909</v>
      </c>
      <c r="M41" s="801">
        <v>45915</v>
      </c>
      <c r="N41" s="807"/>
      <c r="O41" s="807"/>
      <c r="P41" s="1615" t="s">
        <v>2822</v>
      </c>
    </row>
    <row r="42" spans="3:16" s="806" customFormat="1">
      <c r="C42" s="33">
        <f>C41+1</f>
        <v>2</v>
      </c>
      <c r="D42" s="809" t="s">
        <v>2388</v>
      </c>
      <c r="E42" s="798" t="s">
        <v>1277</v>
      </c>
      <c r="F42" s="798"/>
      <c r="G42" s="798"/>
      <c r="H42" s="803">
        <v>45914</v>
      </c>
      <c r="I42" s="803">
        <v>45925</v>
      </c>
      <c r="J42" s="803">
        <f>H42+3</f>
        <v>45917</v>
      </c>
      <c r="K42" s="803">
        <f>J42+5</f>
        <v>45922</v>
      </c>
      <c r="L42" s="803">
        <f>J42+2</f>
        <v>45919</v>
      </c>
      <c r="M42" s="803">
        <f>L42+6</f>
        <v>45925</v>
      </c>
      <c r="N42" s="808"/>
      <c r="O42" s="808"/>
      <c r="P42" s="1616"/>
    </row>
    <row r="43" spans="3:16" s="806" customFormat="1">
      <c r="C43" s="33">
        <f>C42+1</f>
        <v>3</v>
      </c>
      <c r="D43" s="809" t="s">
        <v>2389</v>
      </c>
      <c r="E43" s="798" t="s">
        <v>1277</v>
      </c>
      <c r="F43" s="798"/>
      <c r="G43" s="799"/>
      <c r="H43" s="803">
        <v>45910</v>
      </c>
      <c r="I43" s="803">
        <v>45921</v>
      </c>
      <c r="J43" s="803">
        <f>H43+3</f>
        <v>45913</v>
      </c>
      <c r="K43" s="803">
        <f>J43+5</f>
        <v>45918</v>
      </c>
      <c r="L43" s="803">
        <f>J43+2</f>
        <v>45915</v>
      </c>
      <c r="M43" s="803">
        <f>L43+6</f>
        <v>45921</v>
      </c>
      <c r="N43" s="808"/>
      <c r="O43" s="808"/>
      <c r="P43" s="1617"/>
    </row>
    <row r="45" spans="3:16">
      <c r="C45" s="645" t="s">
        <v>2391</v>
      </c>
    </row>
    <row r="46" spans="3:16">
      <c r="C46" s="645" t="s">
        <v>2181</v>
      </c>
    </row>
    <row r="48" spans="3:16" ht="29">
      <c r="C48" s="10" t="s">
        <v>2179</v>
      </c>
      <c r="D48" s="755" t="s">
        <v>2380</v>
      </c>
      <c r="E48" s="755" t="s">
        <v>2381</v>
      </c>
      <c r="F48" s="755" t="s">
        <v>2382</v>
      </c>
      <c r="G48" s="755" t="s">
        <v>2383</v>
      </c>
      <c r="H48" s="755" t="s">
        <v>994</v>
      </c>
    </row>
    <row r="49" spans="3:16">
      <c r="C49" s="13" t="s">
        <v>2180</v>
      </c>
      <c r="D49" s="13"/>
      <c r="E49" s="13"/>
      <c r="F49" s="13">
        <v>1</v>
      </c>
      <c r="G49" s="13"/>
      <c r="H49" s="13">
        <f>SUM(D49:G49)</f>
        <v>1</v>
      </c>
    </row>
    <row r="50" spans="3:16">
      <c r="C50" s="13" t="s">
        <v>21</v>
      </c>
      <c r="D50" s="13"/>
      <c r="E50" s="13"/>
      <c r="F50" s="13"/>
      <c r="G50" s="13"/>
      <c r="H50" s="13"/>
    </row>
    <row r="52" spans="3:16">
      <c r="C52" s="1411" t="s">
        <v>1918</v>
      </c>
      <c r="D52" s="1412" t="s">
        <v>2367</v>
      </c>
      <c r="E52" s="1412" t="s">
        <v>44</v>
      </c>
      <c r="F52" s="1411" t="s">
        <v>45</v>
      </c>
      <c r="G52" s="1411" t="s">
        <v>627</v>
      </c>
      <c r="H52" s="1541" t="s">
        <v>2180</v>
      </c>
      <c r="I52" s="1618"/>
      <c r="J52" s="1618"/>
      <c r="K52" s="1618"/>
      <c r="L52" s="1618"/>
      <c r="M52" s="1542"/>
      <c r="N52" s="1541" t="s">
        <v>21</v>
      </c>
      <c r="O52" s="1542"/>
      <c r="P52" s="10" t="s">
        <v>1764</v>
      </c>
    </row>
    <row r="53" spans="3:16">
      <c r="C53" s="1411"/>
      <c r="D53" s="1412" t="s">
        <v>2367</v>
      </c>
      <c r="E53" s="1412" t="s">
        <v>44</v>
      </c>
      <c r="F53" s="1411" t="s">
        <v>45</v>
      </c>
      <c r="G53" s="1411" t="s">
        <v>627</v>
      </c>
      <c r="H53" s="755" t="s">
        <v>2369</v>
      </c>
      <c r="I53" s="755" t="s">
        <v>2370</v>
      </c>
      <c r="J53" s="755" t="s">
        <v>2369</v>
      </c>
      <c r="K53" s="755" t="s">
        <v>2370</v>
      </c>
      <c r="L53" s="755" t="s">
        <v>2369</v>
      </c>
      <c r="M53" s="755" t="s">
        <v>2370</v>
      </c>
      <c r="N53" s="755" t="s">
        <v>2369</v>
      </c>
      <c r="O53" s="755" t="s">
        <v>2370</v>
      </c>
      <c r="P53" s="10"/>
    </row>
    <row r="54" spans="3:16" s="367" customFormat="1" ht="57" customHeight="1">
      <c r="C54" s="33">
        <v>1</v>
      </c>
      <c r="D54" s="809" t="s">
        <v>2392</v>
      </c>
      <c r="E54" s="798" t="s">
        <v>2393</v>
      </c>
      <c r="F54" s="798"/>
      <c r="G54" s="799"/>
      <c r="H54" s="800">
        <v>45908</v>
      </c>
      <c r="I54" s="800">
        <v>45915</v>
      </c>
      <c r="J54" s="800">
        <v>45881</v>
      </c>
      <c r="K54" s="800">
        <v>45916</v>
      </c>
      <c r="L54" s="800">
        <v>45914</v>
      </c>
      <c r="M54" s="801">
        <v>45921</v>
      </c>
      <c r="N54" s="800"/>
      <c r="O54" s="800"/>
      <c r="P54" s="810" t="s">
        <v>2390</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992"/>
    <col min="2" max="2" width="4.6328125" style="1001" bestFit="1" customWidth="1"/>
    <col min="3" max="3" width="7.36328125" style="1001" customWidth="1"/>
    <col min="4" max="4" width="11" style="1001" hidden="1" customWidth="1"/>
    <col min="5" max="5" width="7.36328125" style="1001" customWidth="1"/>
    <col min="6" max="6" width="10.90625" style="1001" bestFit="1" customWidth="1"/>
    <col min="7" max="7" width="10.54296875" style="992" bestFit="1" customWidth="1"/>
    <col min="8" max="8" width="9.90625" style="1001" customWidth="1"/>
    <col min="9" max="9" width="2" style="992" customWidth="1"/>
    <col min="10" max="11" width="8.7265625" style="992"/>
    <col min="12" max="12" width="11.54296875" style="992" hidden="1" customWidth="1"/>
    <col min="13" max="13" width="8.7265625" style="992" customWidth="1"/>
    <col min="14" max="14" width="8.7265625" style="992"/>
    <col min="15" max="15" width="10.54296875" style="992" bestFit="1" customWidth="1"/>
    <col min="16" max="16" width="8.6328125" style="992" customWidth="1"/>
    <col min="17" max="17" width="2.81640625" style="992" customWidth="1"/>
    <col min="18" max="19" width="8.7265625" style="992"/>
    <col min="20" max="20" width="8.7265625" style="992" hidden="1" customWidth="1"/>
    <col min="21" max="21" width="8.7265625" style="992" customWidth="1"/>
    <col min="22" max="16384" width="8.7265625" style="992"/>
  </cols>
  <sheetData>
    <row r="1" spans="2:22">
      <c r="B1" s="1623" t="s">
        <v>3075</v>
      </c>
      <c r="C1" s="1623"/>
      <c r="D1" s="1623"/>
      <c r="E1" s="1623"/>
      <c r="F1" s="1623"/>
      <c r="G1" s="1623"/>
      <c r="H1" s="1623"/>
      <c r="J1" s="1624" t="s">
        <v>3076</v>
      </c>
      <c r="K1" s="1624"/>
      <c r="L1" s="1624"/>
      <c r="M1" s="1624"/>
      <c r="N1" s="1624"/>
      <c r="O1" s="1624"/>
      <c r="P1" s="1624"/>
      <c r="R1" s="1623" t="s">
        <v>3077</v>
      </c>
      <c r="S1" s="1623"/>
      <c r="T1" s="1623"/>
      <c r="U1" s="1623"/>
      <c r="V1" s="1623"/>
    </row>
    <row r="2" spans="2:22" ht="20.5" customHeight="1">
      <c r="B2" s="1624" t="s">
        <v>1782</v>
      </c>
      <c r="C2" s="1624" t="s">
        <v>3078</v>
      </c>
      <c r="D2" s="1625" t="s">
        <v>3258</v>
      </c>
      <c r="E2" s="1625" t="s">
        <v>3266</v>
      </c>
      <c r="F2" s="1625" t="s">
        <v>3080</v>
      </c>
      <c r="G2" s="1031" t="s">
        <v>3246</v>
      </c>
      <c r="H2" s="1624" t="s">
        <v>19</v>
      </c>
      <c r="J2" s="1624" t="s">
        <v>1782</v>
      </c>
      <c r="K2" s="1624" t="s">
        <v>3078</v>
      </c>
      <c r="L2" s="1625" t="s">
        <v>3258</v>
      </c>
      <c r="M2" s="1625" t="s">
        <v>3266</v>
      </c>
      <c r="N2" s="1625" t="s">
        <v>3080</v>
      </c>
      <c r="O2" s="1031" t="s">
        <v>3246</v>
      </c>
      <c r="P2" s="1624" t="s">
        <v>19</v>
      </c>
      <c r="R2" s="1624" t="s">
        <v>1782</v>
      </c>
      <c r="S2" s="1624" t="s">
        <v>3078</v>
      </c>
      <c r="T2" s="1625" t="s">
        <v>3079</v>
      </c>
      <c r="U2" s="1625" t="s">
        <v>3266</v>
      </c>
      <c r="V2" s="1625" t="s">
        <v>3080</v>
      </c>
    </row>
    <row r="3" spans="2:22" ht="20.5" customHeight="1">
      <c r="B3" s="1624"/>
      <c r="C3" s="1624"/>
      <c r="D3" s="1624"/>
      <c r="E3" s="1625"/>
      <c r="F3" s="1625"/>
      <c r="G3" s="993"/>
      <c r="H3" s="1624"/>
      <c r="J3" s="1624"/>
      <c r="K3" s="1624"/>
      <c r="L3" s="1624"/>
      <c r="M3" s="1625"/>
      <c r="N3" s="1625"/>
      <c r="O3" s="993"/>
      <c r="P3" s="1624"/>
      <c r="R3" s="1624"/>
      <c r="S3" s="1624"/>
      <c r="T3" s="1624"/>
      <c r="U3" s="1625"/>
      <c r="V3" s="1625"/>
    </row>
    <row r="4" spans="2:22">
      <c r="B4" s="994">
        <v>1</v>
      </c>
      <c r="C4" s="994" t="s">
        <v>1675</v>
      </c>
      <c r="D4" s="994">
        <v>201</v>
      </c>
      <c r="E4" s="1626">
        <f>370+64</f>
        <v>434</v>
      </c>
      <c r="F4" s="994">
        <v>186</v>
      </c>
      <c r="G4" s="994"/>
      <c r="H4" s="1033"/>
      <c r="J4" s="994">
        <v>1</v>
      </c>
      <c r="K4" s="994" t="s">
        <v>1675</v>
      </c>
      <c r="L4" s="994">
        <v>1</v>
      </c>
      <c r="M4" s="1626">
        <v>129</v>
      </c>
      <c r="N4" s="994">
        <v>2</v>
      </c>
      <c r="O4" s="994"/>
      <c r="P4" s="1032"/>
      <c r="R4" s="995">
        <v>1</v>
      </c>
      <c r="S4" s="995" t="s">
        <v>1868</v>
      </c>
      <c r="T4" s="995">
        <v>13</v>
      </c>
      <c r="U4" s="995">
        <v>14</v>
      </c>
      <c r="V4" s="995">
        <v>10</v>
      </c>
    </row>
    <row r="5" spans="2:22">
      <c r="B5" s="995">
        <f>B4+1</f>
        <v>2</v>
      </c>
      <c r="C5" s="994" t="s">
        <v>2397</v>
      </c>
      <c r="D5" s="994">
        <v>57</v>
      </c>
      <c r="E5" s="1626"/>
      <c r="F5" s="994">
        <v>49</v>
      </c>
      <c r="G5" s="994"/>
      <c r="H5" s="1033"/>
      <c r="J5" s="994">
        <f>J4+1</f>
        <v>2</v>
      </c>
      <c r="K5" s="994" t="s">
        <v>2397</v>
      </c>
      <c r="L5" s="994">
        <v>20</v>
      </c>
      <c r="M5" s="1626"/>
      <c r="N5" s="994">
        <v>18.75</v>
      </c>
      <c r="O5" s="994"/>
      <c r="P5" s="1032"/>
      <c r="R5" s="1627" t="s">
        <v>994</v>
      </c>
      <c r="S5" s="1627"/>
      <c r="T5" s="997">
        <f>SUM(T1:T4)</f>
        <v>13</v>
      </c>
      <c r="U5" s="997">
        <f>SUM(U1:U4)</f>
        <v>14</v>
      </c>
      <c r="V5" s="997">
        <f>SUM(V1:V4)</f>
        <v>10</v>
      </c>
    </row>
    <row r="6" spans="2:22">
      <c r="B6" s="995">
        <f>B5+1</f>
        <v>3</v>
      </c>
      <c r="C6" s="994" t="s">
        <v>2398</v>
      </c>
      <c r="D6" s="994">
        <v>44</v>
      </c>
      <c r="E6" s="1626"/>
      <c r="F6" s="994">
        <v>38</v>
      </c>
      <c r="G6" s="994"/>
      <c r="H6" s="1033"/>
      <c r="J6" s="994">
        <f>J5+1</f>
        <v>3</v>
      </c>
      <c r="K6" s="994" t="s">
        <v>2398</v>
      </c>
      <c r="L6" s="994">
        <v>21</v>
      </c>
      <c r="M6" s="1626"/>
      <c r="N6" s="994">
        <v>16.75</v>
      </c>
      <c r="O6" s="994"/>
      <c r="P6" s="1032"/>
    </row>
    <row r="7" spans="2:22">
      <c r="B7" s="995">
        <f>B6+1</f>
        <v>4</v>
      </c>
      <c r="C7" s="994" t="s">
        <v>2425</v>
      </c>
      <c r="D7" s="994">
        <v>63</v>
      </c>
      <c r="E7" s="1626"/>
      <c r="F7" s="994">
        <v>54</v>
      </c>
      <c r="G7" s="994"/>
      <c r="H7" s="995"/>
      <c r="J7" s="994">
        <f>J6+1</f>
        <v>4</v>
      </c>
      <c r="K7" s="994" t="s">
        <v>2425</v>
      </c>
      <c r="L7" s="994">
        <f>22+7</f>
        <v>29</v>
      </c>
      <c r="M7" s="1626"/>
      <c r="N7" s="994">
        <v>26</v>
      </c>
      <c r="O7" s="994"/>
      <c r="P7" s="994"/>
    </row>
    <row r="8" spans="2:22">
      <c r="B8" s="1627" t="s">
        <v>994</v>
      </c>
      <c r="C8" s="1627"/>
      <c r="D8" s="997">
        <f t="shared" ref="D8:F8" si="0">SUM(D4:D7)</f>
        <v>365</v>
      </c>
      <c r="E8" s="997">
        <f t="shared" si="0"/>
        <v>434</v>
      </c>
      <c r="F8" s="997">
        <f t="shared" si="0"/>
        <v>327</v>
      </c>
      <c r="G8" s="997"/>
      <c r="H8" s="995"/>
      <c r="J8" s="1628" t="s">
        <v>994</v>
      </c>
      <c r="K8" s="1628"/>
      <c r="L8" s="997">
        <f>SUM(L4:L7)</f>
        <v>71</v>
      </c>
      <c r="M8" s="997">
        <f>SUM(M4:M7)</f>
        <v>129</v>
      </c>
      <c r="N8" s="997">
        <f>SUM(N4:N7)</f>
        <v>63.5</v>
      </c>
      <c r="O8" s="997"/>
      <c r="P8" s="997"/>
    </row>
    <row r="10" spans="2:22">
      <c r="B10" s="1623" t="s">
        <v>3075</v>
      </c>
      <c r="C10" s="1623"/>
      <c r="D10" s="1623"/>
      <c r="E10" s="1623"/>
      <c r="F10" s="1623"/>
      <c r="G10" s="1623"/>
      <c r="H10" s="1623"/>
      <c r="J10" s="1629" t="s">
        <v>3081</v>
      </c>
      <c r="K10" s="1630"/>
      <c r="L10" s="1630"/>
      <c r="M10" s="1630"/>
      <c r="N10" s="1630"/>
      <c r="O10" s="1630"/>
      <c r="P10" s="1631"/>
      <c r="R10" s="1623" t="s">
        <v>3082</v>
      </c>
      <c r="S10" s="1623"/>
      <c r="T10" s="1623"/>
      <c r="U10" s="1623"/>
      <c r="V10" s="1623"/>
    </row>
    <row r="11" spans="2:22" ht="20.5" customHeight="1">
      <c r="B11" s="1624" t="s">
        <v>1782</v>
      </c>
      <c r="C11" s="1624" t="s">
        <v>2877</v>
      </c>
      <c r="D11" s="1625" t="s">
        <v>3258</v>
      </c>
      <c r="E11" s="1625" t="s">
        <v>3266</v>
      </c>
      <c r="F11" s="1625" t="s">
        <v>3080</v>
      </c>
      <c r="G11" s="1031" t="s">
        <v>3246</v>
      </c>
      <c r="H11" s="1624" t="s">
        <v>19</v>
      </c>
      <c r="J11" s="1624" t="s">
        <v>1782</v>
      </c>
      <c r="K11" s="1625" t="s">
        <v>2877</v>
      </c>
      <c r="L11" s="1625" t="s">
        <v>3258</v>
      </c>
      <c r="M11" s="1625" t="s">
        <v>3266</v>
      </c>
      <c r="N11" s="1625" t="s">
        <v>3080</v>
      </c>
      <c r="O11" s="1031" t="s">
        <v>3246</v>
      </c>
      <c r="P11" s="1624" t="s">
        <v>19</v>
      </c>
      <c r="R11" s="1624" t="s">
        <v>1782</v>
      </c>
      <c r="S11" s="1624" t="s">
        <v>2877</v>
      </c>
      <c r="T11" s="1625" t="s">
        <v>3079</v>
      </c>
      <c r="U11" s="1625" t="s">
        <v>3266</v>
      </c>
      <c r="V11" s="1625" t="s">
        <v>3080</v>
      </c>
    </row>
    <row r="12" spans="2:22" ht="20.5" customHeight="1">
      <c r="B12" s="1624"/>
      <c r="C12" s="1624"/>
      <c r="D12" s="1624"/>
      <c r="E12" s="1625"/>
      <c r="F12" s="1625"/>
      <c r="G12" s="993">
        <v>38</v>
      </c>
      <c r="H12" s="1624"/>
      <c r="J12" s="1624"/>
      <c r="K12" s="1624"/>
      <c r="L12" s="1624"/>
      <c r="M12" s="1625"/>
      <c r="N12" s="1625"/>
      <c r="O12" s="993"/>
      <c r="P12" s="1624"/>
      <c r="R12" s="1624"/>
      <c r="S12" s="1624"/>
      <c r="T12" s="1624"/>
      <c r="U12" s="1625"/>
      <c r="V12" s="1625"/>
    </row>
    <row r="13" spans="2:22">
      <c r="B13" s="994">
        <v>1</v>
      </c>
      <c r="C13" s="998" t="s">
        <v>1675</v>
      </c>
      <c r="D13" s="998">
        <v>11</v>
      </c>
      <c r="E13" s="1626">
        <f>101+115</f>
        <v>216</v>
      </c>
      <c r="F13" s="998"/>
      <c r="G13" s="998"/>
      <c r="H13" s="995"/>
      <c r="J13" s="994">
        <v>1</v>
      </c>
      <c r="K13" s="994" t="s">
        <v>2863</v>
      </c>
      <c r="L13" s="998"/>
      <c r="M13" s="1632">
        <v>100</v>
      </c>
      <c r="N13" s="998"/>
      <c r="O13" s="998"/>
      <c r="P13" s="998"/>
      <c r="R13" s="995">
        <v>1</v>
      </c>
      <c r="S13" s="995" t="s">
        <v>1868</v>
      </c>
      <c r="T13" s="995">
        <v>13</v>
      </c>
      <c r="U13" s="995">
        <v>14</v>
      </c>
      <c r="V13" s="995"/>
    </row>
    <row r="14" spans="2:22">
      <c r="B14" s="994"/>
      <c r="C14" s="994" t="s">
        <v>2863</v>
      </c>
      <c r="D14" s="994">
        <v>201</v>
      </c>
      <c r="E14" s="1626"/>
      <c r="F14" s="994">
        <v>171</v>
      </c>
      <c r="G14" s="994"/>
      <c r="H14" s="1159"/>
      <c r="J14" s="1156"/>
      <c r="K14" s="1156" t="s">
        <v>2864</v>
      </c>
      <c r="L14" s="994"/>
      <c r="M14" s="1633"/>
      <c r="N14" s="994"/>
      <c r="O14" s="994"/>
      <c r="P14" s="994"/>
      <c r="R14" s="996" t="s">
        <v>994</v>
      </c>
      <c r="S14" s="996"/>
      <c r="T14" s="997">
        <f>SUM(T10:T13)</f>
        <v>13</v>
      </c>
      <c r="U14" s="997">
        <f>SUM(U10:U13)</f>
        <v>14</v>
      </c>
      <c r="V14" s="997"/>
    </row>
    <row r="15" spans="2:22">
      <c r="B15" s="994"/>
      <c r="C15" s="994" t="s">
        <v>2864</v>
      </c>
      <c r="D15" s="994">
        <v>140</v>
      </c>
      <c r="E15" s="1626"/>
      <c r="F15" s="994">
        <v>110</v>
      </c>
      <c r="G15" s="994"/>
      <c r="H15" s="995"/>
      <c r="I15" s="1161"/>
      <c r="J15" s="994"/>
      <c r="K15" s="994" t="s">
        <v>3083</v>
      </c>
      <c r="L15" s="1158"/>
      <c r="M15" s="1633"/>
      <c r="N15" s="994"/>
      <c r="O15" s="994"/>
      <c r="P15" s="994"/>
    </row>
    <row r="16" spans="2:22">
      <c r="B16" s="994"/>
      <c r="C16" s="994" t="s">
        <v>3083</v>
      </c>
      <c r="D16" s="994">
        <v>61</v>
      </c>
      <c r="E16" s="1626"/>
      <c r="F16" s="994">
        <v>61</v>
      </c>
      <c r="G16" s="994"/>
      <c r="H16" s="995"/>
      <c r="I16" s="1161"/>
      <c r="J16" s="1161"/>
      <c r="K16" s="1161"/>
      <c r="L16" s="1158"/>
      <c r="M16" s="1633"/>
      <c r="N16" s="994"/>
      <c r="O16" s="994"/>
      <c r="P16" s="994"/>
    </row>
    <row r="17" spans="2:16">
      <c r="B17" s="994"/>
      <c r="C17" s="994" t="s">
        <v>3084</v>
      </c>
      <c r="D17" s="994">
        <v>25</v>
      </c>
      <c r="E17" s="1626"/>
      <c r="F17" s="994">
        <v>22</v>
      </c>
      <c r="G17" s="994"/>
      <c r="H17" s="1160"/>
      <c r="J17" s="1157"/>
      <c r="K17" s="1157" t="s">
        <v>3084</v>
      </c>
      <c r="L17" s="994"/>
      <c r="M17" s="1633"/>
      <c r="N17" s="994"/>
      <c r="O17" s="994"/>
      <c r="P17" s="994"/>
    </row>
    <row r="18" spans="2:16">
      <c r="B18" s="994"/>
      <c r="C18" s="994" t="s">
        <v>2865</v>
      </c>
      <c r="D18" s="994">
        <v>6</v>
      </c>
      <c r="E18" s="1626"/>
      <c r="F18" s="994">
        <v>4</v>
      </c>
      <c r="G18" s="994"/>
      <c r="H18" s="995"/>
      <c r="J18" s="994"/>
      <c r="K18" s="994" t="s">
        <v>2865</v>
      </c>
      <c r="L18" s="994"/>
      <c r="M18" s="1633"/>
      <c r="N18" s="994"/>
      <c r="O18" s="994"/>
      <c r="P18" s="994"/>
    </row>
    <row r="19" spans="2:16">
      <c r="B19" s="995">
        <f>B13+1</f>
        <v>2</v>
      </c>
      <c r="C19" s="998" t="s">
        <v>2397</v>
      </c>
      <c r="D19" s="998"/>
      <c r="E19" s="1626"/>
      <c r="F19" s="998"/>
      <c r="G19" s="999"/>
      <c r="H19" s="995"/>
      <c r="J19" s="995">
        <f>J13+1</f>
        <v>2</v>
      </c>
      <c r="K19" s="998" t="s">
        <v>2397</v>
      </c>
      <c r="L19" s="998"/>
      <c r="M19" s="1633"/>
      <c r="N19" s="998"/>
      <c r="O19" s="999"/>
      <c r="P19" s="998"/>
    </row>
    <row r="20" spans="2:16">
      <c r="B20" s="995"/>
      <c r="C20" s="994" t="s">
        <v>2863</v>
      </c>
      <c r="D20" s="994">
        <v>57</v>
      </c>
      <c r="E20" s="1626"/>
      <c r="F20" s="994">
        <v>34</v>
      </c>
      <c r="G20" s="995"/>
      <c r="H20" s="995"/>
      <c r="J20" s="995"/>
      <c r="K20" s="994" t="s">
        <v>2863</v>
      </c>
      <c r="L20" s="994"/>
      <c r="M20" s="1633"/>
      <c r="N20" s="995">
        <v>14</v>
      </c>
      <c r="O20" s="995"/>
      <c r="P20" s="994"/>
    </row>
    <row r="21" spans="2:16">
      <c r="B21" s="995"/>
      <c r="C21" s="994" t="s">
        <v>2864</v>
      </c>
      <c r="D21" s="994" t="s">
        <v>3338</v>
      </c>
      <c r="E21" s="1626"/>
      <c r="F21" s="994">
        <v>31</v>
      </c>
      <c r="G21" s="995"/>
      <c r="H21" s="995"/>
      <c r="J21" s="995"/>
      <c r="K21" s="994" t="s">
        <v>2864</v>
      </c>
      <c r="L21" s="994"/>
      <c r="M21" s="1633"/>
      <c r="N21" s="995">
        <v>14</v>
      </c>
      <c r="O21" s="995"/>
      <c r="P21" s="994"/>
    </row>
    <row r="22" spans="2:16">
      <c r="B22" s="995"/>
      <c r="C22" s="994" t="s">
        <v>3083</v>
      </c>
      <c r="D22" s="994">
        <v>21</v>
      </c>
      <c r="E22" s="1626"/>
      <c r="F22" s="994">
        <v>3</v>
      </c>
      <c r="G22" s="995"/>
      <c r="H22" s="995"/>
      <c r="J22" s="995"/>
      <c r="K22" s="994" t="s">
        <v>3083</v>
      </c>
      <c r="L22" s="994"/>
      <c r="M22" s="1633"/>
      <c r="N22" s="995"/>
      <c r="O22" s="995"/>
      <c r="P22" s="994"/>
    </row>
    <row r="23" spans="2:16">
      <c r="B23" s="995"/>
      <c r="C23" s="994" t="s">
        <v>3084</v>
      </c>
      <c r="D23" s="994">
        <v>22</v>
      </c>
      <c r="E23" s="1626"/>
      <c r="F23" s="994">
        <v>2</v>
      </c>
      <c r="G23" s="995"/>
      <c r="H23" s="995"/>
      <c r="J23" s="995"/>
      <c r="K23" s="994" t="s">
        <v>3084</v>
      </c>
      <c r="L23" s="994"/>
      <c r="M23" s="1633"/>
      <c r="N23" s="995"/>
      <c r="O23" s="995"/>
      <c r="P23" s="994"/>
    </row>
    <row r="24" spans="2:16">
      <c r="B24" s="995"/>
      <c r="C24" s="994" t="s">
        <v>2865</v>
      </c>
      <c r="D24" s="994">
        <v>9</v>
      </c>
      <c r="E24" s="1626"/>
      <c r="F24" s="994">
        <v>2</v>
      </c>
      <c r="G24" s="995"/>
      <c r="H24" s="995"/>
      <c r="J24" s="995"/>
      <c r="K24" s="994" t="s">
        <v>2865</v>
      </c>
      <c r="L24" s="994"/>
      <c r="M24" s="1633"/>
      <c r="N24" s="995">
        <v>4</v>
      </c>
      <c r="O24" s="995"/>
      <c r="P24" s="994"/>
    </row>
    <row r="25" spans="2:16">
      <c r="B25" s="995"/>
      <c r="C25" s="1000" t="s">
        <v>3085</v>
      </c>
      <c r="D25" s="994"/>
      <c r="E25" s="1626"/>
      <c r="F25" s="994"/>
      <c r="G25" s="995"/>
      <c r="H25" s="995"/>
      <c r="J25" s="995"/>
      <c r="K25" s="1000" t="s">
        <v>3085</v>
      </c>
      <c r="L25" s="994"/>
      <c r="M25" s="1633"/>
      <c r="N25" s="994"/>
      <c r="O25" s="995"/>
      <c r="P25" s="994"/>
    </row>
    <row r="26" spans="2:16">
      <c r="B26" s="995"/>
      <c r="C26" s="1000" t="s">
        <v>3086</v>
      </c>
      <c r="D26" s="994"/>
      <c r="E26" s="1626"/>
      <c r="F26" s="994"/>
      <c r="G26" s="995"/>
      <c r="H26" s="995"/>
      <c r="J26" s="995"/>
      <c r="K26" s="1000" t="s">
        <v>3086</v>
      </c>
      <c r="L26" s="994"/>
      <c r="M26" s="1633"/>
      <c r="N26" s="994"/>
      <c r="O26" s="995"/>
      <c r="P26" s="994"/>
    </row>
    <row r="27" spans="2:16">
      <c r="B27" s="995">
        <f>B19+1</f>
        <v>3</v>
      </c>
      <c r="C27" s="998" t="s">
        <v>2398</v>
      </c>
      <c r="D27" s="998"/>
      <c r="E27" s="1626"/>
      <c r="F27" s="998"/>
      <c r="G27" s="999"/>
      <c r="H27" s="995"/>
      <c r="J27" s="995">
        <f>J19+1</f>
        <v>3</v>
      </c>
      <c r="K27" s="998" t="s">
        <v>2398</v>
      </c>
      <c r="L27" s="998"/>
      <c r="M27" s="1633"/>
      <c r="N27" s="998"/>
      <c r="O27" s="999"/>
      <c r="P27" s="998"/>
    </row>
    <row r="28" spans="2:16">
      <c r="B28" s="995"/>
      <c r="C28" s="994" t="s">
        <v>2863</v>
      </c>
      <c r="D28" s="994">
        <v>44</v>
      </c>
      <c r="E28" s="1626"/>
      <c r="F28" s="994">
        <v>33</v>
      </c>
      <c r="G28" s="995"/>
      <c r="H28" s="995"/>
      <c r="J28" s="995"/>
      <c r="K28" s="994" t="s">
        <v>2863</v>
      </c>
      <c r="L28" s="994"/>
      <c r="M28" s="1633"/>
      <c r="N28" s="995">
        <v>12</v>
      </c>
      <c r="O28" s="995"/>
      <c r="P28" s="994"/>
    </row>
    <row r="29" spans="2:16">
      <c r="B29" s="995"/>
      <c r="C29" s="994" t="s">
        <v>2864</v>
      </c>
      <c r="D29" s="994">
        <v>33</v>
      </c>
      <c r="E29" s="1626"/>
      <c r="F29" s="994">
        <v>25</v>
      </c>
      <c r="G29" s="995"/>
      <c r="H29" s="995"/>
      <c r="J29" s="995"/>
      <c r="K29" s="994" t="s">
        <v>2864</v>
      </c>
      <c r="L29" s="994"/>
      <c r="M29" s="1633"/>
      <c r="N29" s="995">
        <v>12</v>
      </c>
      <c r="O29" s="995"/>
      <c r="P29" s="994"/>
    </row>
    <row r="30" spans="2:16">
      <c r="B30" s="995"/>
      <c r="C30" s="994" t="s">
        <v>3083</v>
      </c>
      <c r="D30" s="994">
        <v>11</v>
      </c>
      <c r="E30" s="1626"/>
      <c r="F30" s="994">
        <v>8</v>
      </c>
      <c r="G30" s="995"/>
      <c r="H30" s="995"/>
      <c r="J30" s="995"/>
      <c r="K30" s="994" t="s">
        <v>3083</v>
      </c>
      <c r="L30" s="994"/>
      <c r="M30" s="1633"/>
      <c r="N30" s="995"/>
      <c r="O30" s="995"/>
      <c r="P30" s="994"/>
    </row>
    <row r="31" spans="2:16">
      <c r="B31" s="995"/>
      <c r="C31" s="994" t="s">
        <v>3084</v>
      </c>
      <c r="D31" s="994">
        <v>3</v>
      </c>
      <c r="E31" s="1626"/>
      <c r="F31" s="994">
        <v>2</v>
      </c>
      <c r="G31" s="995"/>
      <c r="H31" s="995"/>
      <c r="J31" s="995"/>
      <c r="K31" s="994" t="s">
        <v>3084</v>
      </c>
      <c r="L31" s="994"/>
      <c r="M31" s="1633"/>
      <c r="N31" s="995"/>
      <c r="O31" s="995"/>
      <c r="P31" s="994"/>
    </row>
    <row r="32" spans="2:16">
      <c r="B32" s="995"/>
      <c r="C32" s="994" t="s">
        <v>2865</v>
      </c>
      <c r="D32" s="994">
        <v>6</v>
      </c>
      <c r="E32" s="1626"/>
      <c r="F32" s="994">
        <v>3</v>
      </c>
      <c r="G32" s="995"/>
      <c r="H32" s="995"/>
      <c r="J32" s="995"/>
      <c r="K32" s="994" t="s">
        <v>2865</v>
      </c>
      <c r="L32" s="994"/>
      <c r="M32" s="1633"/>
      <c r="N32" s="995">
        <v>2</v>
      </c>
      <c r="O32" s="995"/>
      <c r="P32" s="994"/>
    </row>
    <row r="33" spans="2:16">
      <c r="B33" s="995"/>
      <c r="C33" s="1000" t="s">
        <v>3085</v>
      </c>
      <c r="D33" s="994"/>
      <c r="E33" s="1626"/>
      <c r="F33" s="994"/>
      <c r="G33" s="995"/>
      <c r="H33" s="995"/>
      <c r="J33" s="995"/>
      <c r="K33" s="1000" t="s">
        <v>3085</v>
      </c>
      <c r="L33" s="994"/>
      <c r="M33" s="1633"/>
      <c r="N33" s="995"/>
      <c r="O33" s="995"/>
      <c r="P33" s="994"/>
    </row>
    <row r="34" spans="2:16">
      <c r="B34" s="995"/>
      <c r="C34" s="1000" t="s">
        <v>3086</v>
      </c>
      <c r="D34" s="994"/>
      <c r="E34" s="1626"/>
      <c r="F34" s="994"/>
      <c r="G34" s="995"/>
      <c r="H34" s="995"/>
      <c r="J34" s="995"/>
      <c r="K34" s="1000" t="s">
        <v>3086</v>
      </c>
      <c r="L34" s="994"/>
      <c r="M34" s="1633"/>
      <c r="N34" s="995"/>
      <c r="O34" s="995"/>
      <c r="P34" s="994"/>
    </row>
    <row r="35" spans="2:16">
      <c r="B35" s="995">
        <f>B27+1</f>
        <v>4</v>
      </c>
      <c r="C35" s="998" t="s">
        <v>2425</v>
      </c>
      <c r="D35" s="998"/>
      <c r="E35" s="1626"/>
      <c r="F35" s="998"/>
      <c r="G35" s="999"/>
      <c r="H35" s="995"/>
      <c r="J35" s="995">
        <f>J27+1</f>
        <v>4</v>
      </c>
      <c r="K35" s="998" t="s">
        <v>2425</v>
      </c>
      <c r="L35" s="998"/>
      <c r="M35" s="1633"/>
      <c r="N35" s="998"/>
      <c r="O35" s="999"/>
      <c r="P35" s="998"/>
    </row>
    <row r="36" spans="2:16">
      <c r="B36" s="995"/>
      <c r="C36" s="994" t="s">
        <v>2863</v>
      </c>
      <c r="D36" s="994">
        <v>63</v>
      </c>
      <c r="E36" s="1626"/>
      <c r="F36" s="995">
        <v>36</v>
      </c>
      <c r="G36" s="995"/>
      <c r="H36" s="995"/>
      <c r="J36" s="995"/>
      <c r="K36" s="994" t="s">
        <v>2863</v>
      </c>
      <c r="L36" s="994"/>
      <c r="M36" s="1633"/>
      <c r="N36" s="995">
        <v>15</v>
      </c>
      <c r="O36" s="995"/>
      <c r="P36" s="994"/>
    </row>
    <row r="37" spans="2:16" ht="174">
      <c r="B37" s="1153" t="s">
        <v>3331</v>
      </c>
      <c r="C37" s="1154">
        <v>46090</v>
      </c>
      <c r="D37" s="1154">
        <f>C37</f>
        <v>46090</v>
      </c>
      <c r="E37" s="1626"/>
      <c r="F37" s="995">
        <v>36</v>
      </c>
      <c r="G37" s="995" t="s">
        <v>3332</v>
      </c>
      <c r="H37" s="995"/>
      <c r="J37" s="995"/>
      <c r="K37" s="994" t="s">
        <v>2863</v>
      </c>
      <c r="L37" s="994"/>
      <c r="M37" s="1633"/>
      <c r="N37" s="995">
        <v>15</v>
      </c>
      <c r="O37" s="995"/>
      <c r="P37" s="994"/>
    </row>
    <row r="38" spans="2:16">
      <c r="B38" s="995"/>
      <c r="C38" s="994" t="s">
        <v>3083</v>
      </c>
      <c r="D38" s="994">
        <v>6</v>
      </c>
      <c r="E38" s="1626"/>
      <c r="F38" s="995">
        <v>5</v>
      </c>
      <c r="G38" s="995"/>
      <c r="H38" s="995"/>
      <c r="J38" s="995"/>
      <c r="K38" s="994" t="s">
        <v>3083</v>
      </c>
      <c r="L38" s="994"/>
      <c r="M38" s="1633"/>
      <c r="N38" s="995"/>
      <c r="O38" s="995"/>
      <c r="P38" s="994"/>
    </row>
    <row r="39" spans="2:16">
      <c r="B39" s="995"/>
      <c r="C39" s="994" t="s">
        <v>3084</v>
      </c>
      <c r="D39" s="994">
        <v>3</v>
      </c>
      <c r="E39" s="1626"/>
      <c r="F39" s="995">
        <v>3</v>
      </c>
      <c r="G39" s="995"/>
      <c r="H39" s="995"/>
      <c r="J39" s="995"/>
      <c r="K39" s="994" t="s">
        <v>3084</v>
      </c>
      <c r="L39" s="994"/>
      <c r="M39" s="1633"/>
      <c r="N39" s="995"/>
      <c r="O39" s="995"/>
      <c r="P39" s="994"/>
    </row>
    <row r="40" spans="2:16">
      <c r="B40" s="995"/>
      <c r="C40" s="994" t="s">
        <v>2865</v>
      </c>
      <c r="D40" s="994">
        <v>9</v>
      </c>
      <c r="E40" s="1626"/>
      <c r="F40" s="994">
        <v>5</v>
      </c>
      <c r="G40" s="995"/>
      <c r="H40" s="995"/>
      <c r="J40" s="995"/>
      <c r="K40" s="994" t="s">
        <v>2865</v>
      </c>
      <c r="L40" s="994"/>
      <c r="M40" s="1633"/>
      <c r="N40" s="995">
        <v>5</v>
      </c>
      <c r="O40" s="995"/>
      <c r="P40" s="994"/>
    </row>
    <row r="41" spans="2:16">
      <c r="B41" s="995"/>
      <c r="C41" s="994" t="s">
        <v>3087</v>
      </c>
      <c r="D41" s="994">
        <v>11</v>
      </c>
      <c r="E41" s="1626"/>
      <c r="F41" s="994"/>
      <c r="G41" s="995"/>
      <c r="H41" s="995"/>
      <c r="J41" s="995"/>
      <c r="K41" s="994" t="s">
        <v>3087</v>
      </c>
      <c r="L41" s="994"/>
      <c r="M41" s="1633"/>
      <c r="N41" s="995"/>
      <c r="O41" s="995"/>
      <c r="P41" s="994"/>
    </row>
    <row r="42" spans="2:16">
      <c r="B42" s="995"/>
      <c r="C42" s="994" t="s">
        <v>3088</v>
      </c>
      <c r="D42" s="994">
        <v>10</v>
      </c>
      <c r="E42" s="1626"/>
      <c r="F42" s="994"/>
      <c r="G42" s="995"/>
      <c r="H42" s="995"/>
      <c r="J42" s="995"/>
      <c r="K42" s="994" t="s">
        <v>3088</v>
      </c>
      <c r="L42" s="994"/>
      <c r="M42" s="1633"/>
      <c r="N42" s="995"/>
      <c r="O42" s="995"/>
      <c r="P42" s="994"/>
    </row>
    <row r="43" spans="2:16">
      <c r="B43" s="995"/>
      <c r="C43" s="994" t="s">
        <v>3089</v>
      </c>
      <c r="D43" s="994">
        <v>9</v>
      </c>
      <c r="E43" s="1626"/>
      <c r="F43" s="994"/>
      <c r="G43" s="995"/>
      <c r="H43" s="995"/>
      <c r="J43" s="995"/>
      <c r="K43" s="994" t="s">
        <v>3089</v>
      </c>
      <c r="L43" s="994"/>
      <c r="M43" s="1633"/>
      <c r="N43" s="995"/>
      <c r="O43" s="995"/>
      <c r="P43" s="994"/>
    </row>
    <row r="44" spans="2:16">
      <c r="B44" s="995"/>
      <c r="C44" s="1000" t="s">
        <v>3085</v>
      </c>
      <c r="D44" s="994"/>
      <c r="E44" s="1626"/>
      <c r="F44" s="994"/>
      <c r="G44" s="995"/>
      <c r="H44" s="995"/>
      <c r="J44" s="995"/>
      <c r="K44" s="1000" t="s">
        <v>3085</v>
      </c>
      <c r="L44" s="994"/>
      <c r="M44" s="1633"/>
      <c r="N44" s="995"/>
      <c r="O44" s="995"/>
      <c r="P44" s="994"/>
    </row>
    <row r="45" spans="2:16">
      <c r="B45" s="995"/>
      <c r="C45" s="1000" t="s">
        <v>3086</v>
      </c>
      <c r="D45" s="994"/>
      <c r="E45" s="1626"/>
      <c r="F45" s="994"/>
      <c r="G45" s="995"/>
      <c r="H45" s="995"/>
      <c r="J45" s="995"/>
      <c r="K45" s="1000" t="s">
        <v>3086</v>
      </c>
      <c r="L45" s="994"/>
      <c r="M45" s="1634"/>
      <c r="N45" s="995"/>
      <c r="O45" s="995"/>
      <c r="P45" s="994"/>
    </row>
    <row r="46" spans="2:16">
      <c r="B46" s="1627" t="s">
        <v>994</v>
      </c>
      <c r="C46" s="1627"/>
      <c r="D46" s="997">
        <f>D36+D28+D20+D14</f>
        <v>365</v>
      </c>
      <c r="E46" s="997">
        <f>E13</f>
        <v>216</v>
      </c>
      <c r="F46" s="997">
        <f>F36+F28+F20+F14</f>
        <v>274</v>
      </c>
      <c r="G46" s="997">
        <f>G36+G28+G20+G14</f>
        <v>0</v>
      </c>
      <c r="H46" s="995"/>
      <c r="J46" s="1627" t="s">
        <v>994</v>
      </c>
      <c r="K46" s="1627"/>
      <c r="L46" s="997">
        <f>L36+L28+L20+L14</f>
        <v>0</v>
      </c>
      <c r="M46" s="997">
        <f>M13</f>
        <v>100</v>
      </c>
      <c r="N46" s="997">
        <f>N36+N28+N20+N14</f>
        <v>41</v>
      </c>
      <c r="O46" s="997">
        <f>O36+O28+O20+O14</f>
        <v>0</v>
      </c>
      <c r="P46" s="99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6" customWidth="1"/>
    <col min="2" max="2" width="24.81640625" style="702" customWidth="1"/>
    <col min="3" max="3" width="8.7265625" style="702"/>
    <col min="4" max="4" width="11.54296875" style="702" hidden="1" customWidth="1"/>
    <col min="5" max="5" width="10.1796875" style="702" hidden="1" customWidth="1"/>
    <col min="6" max="6" width="9.7265625" style="702" hidden="1" customWidth="1"/>
    <col min="7" max="7" width="0" style="702" hidden="1" customWidth="1"/>
    <col min="8" max="9" width="10.54296875" style="702" hidden="1" customWidth="1"/>
    <col min="10" max="10" width="0" style="702" hidden="1" customWidth="1"/>
    <col min="11" max="11" width="11.1796875" style="702" hidden="1" customWidth="1"/>
    <col min="12" max="12" width="9.7265625" style="702" hidden="1" customWidth="1"/>
    <col min="13" max="13" width="10.26953125" style="702" hidden="1" customWidth="1"/>
    <col min="14" max="14" width="0" style="702" hidden="1" customWidth="1"/>
    <col min="15" max="15" width="10.453125" style="702" hidden="1" customWidth="1"/>
    <col min="16" max="16" width="9.7265625" style="702" hidden="1" customWidth="1"/>
    <col min="17" max="18" width="0" style="702" hidden="1" customWidth="1"/>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701"/>
      <c r="T2" s="701"/>
    </row>
    <row r="3" spans="1:20" ht="15">
      <c r="A3" s="748" t="s">
        <v>1863</v>
      </c>
      <c r="B3" s="703"/>
      <c r="C3" s="700"/>
      <c r="D3" s="704"/>
      <c r="E3" s="704"/>
      <c r="F3" s="700"/>
      <c r="G3" s="700"/>
      <c r="H3" s="700"/>
      <c r="I3" s="700"/>
      <c r="J3" s="700"/>
      <c r="K3" s="700"/>
      <c r="L3" s="700"/>
      <c r="M3" s="704"/>
      <c r="N3" s="700"/>
      <c r="O3" s="700"/>
      <c r="P3" s="700"/>
      <c r="Q3" s="940"/>
      <c r="R3" s="942"/>
      <c r="S3" s="943"/>
      <c r="T3" s="944"/>
    </row>
    <row r="4" spans="1:20" ht="15">
      <c r="A4" s="747" t="s">
        <v>1864</v>
      </c>
      <c r="B4" s="700"/>
      <c r="C4" s="700"/>
      <c r="D4" s="704" t="s">
        <v>1834</v>
      </c>
      <c r="E4" s="704"/>
      <c r="F4" s="739">
        <f>'TB-605'!E1</f>
        <v>46219</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ht="15">
      <c r="A6" s="1639" t="s">
        <v>2371</v>
      </c>
      <c r="B6" s="1639"/>
      <c r="C6" s="1639"/>
      <c r="D6" s="1639"/>
      <c r="E6" s="1639"/>
      <c r="F6" s="1639"/>
      <c r="G6" s="1639"/>
      <c r="H6" s="1639"/>
      <c r="I6" s="1639"/>
      <c r="J6" s="1639"/>
      <c r="K6" s="1639"/>
      <c r="L6" s="1639"/>
      <c r="M6" s="1639"/>
      <c r="N6" s="1639"/>
      <c r="O6" s="1639"/>
      <c r="P6" s="1639"/>
      <c r="Q6" s="1639"/>
      <c r="R6" s="1639"/>
      <c r="S6" s="1639"/>
      <c r="T6" s="1639"/>
    </row>
    <row r="7" spans="1:20">
      <c r="A7" s="1635" t="s">
        <v>1865</v>
      </c>
      <c r="B7" s="1635"/>
      <c r="C7" s="1635"/>
      <c r="D7" s="1635"/>
      <c r="E7" s="1635"/>
      <c r="F7" s="1635"/>
      <c r="G7" s="1635"/>
      <c r="H7" s="1635"/>
      <c r="I7" s="1635"/>
      <c r="J7" s="1635"/>
      <c r="K7" s="1635"/>
      <c r="L7" s="1635"/>
      <c r="M7" s="1635"/>
      <c r="N7" s="1635"/>
      <c r="O7" s="1635"/>
      <c r="P7" s="1635"/>
      <c r="Q7" s="1635"/>
      <c r="R7" s="1635"/>
      <c r="S7" s="1635"/>
      <c r="T7" s="1635"/>
    </row>
    <row r="8" spans="1:20" ht="15" customHeight="1">
      <c r="A8" s="1636" t="s">
        <v>996</v>
      </c>
      <c r="B8" s="1636" t="s">
        <v>1835</v>
      </c>
      <c r="C8" s="1636" t="s">
        <v>589</v>
      </c>
      <c r="D8" s="1636" t="s">
        <v>1836</v>
      </c>
      <c r="E8" s="1636"/>
      <c r="F8" s="1636"/>
      <c r="G8" s="1636"/>
      <c r="H8" s="1636"/>
      <c r="I8" s="1636"/>
      <c r="J8" s="1636"/>
      <c r="K8" s="1636"/>
      <c r="L8" s="1636"/>
      <c r="M8" s="1636"/>
      <c r="N8" s="1636"/>
      <c r="O8" s="1636"/>
      <c r="P8" s="1636" t="s">
        <v>1837</v>
      </c>
      <c r="Q8" s="1636"/>
      <c r="R8" s="1636"/>
      <c r="S8" s="1636" t="s">
        <v>3280</v>
      </c>
      <c r="T8" s="1636" t="s">
        <v>19</v>
      </c>
    </row>
    <row r="9" spans="1:20" ht="30.75" customHeight="1">
      <c r="A9" s="1636"/>
      <c r="B9" s="1636"/>
      <c r="C9" s="1636"/>
      <c r="D9" s="1637" t="s">
        <v>1839</v>
      </c>
      <c r="E9" s="1637"/>
      <c r="F9" s="1637"/>
      <c r="G9" s="1636" t="s">
        <v>1840</v>
      </c>
      <c r="H9" s="1636"/>
      <c r="I9" s="1636"/>
      <c r="J9" s="1636" t="s">
        <v>1841</v>
      </c>
      <c r="K9" s="1636"/>
      <c r="L9" s="1636"/>
      <c r="M9" s="1640" t="s">
        <v>1842</v>
      </c>
      <c r="N9" s="1640"/>
      <c r="O9" s="1640"/>
      <c r="P9" s="1636"/>
      <c r="Q9" s="1636"/>
      <c r="R9" s="1636"/>
      <c r="S9" s="1636"/>
      <c r="T9" s="1636"/>
    </row>
    <row r="10" spans="1:20" ht="27" customHeight="1">
      <c r="A10" s="1636"/>
      <c r="B10" s="1636"/>
      <c r="C10" s="1636"/>
      <c r="D10" s="933" t="s">
        <v>1843</v>
      </c>
      <c r="E10" s="933" t="s">
        <v>1844</v>
      </c>
      <c r="F10" s="933" t="s">
        <v>1845</v>
      </c>
      <c r="G10" s="707" t="s">
        <v>1843</v>
      </c>
      <c r="H10" s="707" t="s">
        <v>1844</v>
      </c>
      <c r="I10" s="707" t="s">
        <v>1845</v>
      </c>
      <c r="J10" s="707" t="s">
        <v>1843</v>
      </c>
      <c r="K10" s="707" t="s">
        <v>1844</v>
      </c>
      <c r="L10" s="707" t="s">
        <v>1845</v>
      </c>
      <c r="M10" s="707" t="s">
        <v>1843</v>
      </c>
      <c r="N10" s="707" t="s">
        <v>1844</v>
      </c>
      <c r="O10" s="707" t="s">
        <v>1845</v>
      </c>
      <c r="P10" s="707" t="s">
        <v>1843</v>
      </c>
      <c r="Q10" s="707" t="s">
        <v>1844</v>
      </c>
      <c r="R10" s="707" t="s">
        <v>1845</v>
      </c>
      <c r="S10" s="1636"/>
      <c r="T10" s="1636"/>
    </row>
    <row r="11" spans="1:20">
      <c r="A11" s="709">
        <v>1</v>
      </c>
      <c r="B11" s="708" t="s">
        <v>1846</v>
      </c>
      <c r="C11" s="709" t="s">
        <v>1847</v>
      </c>
      <c r="D11" s="711"/>
      <c r="E11" s="711"/>
      <c r="F11" s="711"/>
      <c r="G11" s="711"/>
      <c r="H11" s="711"/>
      <c r="I11" s="711"/>
      <c r="J11" s="711"/>
      <c r="K11" s="711"/>
      <c r="L11" s="711"/>
      <c r="M11" s="710"/>
      <c r="N11" s="711"/>
      <c r="O11" s="711"/>
      <c r="P11" s="711"/>
      <c r="Q11" s="712"/>
      <c r="R11" s="712"/>
      <c r="S11" s="713"/>
      <c r="T11" s="741"/>
    </row>
    <row r="12" spans="1:20">
      <c r="A12" s="707">
        <v>1.1000000000000001</v>
      </c>
      <c r="B12" s="714" t="s">
        <v>1866</v>
      </c>
      <c r="C12" s="707" t="s">
        <v>1847</v>
      </c>
      <c r="D12" s="934">
        <v>8697</v>
      </c>
      <c r="E12" s="934"/>
      <c r="F12" s="934">
        <f>D12+E12</f>
        <v>8697</v>
      </c>
      <c r="G12" s="715">
        <v>0</v>
      </c>
      <c r="H12" s="715">
        <v>0</v>
      </c>
      <c r="I12" s="715">
        <f>G12+H12</f>
        <v>0</v>
      </c>
      <c r="J12" s="715">
        <v>0</v>
      </c>
      <c r="K12" s="715">
        <v>0</v>
      </c>
      <c r="L12" s="715">
        <f>J12+K12</f>
        <v>0</v>
      </c>
      <c r="M12" s="715">
        <f>D12+G12-J12</f>
        <v>8697</v>
      </c>
      <c r="N12" s="716">
        <f>E12+H12-K12</f>
        <v>0</v>
      </c>
      <c r="O12" s="716">
        <f>M12+N12</f>
        <v>8697</v>
      </c>
      <c r="P12" s="716">
        <v>7172</v>
      </c>
      <c r="Q12" s="717"/>
      <c r="R12" s="717">
        <f>P12+Q12</f>
        <v>7172</v>
      </c>
      <c r="S12" s="718">
        <v>5000</v>
      </c>
      <c r="T12" s="742"/>
    </row>
    <row r="13" spans="1:20">
      <c r="A13" s="707"/>
      <c r="B13" s="714"/>
      <c r="C13" s="707"/>
      <c r="D13" s="934"/>
      <c r="E13" s="934"/>
      <c r="F13" s="934">
        <f t="shared" ref="F13:F39" si="0">D13+E13</f>
        <v>0</v>
      </c>
      <c r="G13" s="715"/>
      <c r="H13" s="715"/>
      <c r="I13" s="715">
        <f t="shared" ref="I13:I39" si="1">G13+H13</f>
        <v>0</v>
      </c>
      <c r="J13" s="715"/>
      <c r="K13" s="715"/>
      <c r="L13" s="715">
        <f t="shared" ref="L13:L39" si="2">J13+K13</f>
        <v>0</v>
      </c>
      <c r="M13" s="715">
        <f t="shared" ref="M13:N39" si="3">D13+G13-J13</f>
        <v>0</v>
      </c>
      <c r="N13" s="716">
        <f t="shared" si="3"/>
        <v>0</v>
      </c>
      <c r="O13" s="716">
        <f t="shared" ref="O13:O39" si="4">M13+N13</f>
        <v>0</v>
      </c>
      <c r="P13" s="716"/>
      <c r="Q13" s="717"/>
      <c r="R13" s="717">
        <f t="shared" ref="R13:R39" si="5">P13+Q13</f>
        <v>0</v>
      </c>
      <c r="S13" s="718">
        <f t="shared" ref="S13:S39" si="6">O13-R13</f>
        <v>0</v>
      </c>
      <c r="T13" s="742"/>
    </row>
    <row r="14" spans="1:20">
      <c r="A14" s="709">
        <v>2</v>
      </c>
      <c r="B14" s="708" t="s">
        <v>1848</v>
      </c>
      <c r="C14" s="709" t="s">
        <v>1849</v>
      </c>
      <c r="D14" s="710"/>
      <c r="E14" s="710"/>
      <c r="F14" s="710"/>
      <c r="G14" s="710"/>
      <c r="H14" s="710"/>
      <c r="I14" s="710"/>
      <c r="J14" s="710"/>
      <c r="K14" s="710"/>
      <c r="L14" s="710"/>
      <c r="M14" s="710"/>
      <c r="N14" s="711"/>
      <c r="O14" s="711"/>
      <c r="P14" s="711"/>
      <c r="Q14" s="719"/>
      <c r="R14" s="719"/>
      <c r="S14" s="720"/>
      <c r="T14" s="741"/>
    </row>
    <row r="15" spans="1:20">
      <c r="A15" s="707">
        <v>2.1</v>
      </c>
      <c r="B15" s="714" t="s">
        <v>1867</v>
      </c>
      <c r="C15" s="707" t="s">
        <v>1849</v>
      </c>
      <c r="D15" s="936">
        <f>SUM(D16:D21)</f>
        <v>213.14999999999998</v>
      </c>
      <c r="E15" s="936">
        <f>SUM(E16:E21)</f>
        <v>0</v>
      </c>
      <c r="F15" s="936">
        <f>SUM(F16:F21)</f>
        <v>213.14999999999998</v>
      </c>
      <c r="G15" s="722">
        <v>0</v>
      </c>
      <c r="H15" s="722">
        <v>0</v>
      </c>
      <c r="I15" s="721">
        <f>SUM(I16:I21)</f>
        <v>0</v>
      </c>
      <c r="J15" s="721">
        <f>SUM(J16:J21)</f>
        <v>18.372651000000001</v>
      </c>
      <c r="K15" s="722">
        <v>0</v>
      </c>
      <c r="L15" s="721">
        <f>SUM(L16:L21)</f>
        <v>18.372651000000001</v>
      </c>
      <c r="M15" s="721">
        <f>SUM(M16:M21)</f>
        <v>194.77734900000002</v>
      </c>
      <c r="N15" s="723">
        <f t="shared" si="3"/>
        <v>0</v>
      </c>
      <c r="O15" s="723">
        <f t="shared" si="4"/>
        <v>194.77734900000002</v>
      </c>
      <c r="P15" s="721">
        <f>SUM(P16:P21)</f>
        <v>68.852000000000004</v>
      </c>
      <c r="Q15" s="724">
        <v>0</v>
      </c>
      <c r="R15" s="725">
        <f t="shared" si="5"/>
        <v>68.852000000000004</v>
      </c>
      <c r="S15" s="726">
        <f>SUM(S16:S21)</f>
        <v>352.28699999999998</v>
      </c>
      <c r="T15" s="742"/>
    </row>
    <row r="16" spans="1:20">
      <c r="A16" s="707"/>
      <c r="B16" s="749" t="s">
        <v>1850</v>
      </c>
      <c r="C16" s="707" t="s">
        <v>1849</v>
      </c>
      <c r="D16" s="956">
        <v>8.2240000000000002</v>
      </c>
      <c r="E16" s="956">
        <v>0</v>
      </c>
      <c r="F16" s="956">
        <f t="shared" si="0"/>
        <v>8.2240000000000002</v>
      </c>
      <c r="G16" s="957">
        <v>0</v>
      </c>
      <c r="H16" s="957">
        <v>0</v>
      </c>
      <c r="I16" s="957">
        <f t="shared" si="1"/>
        <v>0</v>
      </c>
      <c r="J16" s="957">
        <v>0.52438099999999999</v>
      </c>
      <c r="K16" s="957">
        <v>0</v>
      </c>
      <c r="L16" s="957">
        <f t="shared" si="2"/>
        <v>0.52438099999999999</v>
      </c>
      <c r="M16" s="957">
        <f t="shared" si="3"/>
        <v>7.6996190000000002</v>
      </c>
      <c r="N16" s="955">
        <f t="shared" si="3"/>
        <v>0</v>
      </c>
      <c r="O16" s="955">
        <f t="shared" si="4"/>
        <v>7.6996190000000002</v>
      </c>
      <c r="P16" s="955">
        <v>1.649</v>
      </c>
      <c r="Q16" s="795"/>
      <c r="R16" s="795">
        <f t="shared" si="5"/>
        <v>1.649</v>
      </c>
      <c r="S16" s="958">
        <v>7.9219999999999997</v>
      </c>
      <c r="T16" s="742"/>
    </row>
    <row r="17" spans="1:20">
      <c r="A17" s="707"/>
      <c r="B17" s="749" t="s">
        <v>1851</v>
      </c>
      <c r="C17" s="707" t="s">
        <v>1849</v>
      </c>
      <c r="D17" s="956">
        <v>42.155999999999999</v>
      </c>
      <c r="E17" s="956">
        <v>0</v>
      </c>
      <c r="F17" s="956">
        <f t="shared" si="0"/>
        <v>42.155999999999999</v>
      </c>
      <c r="G17" s="957">
        <v>0</v>
      </c>
      <c r="H17" s="957">
        <v>0</v>
      </c>
      <c r="I17" s="957">
        <f t="shared" si="1"/>
        <v>0</v>
      </c>
      <c r="J17" s="957">
        <v>0</v>
      </c>
      <c r="K17" s="957">
        <v>0</v>
      </c>
      <c r="L17" s="957">
        <f t="shared" si="2"/>
        <v>0</v>
      </c>
      <c r="M17" s="957">
        <f t="shared" si="3"/>
        <v>42.155999999999999</v>
      </c>
      <c r="N17" s="955">
        <f t="shared" si="3"/>
        <v>0</v>
      </c>
      <c r="O17" s="955">
        <f t="shared" si="4"/>
        <v>42.155999999999999</v>
      </c>
      <c r="P17" s="955">
        <v>10.271000000000001</v>
      </c>
      <c r="Q17" s="795"/>
      <c r="R17" s="795">
        <f t="shared" si="5"/>
        <v>10.271000000000001</v>
      </c>
      <c r="S17" s="958">
        <v>52.061</v>
      </c>
      <c r="T17" s="742"/>
    </row>
    <row r="18" spans="1:20">
      <c r="A18" s="707"/>
      <c r="B18" s="749" t="s">
        <v>1852</v>
      </c>
      <c r="C18" s="707" t="s">
        <v>1849</v>
      </c>
      <c r="D18" s="956">
        <v>117.2</v>
      </c>
      <c r="E18" s="956">
        <v>0</v>
      </c>
      <c r="F18" s="956">
        <f t="shared" si="0"/>
        <v>117.2</v>
      </c>
      <c r="G18" s="957">
        <v>0</v>
      </c>
      <c r="H18" s="957">
        <v>0</v>
      </c>
      <c r="I18" s="957">
        <f t="shared" si="1"/>
        <v>0</v>
      </c>
      <c r="J18" s="957">
        <v>14.70049</v>
      </c>
      <c r="K18" s="957">
        <v>0</v>
      </c>
      <c r="L18" s="957">
        <f t="shared" si="2"/>
        <v>14.70049</v>
      </c>
      <c r="M18" s="957">
        <f t="shared" si="3"/>
        <v>102.49951</v>
      </c>
      <c r="N18" s="955">
        <f t="shared" si="3"/>
        <v>0</v>
      </c>
      <c r="O18" s="955">
        <f t="shared" si="4"/>
        <v>102.49951</v>
      </c>
      <c r="P18" s="955">
        <v>46.856000000000002</v>
      </c>
      <c r="Q18" s="795"/>
      <c r="R18" s="795">
        <f t="shared" si="5"/>
        <v>46.856000000000002</v>
      </c>
      <c r="S18" s="958">
        <v>133.68700000000001</v>
      </c>
      <c r="T18" s="742"/>
    </row>
    <row r="19" spans="1:20">
      <c r="A19" s="707"/>
      <c r="B19" s="749" t="s">
        <v>1853</v>
      </c>
      <c r="C19" s="707" t="s">
        <v>1849</v>
      </c>
      <c r="D19" s="956">
        <v>18.97</v>
      </c>
      <c r="E19" s="956">
        <v>0</v>
      </c>
      <c r="F19" s="956">
        <f t="shared" si="0"/>
        <v>18.97</v>
      </c>
      <c r="G19" s="957">
        <v>0</v>
      </c>
      <c r="H19" s="957">
        <v>0</v>
      </c>
      <c r="I19" s="957">
        <f t="shared" si="1"/>
        <v>0</v>
      </c>
      <c r="J19" s="957">
        <v>0</v>
      </c>
      <c r="K19" s="957">
        <v>0</v>
      </c>
      <c r="L19" s="957">
        <f t="shared" si="2"/>
        <v>0</v>
      </c>
      <c r="M19" s="957">
        <f t="shared" si="3"/>
        <v>18.97</v>
      </c>
      <c r="N19" s="955">
        <f t="shared" si="3"/>
        <v>0</v>
      </c>
      <c r="O19" s="955">
        <f t="shared" si="4"/>
        <v>18.97</v>
      </c>
      <c r="P19" s="955">
        <v>0.13400000000000001</v>
      </c>
      <c r="Q19" s="795"/>
      <c r="R19" s="795">
        <f t="shared" si="5"/>
        <v>0.13400000000000001</v>
      </c>
      <c r="S19" s="958">
        <v>48.517000000000003</v>
      </c>
      <c r="T19" s="742"/>
    </row>
    <row r="20" spans="1:20">
      <c r="A20" s="707"/>
      <c r="B20" s="749" t="s">
        <v>1854</v>
      </c>
      <c r="C20" s="707" t="s">
        <v>1849</v>
      </c>
      <c r="D20" s="956">
        <v>13.324999999999999</v>
      </c>
      <c r="E20" s="956">
        <v>0</v>
      </c>
      <c r="F20" s="956">
        <f t="shared" si="0"/>
        <v>13.324999999999999</v>
      </c>
      <c r="G20" s="957">
        <v>0</v>
      </c>
      <c r="H20" s="957">
        <v>0</v>
      </c>
      <c r="I20" s="957">
        <f t="shared" si="1"/>
        <v>0</v>
      </c>
      <c r="J20" s="957">
        <v>0.46</v>
      </c>
      <c r="K20" s="957">
        <v>0</v>
      </c>
      <c r="L20" s="957">
        <f t="shared" si="2"/>
        <v>0.46</v>
      </c>
      <c r="M20" s="957">
        <f t="shared" si="3"/>
        <v>12.864999999999998</v>
      </c>
      <c r="N20" s="955">
        <f t="shared" si="3"/>
        <v>0</v>
      </c>
      <c r="O20" s="955">
        <f t="shared" si="4"/>
        <v>12.864999999999998</v>
      </c>
      <c r="P20" s="955">
        <v>3.82</v>
      </c>
      <c r="Q20" s="795"/>
      <c r="R20" s="795">
        <f t="shared" si="5"/>
        <v>3.82</v>
      </c>
      <c r="S20" s="958">
        <v>54.777000000000001</v>
      </c>
      <c r="T20" s="742"/>
    </row>
    <row r="21" spans="1:20">
      <c r="A21" s="707"/>
      <c r="B21" s="749" t="s">
        <v>1855</v>
      </c>
      <c r="C21" s="707" t="s">
        <v>1849</v>
      </c>
      <c r="D21" s="956">
        <v>13.275</v>
      </c>
      <c r="E21" s="956">
        <v>0</v>
      </c>
      <c r="F21" s="956">
        <f t="shared" si="0"/>
        <v>13.275</v>
      </c>
      <c r="G21" s="957">
        <v>0</v>
      </c>
      <c r="H21" s="957">
        <v>0</v>
      </c>
      <c r="I21" s="957">
        <f t="shared" si="1"/>
        <v>0</v>
      </c>
      <c r="J21" s="957">
        <v>2.6877800000000001</v>
      </c>
      <c r="K21" s="957">
        <v>0</v>
      </c>
      <c r="L21" s="957">
        <f t="shared" si="2"/>
        <v>2.6877800000000001</v>
      </c>
      <c r="M21" s="957">
        <f t="shared" si="3"/>
        <v>10.58722</v>
      </c>
      <c r="N21" s="955">
        <f t="shared" si="3"/>
        <v>0</v>
      </c>
      <c r="O21" s="955">
        <f t="shared" si="4"/>
        <v>10.58722</v>
      </c>
      <c r="P21" s="955">
        <v>6.1219999999999999</v>
      </c>
      <c r="Q21" s="795"/>
      <c r="R21" s="795">
        <f t="shared" si="5"/>
        <v>6.1219999999999999</v>
      </c>
      <c r="S21" s="958">
        <v>55.323</v>
      </c>
      <c r="T21" s="742"/>
    </row>
    <row r="22" spans="1:20" hidden="1">
      <c r="A22" s="707"/>
      <c r="B22" s="714"/>
      <c r="C22" s="707"/>
      <c r="D22" s="934"/>
      <c r="E22" s="935"/>
      <c r="F22" s="935"/>
      <c r="G22" s="716"/>
      <c r="H22" s="716"/>
      <c r="I22" s="716"/>
      <c r="J22" s="716"/>
      <c r="K22" s="716"/>
      <c r="L22" s="716"/>
      <c r="M22" s="715"/>
      <c r="N22" s="716"/>
      <c r="O22" s="716"/>
      <c r="P22" s="716"/>
      <c r="Q22" s="717"/>
      <c r="R22" s="717"/>
      <c r="S22" s="731"/>
      <c r="T22" s="742"/>
    </row>
    <row r="23" spans="1:20" hidden="1">
      <c r="A23" s="745">
        <v>3</v>
      </c>
      <c r="B23" s="732" t="s">
        <v>1856</v>
      </c>
      <c r="C23" s="733" t="s">
        <v>1857</v>
      </c>
      <c r="D23" s="734"/>
      <c r="E23" s="734"/>
      <c r="F23" s="734">
        <f t="shared" si="0"/>
        <v>0</v>
      </c>
      <c r="G23" s="734"/>
      <c r="H23" s="734"/>
      <c r="I23" s="734">
        <f t="shared" si="1"/>
        <v>0</v>
      </c>
      <c r="J23" s="734"/>
      <c r="K23" s="734"/>
      <c r="L23" s="734">
        <f t="shared" si="2"/>
        <v>0</v>
      </c>
      <c r="M23" s="710">
        <f t="shared" si="3"/>
        <v>0</v>
      </c>
      <c r="N23" s="711">
        <f t="shared" si="3"/>
        <v>0</v>
      </c>
      <c r="O23" s="711">
        <f t="shared" si="4"/>
        <v>0</v>
      </c>
      <c r="P23" s="734"/>
      <c r="Q23" s="719"/>
      <c r="R23" s="719">
        <f t="shared" si="5"/>
        <v>0</v>
      </c>
      <c r="S23" s="735">
        <f t="shared" si="6"/>
        <v>0</v>
      </c>
      <c r="T23" s="743"/>
    </row>
    <row r="24" spans="1:20" hidden="1">
      <c r="A24" s="740">
        <v>3.1</v>
      </c>
      <c r="B24" s="736" t="s">
        <v>1675</v>
      </c>
      <c r="C24" s="737" t="s">
        <v>1857</v>
      </c>
      <c r="D24" s="938">
        <f>70+10</f>
        <v>80</v>
      </c>
      <c r="E24" s="939">
        <v>0</v>
      </c>
      <c r="F24" s="939">
        <f t="shared" si="0"/>
        <v>80</v>
      </c>
      <c r="G24" s="738">
        <v>0</v>
      </c>
      <c r="H24" s="738">
        <v>0</v>
      </c>
      <c r="I24" s="738">
        <f t="shared" si="1"/>
        <v>0</v>
      </c>
      <c r="J24" s="738">
        <v>34</v>
      </c>
      <c r="K24" s="738">
        <v>0</v>
      </c>
      <c r="L24" s="738">
        <f t="shared" si="2"/>
        <v>34</v>
      </c>
      <c r="M24" s="715">
        <f t="shared" si="3"/>
        <v>46</v>
      </c>
      <c r="N24" s="716">
        <f t="shared" si="3"/>
        <v>0</v>
      </c>
      <c r="O24" s="716">
        <f t="shared" si="4"/>
        <v>46</v>
      </c>
      <c r="P24" s="716">
        <v>13</v>
      </c>
      <c r="Q24" s="716"/>
      <c r="R24" s="716">
        <f t="shared" si="5"/>
        <v>13</v>
      </c>
      <c r="S24" s="717">
        <f t="shared" si="6"/>
        <v>33</v>
      </c>
      <c r="T24" s="744"/>
    </row>
    <row r="25" spans="1:20" hidden="1">
      <c r="A25" s="740">
        <v>3.2</v>
      </c>
      <c r="B25" s="736" t="s">
        <v>2397</v>
      </c>
      <c r="C25" s="737" t="s">
        <v>1857</v>
      </c>
      <c r="D25" s="938">
        <f>20+14</f>
        <v>34</v>
      </c>
      <c r="E25" s="939"/>
      <c r="F25" s="939">
        <f t="shared" si="0"/>
        <v>34</v>
      </c>
      <c r="G25" s="738"/>
      <c r="H25" s="738"/>
      <c r="I25" s="738"/>
      <c r="J25" s="738">
        <v>5</v>
      </c>
      <c r="K25" s="738"/>
      <c r="L25" s="738">
        <f t="shared" si="2"/>
        <v>5</v>
      </c>
      <c r="M25" s="715">
        <f t="shared" si="3"/>
        <v>29</v>
      </c>
      <c r="N25" s="716"/>
      <c r="O25" s="716">
        <f t="shared" si="4"/>
        <v>29</v>
      </c>
      <c r="P25" s="716">
        <v>3</v>
      </c>
      <c r="Q25" s="716"/>
      <c r="R25" s="716">
        <f t="shared" si="5"/>
        <v>3</v>
      </c>
      <c r="S25" s="717">
        <f t="shared" si="6"/>
        <v>26</v>
      </c>
      <c r="T25" s="744"/>
    </row>
    <row r="26" spans="1:20" hidden="1">
      <c r="A26" s="740">
        <v>3.3</v>
      </c>
      <c r="B26" s="736" t="s">
        <v>2398</v>
      </c>
      <c r="C26" s="737" t="s">
        <v>1857</v>
      </c>
      <c r="D26" s="938">
        <f>12+20</f>
        <v>32</v>
      </c>
      <c r="E26" s="939"/>
      <c r="F26" s="939">
        <f t="shared" si="0"/>
        <v>32</v>
      </c>
      <c r="G26" s="738"/>
      <c r="H26" s="738"/>
      <c r="I26" s="738"/>
      <c r="J26" s="738">
        <v>5</v>
      </c>
      <c r="K26" s="738"/>
      <c r="L26" s="738">
        <f t="shared" si="2"/>
        <v>5</v>
      </c>
      <c r="M26" s="715">
        <f t="shared" si="3"/>
        <v>27</v>
      </c>
      <c r="N26" s="716"/>
      <c r="O26" s="716">
        <f t="shared" si="4"/>
        <v>27</v>
      </c>
      <c r="P26" s="716">
        <v>6</v>
      </c>
      <c r="Q26" s="716"/>
      <c r="R26" s="716">
        <f t="shared" si="5"/>
        <v>6</v>
      </c>
      <c r="S26" s="717">
        <f t="shared" si="6"/>
        <v>21</v>
      </c>
      <c r="T26" s="744"/>
    </row>
    <row r="27" spans="1:20" hidden="1">
      <c r="A27" s="740">
        <v>3.4</v>
      </c>
      <c r="B27" s="736" t="s">
        <v>2425</v>
      </c>
      <c r="C27" s="737" t="s">
        <v>1857</v>
      </c>
      <c r="D27" s="938">
        <f>15+10</f>
        <v>25</v>
      </c>
      <c r="E27" s="939"/>
      <c r="F27" s="939">
        <f t="shared" si="0"/>
        <v>25</v>
      </c>
      <c r="G27" s="738"/>
      <c r="H27" s="738"/>
      <c r="I27" s="738"/>
      <c r="J27" s="738">
        <v>2</v>
      </c>
      <c r="K27" s="738"/>
      <c r="L27" s="738">
        <f t="shared" si="2"/>
        <v>2</v>
      </c>
      <c r="M27" s="715">
        <f t="shared" si="3"/>
        <v>23</v>
      </c>
      <c r="N27" s="716"/>
      <c r="O27" s="716">
        <f t="shared" si="4"/>
        <v>23</v>
      </c>
      <c r="P27" s="716">
        <v>1</v>
      </c>
      <c r="Q27" s="716"/>
      <c r="R27" s="716">
        <f t="shared" si="5"/>
        <v>1</v>
      </c>
      <c r="S27" s="717">
        <f t="shared" si="6"/>
        <v>22</v>
      </c>
      <c r="T27" s="744"/>
    </row>
    <row r="28" spans="1:20" hidden="1">
      <c r="A28" s="740">
        <v>3.5</v>
      </c>
      <c r="B28" s="736" t="s">
        <v>1868</v>
      </c>
      <c r="C28" s="737" t="s">
        <v>1857</v>
      </c>
      <c r="D28" s="938">
        <v>10</v>
      </c>
      <c r="E28" s="939"/>
      <c r="F28" s="939">
        <f t="shared" si="0"/>
        <v>10</v>
      </c>
      <c r="G28" s="738"/>
      <c r="H28" s="738"/>
      <c r="I28" s="738">
        <f t="shared" si="1"/>
        <v>0</v>
      </c>
      <c r="J28" s="738"/>
      <c r="K28" s="738"/>
      <c r="L28" s="738">
        <f t="shared" si="2"/>
        <v>0</v>
      </c>
      <c r="M28" s="715">
        <f t="shared" si="3"/>
        <v>10</v>
      </c>
      <c r="N28" s="716">
        <f t="shared" si="3"/>
        <v>0</v>
      </c>
      <c r="O28" s="716">
        <f t="shared" si="4"/>
        <v>10</v>
      </c>
      <c r="P28" s="738">
        <v>0</v>
      </c>
      <c r="Q28" s="717"/>
      <c r="R28" s="716">
        <f t="shared" si="5"/>
        <v>0</v>
      </c>
      <c r="S28" s="717">
        <f t="shared" si="6"/>
        <v>10</v>
      </c>
      <c r="T28" s="744"/>
    </row>
    <row r="29" spans="1:20" hidden="1">
      <c r="A29" s="745">
        <v>4</v>
      </c>
      <c r="B29" s="732" t="s">
        <v>2834</v>
      </c>
      <c r="C29" s="733" t="s">
        <v>1857</v>
      </c>
      <c r="D29" s="938"/>
      <c r="E29" s="939"/>
      <c r="F29" s="939">
        <f t="shared" ref="F29:F36" si="7">D29+E29</f>
        <v>0</v>
      </c>
      <c r="G29" s="734"/>
      <c r="H29" s="734"/>
      <c r="I29" s="734">
        <f t="shared" ref="I29:I30" si="8">G29+H29</f>
        <v>0</v>
      </c>
      <c r="J29" s="734"/>
      <c r="K29" s="734"/>
      <c r="L29" s="734">
        <f t="shared" ref="L29:L30" si="9">J29+K29</f>
        <v>0</v>
      </c>
      <c r="M29" s="710">
        <f t="shared" ref="M29:M36" si="10">D29+G29-J29</f>
        <v>0</v>
      </c>
      <c r="N29" s="711">
        <f t="shared" ref="N29:N30" si="11">E29+H29-K29</f>
        <v>0</v>
      </c>
      <c r="O29" s="711">
        <f t="shared" ref="O29:O36" si="12">M29+N29</f>
        <v>0</v>
      </c>
      <c r="P29" s="734"/>
      <c r="Q29" s="719"/>
      <c r="R29" s="719">
        <f t="shared" ref="R29:R36" si="13">P29+Q29</f>
        <v>0</v>
      </c>
      <c r="S29" s="735">
        <f t="shared" ref="S29:S36" si="14">O29-R29</f>
        <v>0</v>
      </c>
      <c r="T29" s="743"/>
    </row>
    <row r="30" spans="1:20" hidden="1">
      <c r="A30" s="740">
        <v>3.1</v>
      </c>
      <c r="B30" s="736" t="s">
        <v>2398</v>
      </c>
      <c r="C30" s="737"/>
      <c r="D30" s="938"/>
      <c r="E30" s="939">
        <v>0</v>
      </c>
      <c r="F30" s="939">
        <f t="shared" si="7"/>
        <v>0</v>
      </c>
      <c r="G30" s="738">
        <v>0</v>
      </c>
      <c r="H30" s="738">
        <v>0</v>
      </c>
      <c r="I30" s="738">
        <f t="shared" si="8"/>
        <v>0</v>
      </c>
      <c r="J30" s="738"/>
      <c r="K30" s="738">
        <v>0</v>
      </c>
      <c r="L30" s="738">
        <f t="shared" si="9"/>
        <v>0</v>
      </c>
      <c r="M30" s="715">
        <f t="shared" si="10"/>
        <v>0</v>
      </c>
      <c r="N30" s="716">
        <f t="shared" si="11"/>
        <v>0</v>
      </c>
      <c r="O30" s="716">
        <f t="shared" si="12"/>
        <v>0</v>
      </c>
      <c r="P30" s="716"/>
      <c r="Q30" s="716"/>
      <c r="R30" s="716">
        <f t="shared" si="13"/>
        <v>0</v>
      </c>
      <c r="S30" s="717">
        <f t="shared" si="14"/>
        <v>0</v>
      </c>
      <c r="T30" s="744"/>
    </row>
    <row r="31" spans="1:20" hidden="1">
      <c r="A31" s="740"/>
      <c r="B31" s="736" t="s">
        <v>2863</v>
      </c>
      <c r="C31" s="737" t="s">
        <v>1857</v>
      </c>
      <c r="D31" s="938">
        <v>20</v>
      </c>
      <c r="E31" s="939"/>
      <c r="F31" s="939">
        <f t="shared" si="7"/>
        <v>20</v>
      </c>
      <c r="G31" s="738"/>
      <c r="H31" s="738"/>
      <c r="I31" s="738"/>
      <c r="J31" s="738"/>
      <c r="K31" s="738"/>
      <c r="L31" s="738"/>
      <c r="M31" s="715">
        <f t="shared" si="10"/>
        <v>20</v>
      </c>
      <c r="N31" s="716"/>
      <c r="O31" s="716">
        <f t="shared" si="12"/>
        <v>20</v>
      </c>
      <c r="P31" s="716"/>
      <c r="Q31" s="716"/>
      <c r="R31" s="716">
        <f t="shared" si="13"/>
        <v>0</v>
      </c>
      <c r="S31" s="717">
        <f t="shared" si="14"/>
        <v>20</v>
      </c>
      <c r="T31" s="744"/>
    </row>
    <row r="32" spans="1:20" hidden="1">
      <c r="A32" s="740"/>
      <c r="B32" s="736" t="s">
        <v>2864</v>
      </c>
      <c r="C32" s="737" t="s">
        <v>1857</v>
      </c>
      <c r="D32" s="938">
        <v>20</v>
      </c>
      <c r="E32" s="939"/>
      <c r="F32" s="939">
        <f t="shared" si="7"/>
        <v>20</v>
      </c>
      <c r="G32" s="738"/>
      <c r="H32" s="738"/>
      <c r="I32" s="738"/>
      <c r="J32" s="738"/>
      <c r="K32" s="738"/>
      <c r="L32" s="738"/>
      <c r="M32" s="715">
        <f t="shared" si="10"/>
        <v>20</v>
      </c>
      <c r="N32" s="716"/>
      <c r="O32" s="716">
        <f t="shared" si="12"/>
        <v>20</v>
      </c>
      <c r="P32" s="716"/>
      <c r="Q32" s="716"/>
      <c r="R32" s="716">
        <f t="shared" si="13"/>
        <v>0</v>
      </c>
      <c r="S32" s="717">
        <f t="shared" si="14"/>
        <v>20</v>
      </c>
      <c r="T32" s="744"/>
    </row>
    <row r="33" spans="1:20" hidden="1">
      <c r="A33" s="740">
        <v>3.2</v>
      </c>
      <c r="B33" s="736" t="s">
        <v>1675</v>
      </c>
      <c r="C33" s="737"/>
      <c r="D33" s="938"/>
      <c r="E33" s="939"/>
      <c r="F33" s="939">
        <f t="shared" si="7"/>
        <v>0</v>
      </c>
      <c r="G33" s="738"/>
      <c r="H33" s="738"/>
      <c r="I33" s="738"/>
      <c r="J33" s="738"/>
      <c r="K33" s="738"/>
      <c r="L33" s="738"/>
      <c r="M33" s="715">
        <f t="shared" si="10"/>
        <v>0</v>
      </c>
      <c r="N33" s="716"/>
      <c r="O33" s="716">
        <f t="shared" si="12"/>
        <v>0</v>
      </c>
      <c r="P33" s="716"/>
      <c r="Q33" s="716"/>
      <c r="R33" s="716">
        <f t="shared" si="13"/>
        <v>0</v>
      </c>
      <c r="S33" s="717">
        <f t="shared" si="14"/>
        <v>0</v>
      </c>
      <c r="T33" s="744"/>
    </row>
    <row r="34" spans="1:20" hidden="1">
      <c r="A34" s="740"/>
      <c r="B34" s="736" t="s">
        <v>2863</v>
      </c>
      <c r="C34" s="737" t="s">
        <v>1857</v>
      </c>
      <c r="D34" s="938">
        <v>81</v>
      </c>
      <c r="E34" s="939"/>
      <c r="F34" s="939">
        <f t="shared" si="7"/>
        <v>81</v>
      </c>
      <c r="G34" s="738"/>
      <c r="H34" s="738"/>
      <c r="I34" s="738"/>
      <c r="J34" s="738"/>
      <c r="K34" s="738"/>
      <c r="L34" s="738"/>
      <c r="M34" s="715">
        <f t="shared" si="10"/>
        <v>81</v>
      </c>
      <c r="N34" s="716"/>
      <c r="O34" s="716">
        <f t="shared" si="12"/>
        <v>81</v>
      </c>
      <c r="P34" s="716"/>
      <c r="Q34" s="716"/>
      <c r="R34" s="716">
        <f t="shared" si="13"/>
        <v>0</v>
      </c>
      <c r="S34" s="717">
        <f t="shared" si="14"/>
        <v>81</v>
      </c>
    </row>
    <row r="35" spans="1:20" hidden="1">
      <c r="A35" s="740"/>
      <c r="B35" s="736" t="s">
        <v>2864</v>
      </c>
      <c r="C35" s="737" t="s">
        <v>1857</v>
      </c>
      <c r="D35" s="938">
        <v>61</v>
      </c>
      <c r="E35" s="939"/>
      <c r="F35" s="939">
        <f t="shared" si="7"/>
        <v>61</v>
      </c>
      <c r="G35" s="738"/>
      <c r="H35" s="738"/>
      <c r="I35" s="738"/>
      <c r="J35" s="738"/>
      <c r="K35" s="738"/>
      <c r="L35" s="738"/>
      <c r="M35" s="715">
        <f t="shared" si="10"/>
        <v>61</v>
      </c>
      <c r="N35" s="716"/>
      <c r="O35" s="716">
        <f t="shared" si="12"/>
        <v>61</v>
      </c>
      <c r="P35" s="716"/>
      <c r="Q35" s="716"/>
      <c r="R35" s="716">
        <f t="shared" si="13"/>
        <v>0</v>
      </c>
      <c r="S35" s="717">
        <f t="shared" si="14"/>
        <v>61</v>
      </c>
    </row>
    <row r="36" spans="1:20" hidden="1">
      <c r="A36" s="740"/>
      <c r="B36" s="736" t="s">
        <v>2865</v>
      </c>
      <c r="C36" s="737" t="s">
        <v>1857</v>
      </c>
      <c r="D36" s="938">
        <v>1</v>
      </c>
      <c r="E36" s="939"/>
      <c r="F36" s="939">
        <f t="shared" si="7"/>
        <v>1</v>
      </c>
      <c r="G36" s="738"/>
      <c r="H36" s="738"/>
      <c r="I36" s="738"/>
      <c r="J36" s="738"/>
      <c r="K36" s="738"/>
      <c r="L36" s="738"/>
      <c r="M36" s="715">
        <f t="shared" si="10"/>
        <v>1</v>
      </c>
      <c r="N36" s="716"/>
      <c r="O36" s="716">
        <f t="shared" si="12"/>
        <v>1</v>
      </c>
      <c r="P36" s="716"/>
      <c r="Q36" s="716"/>
      <c r="R36" s="716">
        <f t="shared" si="13"/>
        <v>0</v>
      </c>
      <c r="S36" s="717">
        <f t="shared" si="14"/>
        <v>1</v>
      </c>
    </row>
    <row r="37" spans="1:20" hidden="1">
      <c r="A37" s="745">
        <v>5</v>
      </c>
      <c r="B37" s="732" t="s">
        <v>1858</v>
      </c>
      <c r="C37" s="733"/>
      <c r="D37" s="733"/>
      <c r="E37" s="733"/>
      <c r="F37" s="734">
        <f t="shared" si="0"/>
        <v>0</v>
      </c>
      <c r="G37" s="734"/>
      <c r="H37" s="734"/>
      <c r="I37" s="734">
        <f t="shared" si="1"/>
        <v>0</v>
      </c>
      <c r="J37" s="734"/>
      <c r="K37" s="734"/>
      <c r="L37" s="734">
        <f t="shared" si="2"/>
        <v>0</v>
      </c>
      <c r="M37" s="710">
        <f t="shared" si="3"/>
        <v>0</v>
      </c>
      <c r="N37" s="711">
        <f t="shared" si="3"/>
        <v>0</v>
      </c>
      <c r="O37" s="711">
        <f t="shared" si="4"/>
        <v>0</v>
      </c>
      <c r="P37" s="734"/>
      <c r="Q37" s="719"/>
      <c r="R37" s="719">
        <f t="shared" si="5"/>
        <v>0</v>
      </c>
      <c r="S37" s="719">
        <f t="shared" si="6"/>
        <v>0</v>
      </c>
    </row>
    <row r="38" spans="1:20" hidden="1">
      <c r="A38" s="740">
        <v>5.0999999999999996</v>
      </c>
      <c r="B38" s="736" t="s">
        <v>1859</v>
      </c>
      <c r="C38" s="737" t="s">
        <v>1860</v>
      </c>
      <c r="D38" s="938">
        <v>51</v>
      </c>
      <c r="E38" s="939">
        <v>0</v>
      </c>
      <c r="F38" s="939">
        <f t="shared" si="0"/>
        <v>51</v>
      </c>
      <c r="G38" s="738">
        <v>0</v>
      </c>
      <c r="H38" s="738">
        <v>0</v>
      </c>
      <c r="I38" s="738">
        <f t="shared" si="1"/>
        <v>0</v>
      </c>
      <c r="J38" s="738">
        <v>0</v>
      </c>
      <c r="K38" s="738">
        <v>0</v>
      </c>
      <c r="L38" s="738">
        <f t="shared" si="2"/>
        <v>0</v>
      </c>
      <c r="M38" s="715">
        <f t="shared" si="3"/>
        <v>51</v>
      </c>
      <c r="N38" s="716">
        <f t="shared" si="3"/>
        <v>0</v>
      </c>
      <c r="O38" s="716">
        <f t="shared" si="4"/>
        <v>51</v>
      </c>
      <c r="P38" s="716">
        <v>3</v>
      </c>
      <c r="Q38" s="716">
        <v>0</v>
      </c>
      <c r="R38" s="716">
        <f t="shared" si="5"/>
        <v>3</v>
      </c>
      <c r="S38" s="717">
        <f t="shared" si="6"/>
        <v>48</v>
      </c>
    </row>
    <row r="39" spans="1:20" hidden="1">
      <c r="A39" s="740">
        <v>5.2</v>
      </c>
      <c r="B39" s="736" t="s">
        <v>1861</v>
      </c>
      <c r="C39" s="737" t="s">
        <v>608</v>
      </c>
      <c r="D39" s="938">
        <v>130</v>
      </c>
      <c r="E39" s="939">
        <v>0</v>
      </c>
      <c r="F39" s="939">
        <f t="shared" si="0"/>
        <v>130</v>
      </c>
      <c r="G39" s="738">
        <v>0</v>
      </c>
      <c r="H39" s="738">
        <v>0</v>
      </c>
      <c r="I39" s="738">
        <f t="shared" si="1"/>
        <v>0</v>
      </c>
      <c r="J39" s="738">
        <v>46</v>
      </c>
      <c r="K39" s="738">
        <v>0</v>
      </c>
      <c r="L39" s="738">
        <f t="shared" si="2"/>
        <v>46</v>
      </c>
      <c r="M39" s="715">
        <f t="shared" si="3"/>
        <v>84</v>
      </c>
      <c r="N39" s="716">
        <f t="shared" si="3"/>
        <v>0</v>
      </c>
      <c r="O39" s="716">
        <f t="shared" si="4"/>
        <v>84</v>
      </c>
      <c r="P39" s="716">
        <v>4</v>
      </c>
      <c r="Q39" s="716"/>
      <c r="R39" s="716">
        <f t="shared" si="5"/>
        <v>4</v>
      </c>
      <c r="S39" s="717">
        <f t="shared" si="6"/>
        <v>80</v>
      </c>
    </row>
    <row r="40" spans="1:20" hidden="1"/>
    <row r="42" spans="1:20" ht="15.5">
      <c r="A42" s="1638" t="s">
        <v>2376</v>
      </c>
      <c r="B42" s="1638"/>
      <c r="C42" s="1638"/>
      <c r="D42" s="1638"/>
      <c r="E42" s="1638"/>
      <c r="F42" s="1638"/>
      <c r="G42" s="1638"/>
      <c r="H42" s="1638"/>
      <c r="I42" s="1638"/>
      <c r="J42" s="1638"/>
      <c r="K42" s="1638"/>
      <c r="L42" s="1638"/>
      <c r="M42" s="1638"/>
      <c r="N42" s="1638"/>
      <c r="O42" s="1638"/>
      <c r="P42" s="1638"/>
      <c r="Q42" s="1638"/>
      <c r="R42" s="1638"/>
      <c r="S42" s="1638"/>
      <c r="T42" s="1638"/>
    </row>
    <row r="43" spans="1:20">
      <c r="A43" s="1635" t="s">
        <v>1865</v>
      </c>
      <c r="B43" s="1635"/>
      <c r="C43" s="1635"/>
      <c r="D43" s="1635"/>
      <c r="E43" s="1635"/>
      <c r="F43" s="1635"/>
      <c r="G43" s="1635"/>
      <c r="H43" s="1635"/>
      <c r="I43" s="1635"/>
      <c r="J43" s="1635"/>
      <c r="K43" s="1635"/>
      <c r="L43" s="1635"/>
      <c r="M43" s="1635"/>
      <c r="N43" s="1635"/>
      <c r="O43" s="1635"/>
      <c r="P43" s="1635"/>
      <c r="Q43" s="1635"/>
      <c r="R43" s="1635"/>
      <c r="S43" s="1635"/>
      <c r="T43" s="1635"/>
    </row>
    <row r="44" spans="1:20">
      <c r="A44" s="1636" t="s">
        <v>996</v>
      </c>
      <c r="B44" s="1636" t="s">
        <v>1835</v>
      </c>
      <c r="C44" s="1636" t="s">
        <v>589</v>
      </c>
      <c r="D44" s="1636" t="s">
        <v>1836</v>
      </c>
      <c r="E44" s="1636"/>
      <c r="F44" s="1636"/>
      <c r="G44" s="1636"/>
      <c r="H44" s="1636"/>
      <c r="I44" s="1636"/>
      <c r="J44" s="1636"/>
      <c r="K44" s="1636"/>
      <c r="L44" s="1636"/>
      <c r="M44" s="1636"/>
      <c r="N44" s="1636"/>
      <c r="O44" s="1636"/>
      <c r="P44" s="1636" t="s">
        <v>1837</v>
      </c>
      <c r="Q44" s="1636"/>
      <c r="R44" s="1636"/>
      <c r="S44" s="1636" t="s">
        <v>3280</v>
      </c>
      <c r="T44" s="1636" t="s">
        <v>19</v>
      </c>
    </row>
    <row r="45" spans="1:20">
      <c r="A45" s="1636"/>
      <c r="B45" s="1636"/>
      <c r="C45" s="1636"/>
      <c r="D45" s="1637" t="s">
        <v>1839</v>
      </c>
      <c r="E45" s="1637"/>
      <c r="F45" s="1637"/>
      <c r="G45" s="1636" t="s">
        <v>1840</v>
      </c>
      <c r="H45" s="1636"/>
      <c r="I45" s="1636"/>
      <c r="J45" s="1636" t="s">
        <v>1841</v>
      </c>
      <c r="K45" s="1636"/>
      <c r="L45" s="1636"/>
      <c r="M45" s="1640" t="s">
        <v>1842</v>
      </c>
      <c r="N45" s="1640"/>
      <c r="O45" s="1640"/>
      <c r="P45" s="1636"/>
      <c r="Q45" s="1636"/>
      <c r="R45" s="1636"/>
      <c r="S45" s="1636"/>
      <c r="T45" s="1636"/>
    </row>
    <row r="46" spans="1:20" ht="25">
      <c r="A46" s="1636"/>
      <c r="B46" s="1636"/>
      <c r="C46" s="1636"/>
      <c r="D46" s="933" t="s">
        <v>1843</v>
      </c>
      <c r="E46" s="933" t="s">
        <v>1844</v>
      </c>
      <c r="F46" s="933" t="s">
        <v>1845</v>
      </c>
      <c r="G46" s="707" t="s">
        <v>1843</v>
      </c>
      <c r="H46" s="707" t="s">
        <v>1844</v>
      </c>
      <c r="I46" s="707" t="s">
        <v>1845</v>
      </c>
      <c r="J46" s="707" t="s">
        <v>1843</v>
      </c>
      <c r="K46" s="707" t="s">
        <v>1844</v>
      </c>
      <c r="L46" s="707" t="s">
        <v>1845</v>
      </c>
      <c r="M46" s="707" t="s">
        <v>1843</v>
      </c>
      <c r="N46" s="707" t="s">
        <v>1844</v>
      </c>
      <c r="O46" s="707" t="s">
        <v>1845</v>
      </c>
      <c r="P46" s="707" t="s">
        <v>1843</v>
      </c>
      <c r="Q46" s="707" t="s">
        <v>1844</v>
      </c>
      <c r="R46" s="707" t="s">
        <v>1845</v>
      </c>
      <c r="S46" s="1636"/>
      <c r="T46" s="1636"/>
    </row>
    <row r="47" spans="1:20">
      <c r="A47" s="709">
        <v>1</v>
      </c>
      <c r="B47" s="708" t="s">
        <v>1846</v>
      </c>
      <c r="C47" s="709" t="s">
        <v>1847</v>
      </c>
      <c r="D47" s="711"/>
      <c r="E47" s="711"/>
      <c r="F47" s="711"/>
      <c r="G47" s="711"/>
      <c r="H47" s="711"/>
      <c r="I47" s="711"/>
      <c r="J47" s="711"/>
      <c r="K47" s="711"/>
      <c r="L47" s="711"/>
      <c r="M47" s="710"/>
      <c r="N47" s="711"/>
      <c r="O47" s="711"/>
      <c r="P47" s="711"/>
      <c r="Q47" s="712"/>
      <c r="R47" s="712"/>
      <c r="S47" s="713"/>
      <c r="T47" s="741"/>
    </row>
    <row r="48" spans="1:20">
      <c r="A48" s="707">
        <v>1.1000000000000001</v>
      </c>
      <c r="B48" s="714" t="s">
        <v>1866</v>
      </c>
      <c r="C48" s="707" t="s">
        <v>1847</v>
      </c>
      <c r="D48" s="934">
        <v>8697</v>
      </c>
      <c r="E48" s="934"/>
      <c r="F48" s="934">
        <f>D48+E48</f>
        <v>8697</v>
      </c>
      <c r="G48" s="715">
        <v>0</v>
      </c>
      <c r="H48" s="715">
        <v>0</v>
      </c>
      <c r="I48" s="715">
        <f>G48+H48</f>
        <v>0</v>
      </c>
      <c r="J48" s="715">
        <v>0</v>
      </c>
      <c r="K48" s="715">
        <v>0</v>
      </c>
      <c r="L48" s="715">
        <f>J48+K48</f>
        <v>0</v>
      </c>
      <c r="M48" s="715">
        <f>D48+G48-J48</f>
        <v>8697</v>
      </c>
      <c r="N48" s="716">
        <f>E48+H48-K48</f>
        <v>0</v>
      </c>
      <c r="O48" s="716">
        <f>M48+N48</f>
        <v>8697</v>
      </c>
      <c r="P48" s="716">
        <v>7172</v>
      </c>
      <c r="Q48" s="717"/>
      <c r="R48" s="717">
        <f>P48+Q48</f>
        <v>7172</v>
      </c>
      <c r="S48" s="718">
        <v>3150</v>
      </c>
      <c r="T48" s="742"/>
    </row>
    <row r="49" spans="1:20">
      <c r="A49" s="707"/>
      <c r="B49" s="714"/>
      <c r="C49" s="707"/>
      <c r="D49" s="934"/>
      <c r="E49" s="934"/>
      <c r="F49" s="934">
        <f t="shared" ref="F49" si="15">D49+E49</f>
        <v>0</v>
      </c>
      <c r="G49" s="715"/>
      <c r="H49" s="715"/>
      <c r="I49" s="715">
        <f t="shared" ref="I49" si="16">G49+H49</f>
        <v>0</v>
      </c>
      <c r="J49" s="715"/>
      <c r="K49" s="715"/>
      <c r="L49" s="715">
        <f t="shared" ref="L49" si="17">J49+K49</f>
        <v>0</v>
      </c>
      <c r="M49" s="715">
        <f t="shared" ref="M49" si="18">D49+G49-J49</f>
        <v>0</v>
      </c>
      <c r="N49" s="716">
        <f t="shared" ref="N49" si="19">E49+H49-K49</f>
        <v>0</v>
      </c>
      <c r="O49" s="716">
        <f t="shared" ref="O49" si="20">M49+N49</f>
        <v>0</v>
      </c>
      <c r="P49" s="716"/>
      <c r="Q49" s="717"/>
      <c r="R49" s="717">
        <f t="shared" ref="R49" si="21">P49+Q49</f>
        <v>0</v>
      </c>
      <c r="S49" s="718">
        <f t="shared" ref="S49" si="22">O49-R49</f>
        <v>0</v>
      </c>
      <c r="T49" s="742"/>
    </row>
    <row r="50" spans="1:20">
      <c r="A50" s="709">
        <v>2</v>
      </c>
      <c r="B50" s="708" t="s">
        <v>1848</v>
      </c>
      <c r="C50" s="709" t="s">
        <v>1849</v>
      </c>
      <c r="D50" s="710"/>
      <c r="E50" s="710"/>
      <c r="F50" s="710"/>
      <c r="G50" s="710"/>
      <c r="H50" s="710"/>
      <c r="I50" s="710"/>
      <c r="J50" s="710"/>
      <c r="K50" s="710"/>
      <c r="L50" s="710"/>
      <c r="M50" s="710"/>
      <c r="N50" s="711"/>
      <c r="O50" s="711"/>
      <c r="P50" s="711"/>
      <c r="Q50" s="719"/>
      <c r="R50" s="719"/>
      <c r="S50" s="720"/>
      <c r="T50" s="741"/>
    </row>
    <row r="51" spans="1:20">
      <c r="A51" s="707">
        <v>2.1</v>
      </c>
      <c r="B51" s="714" t="s">
        <v>1867</v>
      </c>
      <c r="C51" s="707" t="s">
        <v>1849</v>
      </c>
      <c r="D51" s="936">
        <f>SUM(D52:D57)</f>
        <v>213.14999999999998</v>
      </c>
      <c r="E51" s="936">
        <f>SUM(E52:E57)</f>
        <v>0</v>
      </c>
      <c r="F51" s="936">
        <f>SUM(F52:F57)</f>
        <v>213.14999999999998</v>
      </c>
      <c r="G51" s="722">
        <v>0</v>
      </c>
      <c r="H51" s="722">
        <v>0</v>
      </c>
      <c r="I51" s="721">
        <f>SUM(I52:I57)</f>
        <v>0</v>
      </c>
      <c r="J51" s="721">
        <f>SUM(J52:J57)</f>
        <v>18.372651000000001</v>
      </c>
      <c r="K51" s="722">
        <v>0</v>
      </c>
      <c r="L51" s="721">
        <f>SUM(L52:L57)</f>
        <v>18.372651000000001</v>
      </c>
      <c r="M51" s="721">
        <f>SUM(M52:M57)</f>
        <v>194.77734900000002</v>
      </c>
      <c r="N51" s="723">
        <f t="shared" ref="N51:N57" si="23">E51+H51-K51</f>
        <v>0</v>
      </c>
      <c r="O51" s="723">
        <f t="shared" ref="O51:O57" si="24">M51+N51</f>
        <v>194.77734900000002</v>
      </c>
      <c r="P51" s="721">
        <f>SUM(P52:P57)</f>
        <v>68.852000000000004</v>
      </c>
      <c r="Q51" s="724">
        <v>0</v>
      </c>
      <c r="R51" s="725">
        <f t="shared" ref="R51:R57" si="25">P51+Q51</f>
        <v>68.852000000000004</v>
      </c>
      <c r="S51" s="726">
        <f>SUM(S52:S57)</f>
        <v>337.9450809999999</v>
      </c>
      <c r="T51" s="742"/>
    </row>
    <row r="52" spans="1:20">
      <c r="A52" s="707"/>
      <c r="B52" s="749" t="s">
        <v>1850</v>
      </c>
      <c r="C52" s="707" t="s">
        <v>1849</v>
      </c>
      <c r="D52" s="956">
        <v>8.2240000000000002</v>
      </c>
      <c r="E52" s="956">
        <v>0</v>
      </c>
      <c r="F52" s="956">
        <f t="shared" ref="F52:F57" si="26">D52+E52</f>
        <v>8.2240000000000002</v>
      </c>
      <c r="G52" s="957">
        <v>0</v>
      </c>
      <c r="H52" s="957">
        <v>0</v>
      </c>
      <c r="I52" s="957">
        <f t="shared" ref="I52:I57" si="27">G52+H52</f>
        <v>0</v>
      </c>
      <c r="J52" s="957">
        <v>0.52438099999999999</v>
      </c>
      <c r="K52" s="957">
        <v>0</v>
      </c>
      <c r="L52" s="957">
        <f t="shared" ref="L52:L57" si="28">J52+K52</f>
        <v>0.52438099999999999</v>
      </c>
      <c r="M52" s="957">
        <f t="shared" ref="M52:M57" si="29">D52+G52-J52</f>
        <v>7.6996190000000002</v>
      </c>
      <c r="N52" s="955">
        <f t="shared" si="23"/>
        <v>0</v>
      </c>
      <c r="O52" s="955">
        <f t="shared" si="24"/>
        <v>7.6996190000000002</v>
      </c>
      <c r="P52" s="955">
        <v>1.649</v>
      </c>
      <c r="Q52" s="795"/>
      <c r="R52" s="795">
        <f t="shared" si="25"/>
        <v>1.649</v>
      </c>
      <c r="S52" s="958">
        <v>6.5645429999999969</v>
      </c>
      <c r="T52" s="742"/>
    </row>
    <row r="53" spans="1:20">
      <c r="A53" s="707"/>
      <c r="B53" s="749" t="s">
        <v>1851</v>
      </c>
      <c r="C53" s="707" t="s">
        <v>1849</v>
      </c>
      <c r="D53" s="956">
        <v>42.155999999999999</v>
      </c>
      <c r="E53" s="956">
        <v>0</v>
      </c>
      <c r="F53" s="956">
        <f t="shared" si="26"/>
        <v>42.155999999999999</v>
      </c>
      <c r="G53" s="957">
        <v>0</v>
      </c>
      <c r="H53" s="957">
        <v>0</v>
      </c>
      <c r="I53" s="957">
        <f t="shared" si="27"/>
        <v>0</v>
      </c>
      <c r="J53" s="957">
        <v>0</v>
      </c>
      <c r="K53" s="957">
        <v>0</v>
      </c>
      <c r="L53" s="957">
        <f t="shared" si="28"/>
        <v>0</v>
      </c>
      <c r="M53" s="957">
        <f t="shared" si="29"/>
        <v>42.155999999999999</v>
      </c>
      <c r="N53" s="955">
        <f t="shared" si="23"/>
        <v>0</v>
      </c>
      <c r="O53" s="955">
        <f t="shared" si="24"/>
        <v>42.155999999999999</v>
      </c>
      <c r="P53" s="955">
        <v>10.271000000000001</v>
      </c>
      <c r="Q53" s="795"/>
      <c r="R53" s="795">
        <f t="shared" si="25"/>
        <v>10.271000000000001</v>
      </c>
      <c r="S53" s="958">
        <v>63.800619000000019</v>
      </c>
      <c r="T53" s="742"/>
    </row>
    <row r="54" spans="1:20">
      <c r="A54" s="707"/>
      <c r="B54" s="749" t="s">
        <v>1852</v>
      </c>
      <c r="C54" s="707" t="s">
        <v>1849</v>
      </c>
      <c r="D54" s="956">
        <v>117.2</v>
      </c>
      <c r="E54" s="956">
        <v>0</v>
      </c>
      <c r="F54" s="956">
        <f t="shared" si="26"/>
        <v>117.2</v>
      </c>
      <c r="G54" s="957">
        <v>0</v>
      </c>
      <c r="H54" s="957">
        <v>0</v>
      </c>
      <c r="I54" s="957">
        <f t="shared" si="27"/>
        <v>0</v>
      </c>
      <c r="J54" s="957">
        <v>14.70049</v>
      </c>
      <c r="K54" s="957">
        <v>0</v>
      </c>
      <c r="L54" s="957">
        <f t="shared" si="28"/>
        <v>14.70049</v>
      </c>
      <c r="M54" s="957">
        <f t="shared" si="29"/>
        <v>102.49951</v>
      </c>
      <c r="N54" s="955">
        <f t="shared" si="23"/>
        <v>0</v>
      </c>
      <c r="O54" s="955">
        <f t="shared" si="24"/>
        <v>102.49951</v>
      </c>
      <c r="P54" s="955">
        <v>46.856000000000002</v>
      </c>
      <c r="Q54" s="795"/>
      <c r="R54" s="795">
        <f t="shared" si="25"/>
        <v>46.856000000000002</v>
      </c>
      <c r="S54" s="958">
        <v>217.02913599999988</v>
      </c>
      <c r="T54" s="742"/>
    </row>
    <row r="55" spans="1:20">
      <c r="A55" s="707"/>
      <c r="B55" s="749" t="s">
        <v>1853</v>
      </c>
      <c r="C55" s="707" t="s">
        <v>1849</v>
      </c>
      <c r="D55" s="956">
        <v>18.97</v>
      </c>
      <c r="E55" s="956">
        <v>0</v>
      </c>
      <c r="F55" s="956">
        <f t="shared" si="26"/>
        <v>18.97</v>
      </c>
      <c r="G55" s="957">
        <v>0</v>
      </c>
      <c r="H55" s="957">
        <v>0</v>
      </c>
      <c r="I55" s="957">
        <f t="shared" si="27"/>
        <v>0</v>
      </c>
      <c r="J55" s="957">
        <v>0</v>
      </c>
      <c r="K55" s="957">
        <v>0</v>
      </c>
      <c r="L55" s="957">
        <f t="shared" si="28"/>
        <v>0</v>
      </c>
      <c r="M55" s="957">
        <f t="shared" si="29"/>
        <v>18.97</v>
      </c>
      <c r="N55" s="955">
        <f t="shared" si="23"/>
        <v>0</v>
      </c>
      <c r="O55" s="955">
        <f t="shared" si="24"/>
        <v>18.97</v>
      </c>
      <c r="P55" s="955">
        <v>0.13400000000000001</v>
      </c>
      <c r="Q55" s="795"/>
      <c r="R55" s="795">
        <f t="shared" si="25"/>
        <v>0.13400000000000001</v>
      </c>
      <c r="S55" s="958">
        <v>19.873999999999999</v>
      </c>
      <c r="T55" s="742"/>
    </row>
    <row r="56" spans="1:20">
      <c r="A56" s="707"/>
      <c r="B56" s="749" t="s">
        <v>1854</v>
      </c>
      <c r="C56" s="707" t="s">
        <v>1849</v>
      </c>
      <c r="D56" s="956">
        <v>13.324999999999999</v>
      </c>
      <c r="E56" s="956">
        <v>0</v>
      </c>
      <c r="F56" s="956">
        <f t="shared" si="26"/>
        <v>13.324999999999999</v>
      </c>
      <c r="G56" s="957">
        <v>0</v>
      </c>
      <c r="H56" s="957">
        <v>0</v>
      </c>
      <c r="I56" s="957">
        <f t="shared" si="27"/>
        <v>0</v>
      </c>
      <c r="J56" s="957">
        <v>0.46</v>
      </c>
      <c r="K56" s="957">
        <v>0</v>
      </c>
      <c r="L56" s="957">
        <f t="shared" si="28"/>
        <v>0.46</v>
      </c>
      <c r="M56" s="957">
        <f t="shared" si="29"/>
        <v>12.864999999999998</v>
      </c>
      <c r="N56" s="955">
        <f t="shared" si="23"/>
        <v>0</v>
      </c>
      <c r="O56" s="955">
        <f t="shared" si="24"/>
        <v>12.864999999999998</v>
      </c>
      <c r="P56" s="955">
        <v>3.82</v>
      </c>
      <c r="Q56" s="795"/>
      <c r="R56" s="795">
        <f t="shared" si="25"/>
        <v>3.82</v>
      </c>
      <c r="S56" s="958">
        <v>16.450118</v>
      </c>
      <c r="T56" s="742"/>
    </row>
    <row r="57" spans="1:20">
      <c r="A57" s="707"/>
      <c r="B57" s="749" t="s">
        <v>1855</v>
      </c>
      <c r="C57" s="707" t="s">
        <v>1849</v>
      </c>
      <c r="D57" s="956">
        <v>13.275</v>
      </c>
      <c r="E57" s="956">
        <v>0</v>
      </c>
      <c r="F57" s="956">
        <f t="shared" si="26"/>
        <v>13.275</v>
      </c>
      <c r="G57" s="957">
        <v>0</v>
      </c>
      <c r="H57" s="957">
        <v>0</v>
      </c>
      <c r="I57" s="957">
        <f t="shared" si="27"/>
        <v>0</v>
      </c>
      <c r="J57" s="957">
        <v>2.6877800000000001</v>
      </c>
      <c r="K57" s="957">
        <v>0</v>
      </c>
      <c r="L57" s="957">
        <f t="shared" si="28"/>
        <v>2.6877800000000001</v>
      </c>
      <c r="M57" s="957">
        <f t="shared" si="29"/>
        <v>10.58722</v>
      </c>
      <c r="N57" s="955">
        <f t="shared" si="23"/>
        <v>0</v>
      </c>
      <c r="O57" s="955">
        <f t="shared" si="24"/>
        <v>10.58722</v>
      </c>
      <c r="P57" s="955">
        <v>6.1219999999999999</v>
      </c>
      <c r="Q57" s="795"/>
      <c r="R57" s="795">
        <f t="shared" si="25"/>
        <v>6.1219999999999999</v>
      </c>
      <c r="S57" s="958">
        <v>14.226665000000047</v>
      </c>
      <c r="T57" s="742"/>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6" customWidth="1"/>
    <col min="2" max="2" width="24.81640625" style="702" customWidth="1"/>
    <col min="3" max="3" width="8.7265625" style="702"/>
    <col min="4" max="4" width="11.54296875" style="702" customWidth="1"/>
    <col min="5" max="5" width="10.1796875" style="702" customWidth="1"/>
    <col min="6" max="6" width="9.7265625" style="702" customWidth="1"/>
    <col min="7" max="7" width="8.7265625" style="702"/>
    <col min="8" max="9" width="10.54296875" style="702" customWidth="1"/>
    <col min="10" max="10" width="8.7265625" style="702"/>
    <col min="11" max="11" width="11.1796875" style="702" customWidth="1"/>
    <col min="12" max="12" width="9.7265625" style="702" customWidth="1"/>
    <col min="13" max="13" width="10.26953125" style="702" customWidth="1"/>
    <col min="14" max="14" width="8.7265625" style="702"/>
    <col min="15" max="15" width="10.453125" style="702" customWidth="1"/>
    <col min="16" max="16" width="9.7265625" style="702" bestFit="1" customWidth="1"/>
    <col min="17" max="18" width="8.7265625" style="702"/>
    <col min="19" max="19" width="12.453125" style="702" customWidth="1"/>
    <col min="20" max="20" width="42" style="702" bestFit="1" customWidth="1"/>
    <col min="21" max="16384" width="8.7265625" style="702"/>
  </cols>
  <sheetData>
    <row r="1" spans="1:20" ht="15">
      <c r="A1" s="747" t="s">
        <v>1862</v>
      </c>
      <c r="B1" s="700"/>
      <c r="C1" s="700"/>
      <c r="D1" s="700"/>
      <c r="E1" s="700"/>
      <c r="F1" s="700"/>
      <c r="G1" s="700"/>
      <c r="H1" s="700"/>
      <c r="I1" s="700"/>
      <c r="J1" s="700"/>
      <c r="K1" s="700"/>
      <c r="L1" s="700"/>
      <c r="M1" s="700"/>
      <c r="N1" s="700"/>
      <c r="O1" s="700"/>
      <c r="P1" s="700"/>
      <c r="Q1" s="700"/>
      <c r="R1" s="700"/>
      <c r="S1" s="701"/>
      <c r="T1" s="701"/>
    </row>
    <row r="2" spans="1:20" ht="15">
      <c r="A2" s="747" t="s">
        <v>1833</v>
      </c>
      <c r="B2" s="700"/>
      <c r="C2" s="700"/>
      <c r="D2" s="700"/>
      <c r="E2" s="700"/>
      <c r="F2" s="700"/>
      <c r="G2" s="700"/>
      <c r="H2" s="700"/>
      <c r="I2" s="700"/>
      <c r="J2" s="700"/>
      <c r="K2" s="700"/>
      <c r="L2" s="700"/>
      <c r="M2" s="700"/>
      <c r="N2" s="700"/>
      <c r="O2" s="700"/>
      <c r="P2" s="700"/>
      <c r="Q2" s="700"/>
      <c r="R2" s="700"/>
      <c r="S2" s="940" t="s">
        <v>3103</v>
      </c>
      <c r="T2" s="942"/>
    </row>
    <row r="3" spans="1:20" ht="15">
      <c r="A3" s="748" t="s">
        <v>1863</v>
      </c>
      <c r="B3" s="703"/>
      <c r="C3" s="700"/>
      <c r="D3" s="704"/>
      <c r="E3" s="704"/>
      <c r="F3" s="700"/>
      <c r="G3" s="700"/>
      <c r="H3" s="700"/>
      <c r="I3" s="700"/>
      <c r="J3" s="700"/>
      <c r="K3" s="700"/>
      <c r="L3" s="700"/>
      <c r="M3" s="704"/>
      <c r="N3" s="700"/>
      <c r="O3" s="700"/>
      <c r="P3" s="700"/>
      <c r="Q3" s="704"/>
      <c r="R3" s="704"/>
      <c r="S3" s="705"/>
      <c r="T3" s="701"/>
    </row>
    <row r="4" spans="1:20" ht="15">
      <c r="A4" s="747" t="s">
        <v>1864</v>
      </c>
      <c r="B4" s="700"/>
      <c r="C4" s="700"/>
      <c r="D4" s="704" t="s">
        <v>1834</v>
      </c>
      <c r="E4" s="704"/>
      <c r="F4" s="739">
        <f>'TB-605'!E1</f>
        <v>46219</v>
      </c>
      <c r="G4" s="700"/>
      <c r="H4" s="700"/>
      <c r="I4" s="700"/>
      <c r="J4" s="700"/>
      <c r="K4" s="700"/>
      <c r="L4" s="700"/>
      <c r="M4" s="704"/>
      <c r="N4" s="700"/>
      <c r="O4" s="700"/>
      <c r="P4" s="700"/>
      <c r="Q4" s="704"/>
      <c r="R4" s="704"/>
      <c r="S4" s="706"/>
      <c r="T4" s="705"/>
    </row>
    <row r="5" spans="1:20" ht="15">
      <c r="A5" s="704"/>
      <c r="B5" s="700"/>
      <c r="C5" s="700"/>
      <c r="D5" s="704"/>
      <c r="E5" s="704"/>
      <c r="F5" s="700"/>
      <c r="G5" s="700"/>
      <c r="H5" s="700"/>
      <c r="I5" s="700"/>
      <c r="J5" s="700"/>
      <c r="K5" s="700"/>
      <c r="L5" s="700"/>
      <c r="M5" s="704"/>
      <c r="N5" s="700"/>
      <c r="O5" s="700"/>
      <c r="P5" s="700"/>
      <c r="Q5" s="704"/>
      <c r="R5" s="704"/>
      <c r="S5" s="706"/>
      <c r="T5" s="705"/>
    </row>
    <row r="6" spans="1:20">
      <c r="A6" s="1640" t="s">
        <v>1865</v>
      </c>
      <c r="B6" s="1640"/>
      <c r="C6" s="1640"/>
      <c r="D6" s="1640"/>
      <c r="E6" s="1640"/>
      <c r="F6" s="1640"/>
      <c r="G6" s="1640"/>
      <c r="H6" s="1640"/>
      <c r="I6" s="1640"/>
      <c r="J6" s="1640"/>
      <c r="K6" s="1640"/>
      <c r="L6" s="1640"/>
      <c r="M6" s="1640"/>
      <c r="N6" s="1640"/>
      <c r="O6" s="1640"/>
      <c r="P6" s="1640"/>
      <c r="Q6" s="1640"/>
      <c r="R6" s="1640"/>
      <c r="S6" s="1640"/>
      <c r="T6" s="1640"/>
    </row>
    <row r="7" spans="1:20" ht="15" customHeight="1">
      <c r="A7" s="1636" t="s">
        <v>996</v>
      </c>
      <c r="B7" s="1636" t="s">
        <v>1835</v>
      </c>
      <c r="C7" s="1636" t="s">
        <v>589</v>
      </c>
      <c r="D7" s="1636" t="s">
        <v>1836</v>
      </c>
      <c r="E7" s="1636"/>
      <c r="F7" s="1636"/>
      <c r="G7" s="1636"/>
      <c r="H7" s="1636"/>
      <c r="I7" s="1636"/>
      <c r="J7" s="1636"/>
      <c r="K7" s="1636"/>
      <c r="L7" s="1636"/>
      <c r="M7" s="1636"/>
      <c r="N7" s="1636"/>
      <c r="O7" s="1636"/>
      <c r="P7" s="1636" t="s">
        <v>1837</v>
      </c>
      <c r="Q7" s="1636"/>
      <c r="R7" s="1636"/>
      <c r="S7" s="1636" t="s">
        <v>1838</v>
      </c>
      <c r="T7" s="1636" t="s">
        <v>19</v>
      </c>
    </row>
    <row r="8" spans="1:20" ht="30.75" customHeight="1">
      <c r="A8" s="1636"/>
      <c r="B8" s="1636"/>
      <c r="C8" s="1636"/>
      <c r="D8" s="1637" t="s">
        <v>1839</v>
      </c>
      <c r="E8" s="1637"/>
      <c r="F8" s="1637"/>
      <c r="G8" s="1636" t="s">
        <v>1840</v>
      </c>
      <c r="H8" s="1636"/>
      <c r="I8" s="1636"/>
      <c r="J8" s="1636" t="s">
        <v>1841</v>
      </c>
      <c r="K8" s="1636"/>
      <c r="L8" s="1636"/>
      <c r="M8" s="1640" t="s">
        <v>1842</v>
      </c>
      <c r="N8" s="1640"/>
      <c r="O8" s="1640"/>
      <c r="P8" s="1636"/>
      <c r="Q8" s="1636"/>
      <c r="R8" s="1636"/>
      <c r="S8" s="1636"/>
      <c r="T8" s="1636"/>
    </row>
    <row r="9" spans="1:20" ht="27" customHeight="1">
      <c r="A9" s="1636"/>
      <c r="B9" s="1636"/>
      <c r="C9" s="1636"/>
      <c r="D9" s="933" t="s">
        <v>1843</v>
      </c>
      <c r="E9" s="933" t="s">
        <v>1844</v>
      </c>
      <c r="F9" s="933" t="s">
        <v>1845</v>
      </c>
      <c r="G9" s="707" t="s">
        <v>1843</v>
      </c>
      <c r="H9" s="707" t="s">
        <v>1844</v>
      </c>
      <c r="I9" s="707" t="s">
        <v>1845</v>
      </c>
      <c r="J9" s="707" t="s">
        <v>1843</v>
      </c>
      <c r="K9" s="707" t="s">
        <v>1844</v>
      </c>
      <c r="L9" s="707" t="s">
        <v>1845</v>
      </c>
      <c r="M9" s="707" t="s">
        <v>1843</v>
      </c>
      <c r="N9" s="707" t="s">
        <v>1844</v>
      </c>
      <c r="O9" s="707" t="s">
        <v>1845</v>
      </c>
      <c r="P9" s="707" t="s">
        <v>1843</v>
      </c>
      <c r="Q9" s="707" t="s">
        <v>1844</v>
      </c>
      <c r="R9" s="707" t="s">
        <v>1845</v>
      </c>
      <c r="S9" s="1636"/>
      <c r="T9" s="1636"/>
    </row>
    <row r="10" spans="1:20">
      <c r="A10" s="709">
        <v>1</v>
      </c>
      <c r="B10" s="708" t="s">
        <v>1846</v>
      </c>
      <c r="C10" s="709" t="s">
        <v>1847</v>
      </c>
      <c r="D10" s="711"/>
      <c r="E10" s="711"/>
      <c r="F10" s="711"/>
      <c r="G10" s="711"/>
      <c r="H10" s="711"/>
      <c r="I10" s="711"/>
      <c r="J10" s="711"/>
      <c r="K10" s="711"/>
      <c r="L10" s="711"/>
      <c r="M10" s="710"/>
      <c r="N10" s="711"/>
      <c r="O10" s="711"/>
      <c r="P10" s="711"/>
      <c r="Q10" s="712"/>
      <c r="R10" s="712"/>
      <c r="S10" s="713"/>
      <c r="T10" s="741"/>
    </row>
    <row r="11" spans="1:20">
      <c r="A11" s="707">
        <v>1.1000000000000001</v>
      </c>
      <c r="B11" s="714" t="s">
        <v>1866</v>
      </c>
      <c r="C11" s="707" t="s">
        <v>1847</v>
      </c>
      <c r="D11" s="934">
        <f>800+5500</f>
        <v>6300</v>
      </c>
      <c r="E11" s="934"/>
      <c r="F11" s="934">
        <f>D11+E11</f>
        <v>6300</v>
      </c>
      <c r="G11" s="715">
        <v>0</v>
      </c>
      <c r="H11" s="715">
        <v>0</v>
      </c>
      <c r="I11" s="715">
        <f>G11+H11</f>
        <v>0</v>
      </c>
      <c r="J11" s="715">
        <v>0</v>
      </c>
      <c r="K11" s="715">
        <v>0</v>
      </c>
      <c r="L11" s="715">
        <f>J11+K11</f>
        <v>0</v>
      </c>
      <c r="M11" s="715">
        <f>D11+G11-J11</f>
        <v>6300</v>
      </c>
      <c r="N11" s="716">
        <f>E11+H11-K11</f>
        <v>0</v>
      </c>
      <c r="O11" s="716">
        <f>M11+N11</f>
        <v>6300</v>
      </c>
      <c r="P11" s="716">
        <v>5539</v>
      </c>
      <c r="Q11" s="717"/>
      <c r="R11" s="717">
        <f>P11+Q11</f>
        <v>5539</v>
      </c>
      <c r="S11" s="718">
        <f>O11-R11</f>
        <v>761</v>
      </c>
      <c r="T11" s="742"/>
    </row>
    <row r="12" spans="1:20">
      <c r="A12" s="707"/>
      <c r="B12" s="714"/>
      <c r="C12" s="707"/>
      <c r="D12" s="934"/>
      <c r="E12" s="934"/>
      <c r="F12" s="934">
        <f t="shared" ref="F12:F30" si="0">D12+E12</f>
        <v>0</v>
      </c>
      <c r="G12" s="715"/>
      <c r="H12" s="715"/>
      <c r="I12" s="715">
        <f t="shared" ref="I12:I30" si="1">G12+H12</f>
        <v>0</v>
      </c>
      <c r="J12" s="715"/>
      <c r="K12" s="715"/>
      <c r="L12" s="715">
        <f t="shared" ref="L12:L30" si="2">J12+K12</f>
        <v>0</v>
      </c>
      <c r="M12" s="715">
        <f t="shared" ref="M12:N30" si="3">D12+G12-J12</f>
        <v>0</v>
      </c>
      <c r="N12" s="716">
        <f t="shared" si="3"/>
        <v>0</v>
      </c>
      <c r="O12" s="716">
        <f t="shared" ref="O12:O30" si="4">M12+N12</f>
        <v>0</v>
      </c>
      <c r="P12" s="716"/>
      <c r="Q12" s="717"/>
      <c r="R12" s="717">
        <f t="shared" ref="R12:R30" si="5">P12+Q12</f>
        <v>0</v>
      </c>
      <c r="S12" s="718">
        <f t="shared" ref="S12:S30" si="6">O12-R12</f>
        <v>0</v>
      </c>
      <c r="T12" s="742"/>
    </row>
    <row r="13" spans="1:20">
      <c r="A13" s="709">
        <v>2</v>
      </c>
      <c r="B13" s="708" t="s">
        <v>1848</v>
      </c>
      <c r="C13" s="709"/>
      <c r="D13" s="710"/>
      <c r="E13" s="710"/>
      <c r="F13" s="710"/>
      <c r="G13" s="710"/>
      <c r="H13" s="710"/>
      <c r="I13" s="710"/>
      <c r="J13" s="710"/>
      <c r="K13" s="710"/>
      <c r="L13" s="710"/>
      <c r="M13" s="710"/>
      <c r="N13" s="711"/>
      <c r="O13" s="711"/>
      <c r="P13" s="711"/>
      <c r="Q13" s="719"/>
      <c r="R13" s="719"/>
      <c r="S13" s="720"/>
      <c r="T13" s="741"/>
    </row>
    <row r="14" spans="1:20">
      <c r="A14" s="707">
        <v>2.1</v>
      </c>
      <c r="B14" s="714" t="s">
        <v>1867</v>
      </c>
      <c r="C14" s="707" t="s">
        <v>1849</v>
      </c>
      <c r="D14" s="936">
        <f>SUM(D15:D20)</f>
        <v>200.24</v>
      </c>
      <c r="E14" s="936">
        <f t="shared" ref="E14:S14" si="7">SUM(E15:E20)</f>
        <v>0</v>
      </c>
      <c r="F14" s="936">
        <f t="shared" si="7"/>
        <v>200.24</v>
      </c>
      <c r="G14" s="721">
        <f t="shared" si="7"/>
        <v>18.372651000000001</v>
      </c>
      <c r="H14" s="721">
        <f t="shared" si="7"/>
        <v>0</v>
      </c>
      <c r="I14" s="721">
        <f t="shared" si="7"/>
        <v>18.372651000000001</v>
      </c>
      <c r="J14" s="721">
        <f t="shared" si="7"/>
        <v>0</v>
      </c>
      <c r="K14" s="721">
        <f t="shared" si="7"/>
        <v>0</v>
      </c>
      <c r="L14" s="721">
        <f t="shared" si="7"/>
        <v>0</v>
      </c>
      <c r="M14" s="721">
        <f t="shared" si="7"/>
        <v>218.61265100000003</v>
      </c>
      <c r="N14" s="721">
        <f t="shared" si="7"/>
        <v>0</v>
      </c>
      <c r="O14" s="721">
        <f t="shared" si="7"/>
        <v>218.61265100000003</v>
      </c>
      <c r="P14" s="721">
        <f t="shared" si="7"/>
        <v>59.653846000000001</v>
      </c>
      <c r="Q14" s="721">
        <f t="shared" si="7"/>
        <v>0</v>
      </c>
      <c r="R14" s="721">
        <f t="shared" si="7"/>
        <v>59.653846000000001</v>
      </c>
      <c r="S14" s="721">
        <f t="shared" si="7"/>
        <v>158.95880500000001</v>
      </c>
      <c r="T14" s="742"/>
    </row>
    <row r="15" spans="1:20">
      <c r="A15" s="707"/>
      <c r="B15" s="749" t="s">
        <v>1850</v>
      </c>
      <c r="C15" s="707" t="s">
        <v>1849</v>
      </c>
      <c r="D15" s="937">
        <v>4.08</v>
      </c>
      <c r="E15" s="937">
        <v>0</v>
      </c>
      <c r="F15" s="937">
        <f t="shared" si="0"/>
        <v>4.08</v>
      </c>
      <c r="G15" s="727">
        <f>(43.056+31.325)/1000+0.45</f>
        <v>0.52438099999999999</v>
      </c>
      <c r="H15" s="727">
        <v>0</v>
      </c>
      <c r="I15" s="727">
        <f t="shared" si="1"/>
        <v>0.52438099999999999</v>
      </c>
      <c r="J15" s="727">
        <v>0</v>
      </c>
      <c r="K15" s="727">
        <v>0</v>
      </c>
      <c r="L15" s="727">
        <f t="shared" si="2"/>
        <v>0</v>
      </c>
      <c r="M15" s="727">
        <f t="shared" si="3"/>
        <v>4.6043810000000001</v>
      </c>
      <c r="N15" s="728">
        <f t="shared" si="3"/>
        <v>0</v>
      </c>
      <c r="O15" s="728">
        <f t="shared" si="4"/>
        <v>4.6043810000000001</v>
      </c>
      <c r="P15" s="728">
        <v>1.5443609999999997</v>
      </c>
      <c r="Q15" s="795"/>
      <c r="R15" s="729">
        <f t="shared" si="5"/>
        <v>1.5443609999999997</v>
      </c>
      <c r="S15" s="730">
        <f t="shared" si="6"/>
        <v>3.0600200000000006</v>
      </c>
      <c r="T15" s="742"/>
    </row>
    <row r="16" spans="1:20">
      <c r="A16" s="707"/>
      <c r="B16" s="749" t="s">
        <v>1851</v>
      </c>
      <c r="C16" s="707" t="s">
        <v>1849</v>
      </c>
      <c r="D16" s="937">
        <v>27.86</v>
      </c>
      <c r="E16" s="937">
        <v>0</v>
      </c>
      <c r="F16" s="937">
        <f t="shared" si="0"/>
        <v>27.86</v>
      </c>
      <c r="G16" s="727">
        <v>0</v>
      </c>
      <c r="H16" s="727">
        <v>0</v>
      </c>
      <c r="I16" s="727">
        <f t="shared" si="1"/>
        <v>0</v>
      </c>
      <c r="J16" s="727">
        <v>0</v>
      </c>
      <c r="K16" s="727">
        <v>0</v>
      </c>
      <c r="L16" s="727">
        <f t="shared" si="2"/>
        <v>0</v>
      </c>
      <c r="M16" s="727">
        <f t="shared" si="3"/>
        <v>27.86</v>
      </c>
      <c r="N16" s="728">
        <f t="shared" si="3"/>
        <v>0</v>
      </c>
      <c r="O16" s="728">
        <f t="shared" si="4"/>
        <v>27.86</v>
      </c>
      <c r="P16" s="728">
        <v>3.9520959999999996</v>
      </c>
      <c r="Q16" s="795"/>
      <c r="R16" s="729">
        <f t="shared" si="5"/>
        <v>3.9520959999999996</v>
      </c>
      <c r="S16" s="730">
        <f t="shared" si="6"/>
        <v>23.907903999999998</v>
      </c>
      <c r="T16" s="742"/>
    </row>
    <row r="17" spans="1:20">
      <c r="A17" s="707"/>
      <c r="B17" s="749" t="s">
        <v>1852</v>
      </c>
      <c r="C17" s="707" t="s">
        <v>1849</v>
      </c>
      <c r="D17" s="937">
        <v>140.46</v>
      </c>
      <c r="E17" s="937">
        <v>0</v>
      </c>
      <c r="F17" s="937">
        <f t="shared" si="0"/>
        <v>140.46</v>
      </c>
      <c r="G17" s="727">
        <f>(1336.709+524.26+220.193+209.328)/1000+12.41</f>
        <v>14.70049</v>
      </c>
      <c r="H17" s="727">
        <v>0</v>
      </c>
      <c r="I17" s="727">
        <f t="shared" si="1"/>
        <v>14.70049</v>
      </c>
      <c r="J17" s="727">
        <v>0</v>
      </c>
      <c r="K17" s="727">
        <v>0</v>
      </c>
      <c r="L17" s="727">
        <f t="shared" si="2"/>
        <v>0</v>
      </c>
      <c r="M17" s="727">
        <f t="shared" si="3"/>
        <v>155.16049000000001</v>
      </c>
      <c r="N17" s="728">
        <f t="shared" si="3"/>
        <v>0</v>
      </c>
      <c r="O17" s="728">
        <f t="shared" si="4"/>
        <v>155.16049000000001</v>
      </c>
      <c r="P17" s="728">
        <v>45.109664000000002</v>
      </c>
      <c r="Q17" s="795"/>
      <c r="R17" s="729">
        <f t="shared" si="5"/>
        <v>45.109664000000002</v>
      </c>
      <c r="S17" s="730">
        <f t="shared" si="6"/>
        <v>110.050826</v>
      </c>
      <c r="T17" s="742"/>
    </row>
    <row r="18" spans="1:20">
      <c r="A18" s="707"/>
      <c r="B18" s="749" t="s">
        <v>1853</v>
      </c>
      <c r="C18" s="707" t="s">
        <v>1849</v>
      </c>
      <c r="D18" s="937">
        <v>8.0299999999999994</v>
      </c>
      <c r="E18" s="937">
        <v>0</v>
      </c>
      <c r="F18" s="937">
        <f t="shared" si="0"/>
        <v>8.0299999999999994</v>
      </c>
      <c r="G18" s="727">
        <v>0</v>
      </c>
      <c r="H18" s="727">
        <v>0</v>
      </c>
      <c r="I18" s="727">
        <f t="shared" si="1"/>
        <v>0</v>
      </c>
      <c r="J18" s="727">
        <v>0</v>
      </c>
      <c r="K18" s="727">
        <v>0</v>
      </c>
      <c r="L18" s="727">
        <f t="shared" si="2"/>
        <v>0</v>
      </c>
      <c r="M18" s="727">
        <f t="shared" si="3"/>
        <v>8.0299999999999994</v>
      </c>
      <c r="N18" s="728">
        <f t="shared" si="3"/>
        <v>0</v>
      </c>
      <c r="O18" s="728">
        <f t="shared" si="4"/>
        <v>8.0299999999999994</v>
      </c>
      <c r="P18" s="728">
        <v>0</v>
      </c>
      <c r="Q18" s="795"/>
      <c r="R18" s="729">
        <f t="shared" si="5"/>
        <v>0</v>
      </c>
      <c r="S18" s="730">
        <f t="shared" si="6"/>
        <v>8.0299999999999994</v>
      </c>
      <c r="T18" s="742"/>
    </row>
    <row r="19" spans="1:20">
      <c r="A19" s="707"/>
      <c r="B19" s="749" t="s">
        <v>1854</v>
      </c>
      <c r="C19" s="707" t="s">
        <v>1849</v>
      </c>
      <c r="D19" s="937">
        <v>10.06</v>
      </c>
      <c r="E19" s="937">
        <v>0</v>
      </c>
      <c r="F19" s="937">
        <f t="shared" si="0"/>
        <v>10.06</v>
      </c>
      <c r="G19" s="727">
        <v>0.46</v>
      </c>
      <c r="H19" s="727">
        <v>0</v>
      </c>
      <c r="I19" s="727">
        <f t="shared" si="1"/>
        <v>0.46</v>
      </c>
      <c r="J19" s="727">
        <v>0</v>
      </c>
      <c r="K19" s="727">
        <v>0</v>
      </c>
      <c r="L19" s="727">
        <f t="shared" si="2"/>
        <v>0</v>
      </c>
      <c r="M19" s="727">
        <f t="shared" si="3"/>
        <v>10.520000000000001</v>
      </c>
      <c r="N19" s="728">
        <f t="shared" si="3"/>
        <v>0</v>
      </c>
      <c r="O19" s="728">
        <f t="shared" si="4"/>
        <v>10.520000000000001</v>
      </c>
      <c r="P19" s="728">
        <v>2.4704770000000003</v>
      </c>
      <c r="Q19" s="795"/>
      <c r="R19" s="729">
        <f t="shared" si="5"/>
        <v>2.4704770000000003</v>
      </c>
      <c r="S19" s="730">
        <f t="shared" si="6"/>
        <v>8.0495230000000006</v>
      </c>
      <c r="T19" s="742"/>
    </row>
    <row r="20" spans="1:20">
      <c r="A20" s="707"/>
      <c r="B20" s="749" t="s">
        <v>1855</v>
      </c>
      <c r="C20" s="707" t="s">
        <v>1849</v>
      </c>
      <c r="D20" s="937">
        <v>9.75</v>
      </c>
      <c r="E20" s="937">
        <v>0</v>
      </c>
      <c r="F20" s="937">
        <f t="shared" si="0"/>
        <v>9.75</v>
      </c>
      <c r="G20" s="727">
        <f>(243.89+243.89)/1000+2.2</f>
        <v>2.6877800000000001</v>
      </c>
      <c r="H20" s="727">
        <v>0</v>
      </c>
      <c r="I20" s="727">
        <f t="shared" si="1"/>
        <v>2.6877800000000001</v>
      </c>
      <c r="J20" s="727">
        <v>0</v>
      </c>
      <c r="K20" s="727">
        <v>0</v>
      </c>
      <c r="L20" s="727">
        <f t="shared" si="2"/>
        <v>0</v>
      </c>
      <c r="M20" s="727">
        <f t="shared" si="3"/>
        <v>12.43778</v>
      </c>
      <c r="N20" s="728">
        <f t="shared" si="3"/>
        <v>0</v>
      </c>
      <c r="O20" s="728">
        <f t="shared" si="4"/>
        <v>12.43778</v>
      </c>
      <c r="P20" s="728">
        <v>6.5772480000000009</v>
      </c>
      <c r="Q20" s="795"/>
      <c r="R20" s="729">
        <f t="shared" si="5"/>
        <v>6.5772480000000009</v>
      </c>
      <c r="S20" s="730">
        <f t="shared" si="6"/>
        <v>5.8605319999999992</v>
      </c>
      <c r="T20" s="742"/>
    </row>
    <row r="21" spans="1:20">
      <c r="A21" s="707"/>
      <c r="B21" s="714"/>
      <c r="C21" s="707"/>
      <c r="D21" s="934"/>
      <c r="E21" s="935"/>
      <c r="F21" s="935"/>
      <c r="G21" s="716"/>
      <c r="H21" s="716"/>
      <c r="I21" s="716"/>
      <c r="J21" s="716"/>
      <c r="K21" s="716"/>
      <c r="L21" s="716"/>
      <c r="M21" s="715"/>
      <c r="N21" s="716"/>
      <c r="O21" s="716"/>
      <c r="P21" s="716"/>
      <c r="Q21" s="717"/>
      <c r="R21" s="717"/>
      <c r="S21" s="731"/>
      <c r="T21" s="742"/>
    </row>
    <row r="22" spans="1:20">
      <c r="A22" s="745">
        <v>3</v>
      </c>
      <c r="B22" s="732" t="s">
        <v>1856</v>
      </c>
      <c r="C22" s="733" t="s">
        <v>1857</v>
      </c>
      <c r="D22" s="734"/>
      <c r="E22" s="734"/>
      <c r="F22" s="734">
        <f t="shared" si="0"/>
        <v>0</v>
      </c>
      <c r="G22" s="734"/>
      <c r="H22" s="734"/>
      <c r="I22" s="734">
        <f t="shared" si="1"/>
        <v>0</v>
      </c>
      <c r="J22" s="734"/>
      <c r="K22" s="734"/>
      <c r="L22" s="734">
        <f t="shared" si="2"/>
        <v>0</v>
      </c>
      <c r="M22" s="710">
        <f t="shared" si="3"/>
        <v>0</v>
      </c>
      <c r="N22" s="711">
        <f t="shared" si="3"/>
        <v>0</v>
      </c>
      <c r="O22" s="711">
        <f t="shared" si="4"/>
        <v>0</v>
      </c>
      <c r="P22" s="734"/>
      <c r="Q22" s="719"/>
      <c r="R22" s="719">
        <f t="shared" si="5"/>
        <v>0</v>
      </c>
      <c r="S22" s="735">
        <f t="shared" si="6"/>
        <v>0</v>
      </c>
      <c r="T22" s="743"/>
    </row>
    <row r="23" spans="1:20">
      <c r="A23" s="740">
        <v>3.1</v>
      </c>
      <c r="B23" s="736" t="s">
        <v>1675</v>
      </c>
      <c r="C23" s="737" t="s">
        <v>1857</v>
      </c>
      <c r="D23" s="938"/>
      <c r="E23" s="939">
        <v>0</v>
      </c>
      <c r="F23" s="939">
        <f t="shared" si="0"/>
        <v>0</v>
      </c>
      <c r="G23" s="738">
        <f>19+15</f>
        <v>34</v>
      </c>
      <c r="H23" s="738">
        <v>0</v>
      </c>
      <c r="I23" s="738">
        <f t="shared" si="1"/>
        <v>34</v>
      </c>
      <c r="J23" s="738"/>
      <c r="K23" s="738">
        <v>0</v>
      </c>
      <c r="L23" s="738">
        <f t="shared" si="2"/>
        <v>0</v>
      </c>
      <c r="M23" s="715">
        <f t="shared" si="3"/>
        <v>34</v>
      </c>
      <c r="N23" s="716">
        <f t="shared" si="3"/>
        <v>0</v>
      </c>
      <c r="O23" s="716">
        <f t="shared" si="4"/>
        <v>34</v>
      </c>
      <c r="P23" s="716">
        <v>18</v>
      </c>
      <c r="Q23" s="716"/>
      <c r="R23" s="716">
        <f t="shared" si="5"/>
        <v>18</v>
      </c>
      <c r="S23" s="717">
        <f t="shared" si="6"/>
        <v>16</v>
      </c>
      <c r="T23" s="744"/>
    </row>
    <row r="24" spans="1:20">
      <c r="A24" s="740">
        <v>3.2</v>
      </c>
      <c r="B24" s="736" t="s">
        <v>2397</v>
      </c>
      <c r="C24" s="737" t="s">
        <v>1857</v>
      </c>
      <c r="D24" s="938"/>
      <c r="E24" s="939"/>
      <c r="F24" s="939">
        <f t="shared" si="0"/>
        <v>0</v>
      </c>
      <c r="G24" s="738">
        <f>1+4</f>
        <v>5</v>
      </c>
      <c r="H24" s="738"/>
      <c r="I24" s="738">
        <f t="shared" si="1"/>
        <v>5</v>
      </c>
      <c r="J24" s="738"/>
      <c r="K24" s="738"/>
      <c r="L24" s="738"/>
      <c r="M24" s="715">
        <f t="shared" si="3"/>
        <v>5</v>
      </c>
      <c r="N24" s="716"/>
      <c r="O24" s="716">
        <f t="shared" si="4"/>
        <v>5</v>
      </c>
      <c r="P24" s="716">
        <v>2</v>
      </c>
      <c r="Q24" s="716"/>
      <c r="R24" s="716">
        <f t="shared" si="5"/>
        <v>2</v>
      </c>
      <c r="S24" s="717">
        <f t="shared" si="6"/>
        <v>3</v>
      </c>
      <c r="T24" s="744"/>
    </row>
    <row r="25" spans="1:20">
      <c r="A25" s="740">
        <v>3.3</v>
      </c>
      <c r="B25" s="736" t="s">
        <v>2398</v>
      </c>
      <c r="C25" s="737" t="s">
        <v>1857</v>
      </c>
      <c r="D25" s="938"/>
      <c r="E25" s="939"/>
      <c r="F25" s="939">
        <f t="shared" si="0"/>
        <v>0</v>
      </c>
      <c r="G25" s="738">
        <f>1+4</f>
        <v>5</v>
      </c>
      <c r="H25" s="738"/>
      <c r="I25" s="738">
        <f t="shared" si="1"/>
        <v>5</v>
      </c>
      <c r="J25" s="738"/>
      <c r="K25" s="738"/>
      <c r="L25" s="738"/>
      <c r="M25" s="715">
        <f t="shared" si="3"/>
        <v>5</v>
      </c>
      <c r="N25" s="716"/>
      <c r="O25" s="716">
        <f t="shared" si="4"/>
        <v>5</v>
      </c>
      <c r="P25" s="716">
        <v>1</v>
      </c>
      <c r="Q25" s="716"/>
      <c r="R25" s="716">
        <f t="shared" si="5"/>
        <v>1</v>
      </c>
      <c r="S25" s="717">
        <f t="shared" si="6"/>
        <v>4</v>
      </c>
      <c r="T25" s="744"/>
    </row>
    <row r="26" spans="1:20">
      <c r="A26" s="740">
        <v>3.4</v>
      </c>
      <c r="B26" s="736" t="s">
        <v>2425</v>
      </c>
      <c r="C26" s="737" t="s">
        <v>1857</v>
      </c>
      <c r="D26" s="938"/>
      <c r="E26" s="939"/>
      <c r="F26" s="939">
        <f t="shared" si="0"/>
        <v>0</v>
      </c>
      <c r="G26" s="738">
        <v>2</v>
      </c>
      <c r="H26" s="738"/>
      <c r="I26" s="738">
        <f t="shared" si="1"/>
        <v>2</v>
      </c>
      <c r="J26" s="738"/>
      <c r="K26" s="738"/>
      <c r="L26" s="738"/>
      <c r="M26" s="715">
        <f t="shared" si="3"/>
        <v>2</v>
      </c>
      <c r="N26" s="716"/>
      <c r="O26" s="716">
        <f t="shared" si="4"/>
        <v>2</v>
      </c>
      <c r="P26" s="716">
        <v>1</v>
      </c>
      <c r="Q26" s="716"/>
      <c r="R26" s="716">
        <f t="shared" si="5"/>
        <v>1</v>
      </c>
      <c r="S26" s="717">
        <f t="shared" si="6"/>
        <v>1</v>
      </c>
      <c r="T26" s="744"/>
    </row>
    <row r="27" spans="1:20">
      <c r="A27" s="740">
        <v>3.5</v>
      </c>
      <c r="B27" s="736" t="s">
        <v>1868</v>
      </c>
      <c r="C27" s="737" t="s">
        <v>1857</v>
      </c>
      <c r="D27" s="938"/>
      <c r="E27" s="939"/>
      <c r="F27" s="939">
        <f t="shared" si="0"/>
        <v>0</v>
      </c>
      <c r="G27" s="738"/>
      <c r="H27" s="738"/>
      <c r="I27" s="738">
        <f t="shared" si="1"/>
        <v>0</v>
      </c>
      <c r="J27" s="738"/>
      <c r="K27" s="738"/>
      <c r="L27" s="738">
        <f t="shared" si="2"/>
        <v>0</v>
      </c>
      <c r="M27" s="715">
        <f t="shared" si="3"/>
        <v>0</v>
      </c>
      <c r="N27" s="716">
        <f t="shared" si="3"/>
        <v>0</v>
      </c>
      <c r="O27" s="716">
        <f t="shared" si="4"/>
        <v>0</v>
      </c>
      <c r="P27" s="738">
        <v>0</v>
      </c>
      <c r="Q27" s="717"/>
      <c r="R27" s="716">
        <f t="shared" si="5"/>
        <v>0</v>
      </c>
      <c r="S27" s="717">
        <f t="shared" si="6"/>
        <v>0</v>
      </c>
      <c r="T27" s="744"/>
    </row>
    <row r="28" spans="1:20">
      <c r="A28" s="745">
        <v>4</v>
      </c>
      <c r="B28" s="732" t="s">
        <v>1858</v>
      </c>
      <c r="C28" s="733"/>
      <c r="D28" s="734"/>
      <c r="E28" s="734"/>
      <c r="F28" s="734">
        <f t="shared" si="0"/>
        <v>0</v>
      </c>
      <c r="G28" s="734"/>
      <c r="H28" s="734"/>
      <c r="I28" s="734">
        <f t="shared" si="1"/>
        <v>0</v>
      </c>
      <c r="J28" s="734"/>
      <c r="K28" s="734"/>
      <c r="L28" s="734">
        <f t="shared" si="2"/>
        <v>0</v>
      </c>
      <c r="M28" s="710">
        <f t="shared" si="3"/>
        <v>0</v>
      </c>
      <c r="N28" s="711">
        <f t="shared" si="3"/>
        <v>0</v>
      </c>
      <c r="O28" s="711">
        <f t="shared" si="4"/>
        <v>0</v>
      </c>
      <c r="P28" s="734"/>
      <c r="Q28" s="719"/>
      <c r="R28" s="719">
        <f t="shared" si="5"/>
        <v>0</v>
      </c>
      <c r="S28" s="719">
        <f t="shared" si="6"/>
        <v>0</v>
      </c>
      <c r="T28" s="743"/>
    </row>
    <row r="29" spans="1:20">
      <c r="A29" s="740">
        <v>4.0999999999999996</v>
      </c>
      <c r="B29" s="736" t="s">
        <v>1859</v>
      </c>
      <c r="C29" s="737" t="s">
        <v>1860</v>
      </c>
      <c r="D29" s="938"/>
      <c r="E29" s="939">
        <v>0</v>
      </c>
      <c r="F29" s="939">
        <f t="shared" ref="F29" si="8">D29+E29</f>
        <v>0</v>
      </c>
      <c r="G29" s="738">
        <v>0</v>
      </c>
      <c r="H29" s="738">
        <v>0</v>
      </c>
      <c r="I29" s="738">
        <f t="shared" si="1"/>
        <v>0</v>
      </c>
      <c r="J29" s="738">
        <v>0</v>
      </c>
      <c r="K29" s="738">
        <v>0</v>
      </c>
      <c r="L29" s="738">
        <f t="shared" si="2"/>
        <v>0</v>
      </c>
      <c r="M29" s="715">
        <f t="shared" si="3"/>
        <v>0</v>
      </c>
      <c r="N29" s="716">
        <f t="shared" si="3"/>
        <v>0</v>
      </c>
      <c r="O29" s="716">
        <f t="shared" si="4"/>
        <v>0</v>
      </c>
      <c r="P29" s="716">
        <v>0</v>
      </c>
      <c r="Q29" s="716">
        <v>0</v>
      </c>
      <c r="R29" s="716">
        <f t="shared" si="5"/>
        <v>0</v>
      </c>
      <c r="S29" s="717">
        <f t="shared" si="6"/>
        <v>0</v>
      </c>
      <c r="T29" s="744"/>
    </row>
    <row r="30" spans="1:20">
      <c r="A30" s="740">
        <v>4.2</v>
      </c>
      <c r="B30" s="736" t="s">
        <v>1861</v>
      </c>
      <c r="C30" s="737" t="s">
        <v>608</v>
      </c>
      <c r="D30" s="938"/>
      <c r="E30" s="939">
        <v>0</v>
      </c>
      <c r="F30" s="939">
        <f t="shared" si="0"/>
        <v>0</v>
      </c>
      <c r="G30" s="738">
        <v>46</v>
      </c>
      <c r="H30" s="738">
        <v>0</v>
      </c>
      <c r="I30" s="738">
        <f t="shared" si="1"/>
        <v>46</v>
      </c>
      <c r="J30" s="738"/>
      <c r="K30" s="738">
        <v>0</v>
      </c>
      <c r="L30" s="738">
        <f t="shared" si="2"/>
        <v>0</v>
      </c>
      <c r="M30" s="715">
        <f t="shared" si="3"/>
        <v>46</v>
      </c>
      <c r="N30" s="716">
        <f t="shared" si="3"/>
        <v>0</v>
      </c>
      <c r="O30" s="716">
        <f t="shared" si="4"/>
        <v>46</v>
      </c>
      <c r="P30" s="716">
        <v>11</v>
      </c>
      <c r="Q30" s="716">
        <v>0</v>
      </c>
      <c r="R30" s="716">
        <f t="shared" si="5"/>
        <v>11</v>
      </c>
      <c r="S30" s="717">
        <f t="shared" si="6"/>
        <v>35</v>
      </c>
      <c r="T30" s="744"/>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404" t="s">
        <v>40</v>
      </c>
      <c r="B4" s="1643" t="s">
        <v>1209</v>
      </c>
      <c r="C4" s="1406" t="s">
        <v>43</v>
      </c>
      <c r="D4" s="1406" t="s">
        <v>44</v>
      </c>
      <c r="E4" s="1406" t="s">
        <v>45</v>
      </c>
      <c r="F4" s="1408" t="s">
        <v>1210</v>
      </c>
      <c r="G4" s="1641" t="s">
        <v>609</v>
      </c>
      <c r="H4" s="1407" t="s">
        <v>49</v>
      </c>
      <c r="I4" s="1642" t="s">
        <v>1215</v>
      </c>
    </row>
    <row r="5" spans="1:9" s="159" customFormat="1" ht="12">
      <c r="A5" s="1404"/>
      <c r="B5" s="1644"/>
      <c r="C5" s="1406"/>
      <c r="D5" s="1406"/>
      <c r="E5" s="1406"/>
      <c r="F5" s="1409"/>
      <c r="G5" s="1641"/>
      <c r="H5" s="1407"/>
      <c r="I5" s="1642"/>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expression" dxfId="3524" priority="420" stopIfTrue="1">
      <formula>IF(#REF!="TEN",TRUE,FALSE)</formula>
    </cfRule>
    <cfRule type="duplicateValues" dxfId="3523" priority="429"/>
  </conditionalFormatting>
  <conditionalFormatting sqref="C6:C239 C241:C242">
    <cfRule type="duplicateValues" dxfId="3522" priority="3199"/>
  </conditionalFormatting>
  <conditionalFormatting sqref="C7">
    <cfRule type="duplicateValues" dxfId="3521" priority="257" stopIfTrue="1"/>
    <cfRule type="duplicateValues" dxfId="3520" priority="291" stopIfTrue="1"/>
  </conditionalFormatting>
  <conditionalFormatting sqref="C7:C72">
    <cfRule type="duplicateValues" dxfId="3519" priority="516"/>
  </conditionalFormatting>
  <conditionalFormatting sqref="C8:C9">
    <cfRule type="duplicateValues" dxfId="3518" priority="282"/>
    <cfRule type="duplicateValues" dxfId="3517" priority="283" stopIfTrue="1"/>
    <cfRule type="expression" dxfId="3516" priority="284" stopIfTrue="1">
      <formula>IF(#REF!="TEN",TRUE,FALSE)</formula>
    </cfRule>
    <cfRule type="duplicateValues" dxfId="3515" priority="286" stopIfTrue="1"/>
  </conditionalFormatting>
  <conditionalFormatting sqref="C9">
    <cfRule type="expression" dxfId="3514" priority="287" stopIfTrue="1">
      <formula>IF(#REF!="TEN",TRUE,FALSE)</formula>
    </cfRule>
  </conditionalFormatting>
  <conditionalFormatting sqref="C10:C13">
    <cfRule type="duplicateValues" dxfId="3513" priority="275"/>
    <cfRule type="duplicateValues" dxfId="3512" priority="276" stopIfTrue="1"/>
    <cfRule type="expression" dxfId="3511" priority="277" stopIfTrue="1">
      <formula>IF(#REF!="TEN",TRUE,FALSE)</formula>
    </cfRule>
    <cfRule type="duplicateValues" dxfId="3510" priority="279" stopIfTrue="1"/>
    <cfRule type="expression" dxfId="3509" priority="280" stopIfTrue="1">
      <formula>IF(#REF!="TEN",TRUE,FALSE)</formula>
    </cfRule>
    <cfRule type="duplicateValues" dxfId="3508" priority="281" stopIfTrue="1"/>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09"/>
    <cfRule type="duplicateValues" dxfId="3482" priority="214" stopIfTrue="1"/>
  </conditionalFormatting>
  <conditionalFormatting sqref="C74">
    <cfRule type="duplicateValues" dxfId="3481" priority="202"/>
    <cfRule type="duplicateValues" dxfId="3480" priority="208" stopIfTrue="1"/>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79" stopIfTrue="1"/>
    <cfRule type="duplicateValues" dxfId="3466" priority="180" stopIfTrue="1"/>
  </conditionalFormatting>
  <conditionalFormatting sqref="C98:C99">
    <cfRule type="duplicateValues" dxfId="3465" priority="177" stopIfTrue="1"/>
    <cfRule type="duplicateValues" dxfId="3464" priority="178"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7" stopIfTrue="1"/>
    <cfRule type="duplicateValues" dxfId="3459" priority="168" stopIfTrue="1"/>
    <cfRule type="duplicateValues" dxfId="3458" priority="169" stopIfTrue="1"/>
  </conditionalFormatting>
  <conditionalFormatting sqref="C104">
    <cfRule type="duplicateValues" dxfId="3457" priority="162" stopIfTrue="1"/>
    <cfRule type="duplicateValues" dxfId="3456" priority="163" stopIfTrue="1"/>
    <cfRule type="duplicateValues" dxfId="3455" priority="164" stopIfTrue="1"/>
    <cfRule type="duplicateValues" dxfId="3454" priority="165" stopIfTrue="1"/>
    <cfRule type="duplicateValues" dxfId="3453" priority="166" stopIfTrue="1"/>
  </conditionalFormatting>
  <conditionalFormatting sqref="C105">
    <cfRule type="duplicateValues" dxfId="3452" priority="156" stopIfTrue="1"/>
    <cfRule type="duplicateValues" dxfId="3451" priority="157" stopIfTrue="1"/>
    <cfRule type="duplicateValues" dxfId="3450" priority="158" stopIfTrue="1"/>
    <cfRule type="duplicateValues" dxfId="3449" priority="159" stopIfTrue="1"/>
    <cfRule type="duplicateValues" dxfId="3448" priority="160" stopIfTrue="1"/>
    <cfRule type="duplicateValues" dxfId="3447" priority="161" stopIfTrue="1"/>
  </conditionalFormatting>
  <conditionalFormatting sqref="C106">
    <cfRule type="duplicateValues" dxfId="3446" priority="151" stopIfTrue="1"/>
    <cfRule type="duplicateValues" dxfId="3445" priority="152" stopIfTrue="1"/>
    <cfRule type="duplicateValues" dxfId="3444" priority="153" stopIfTrue="1"/>
    <cfRule type="duplicateValues" dxfId="3443" priority="154" stopIfTrue="1"/>
    <cfRule type="duplicateValues" dxfId="3442" priority="155" stopIfTrue="1"/>
  </conditionalFormatting>
  <conditionalFormatting sqref="C107">
    <cfRule type="duplicateValues" dxfId="3441" priority="145" stopIfTrue="1"/>
    <cfRule type="duplicateValues" dxfId="3440" priority="146" stopIfTrue="1"/>
    <cfRule type="duplicateValues" dxfId="3439" priority="147" stopIfTrue="1"/>
    <cfRule type="duplicateValues" dxfId="3438" priority="148" stopIfTrue="1"/>
    <cfRule type="duplicateValues" dxfId="3437" priority="149" stopIfTrue="1"/>
    <cfRule type="duplicateValues" dxfId="3436" priority="150" stopIfTrue="1"/>
  </conditionalFormatting>
  <conditionalFormatting sqref="C108">
    <cfRule type="duplicateValues" dxfId="3435" priority="133" stopIfTrue="1"/>
    <cfRule type="duplicateValues" dxfId="3434" priority="134" stopIfTrue="1"/>
    <cfRule type="duplicateValues" dxfId="3433" priority="135" stopIfTrue="1"/>
    <cfRule type="duplicateValues" dxfId="3432" priority="136" stopIfTrue="1"/>
    <cfRule type="duplicateValues" dxfId="3431" priority="137" stopIfTrue="1"/>
    <cfRule type="duplicateValues" dxfId="3430" priority="138" stopIfTrue="1"/>
  </conditionalFormatting>
  <conditionalFormatting sqref="C109:C111">
    <cfRule type="duplicateValues" dxfId="3429" priority="126" stopIfTrue="1"/>
    <cfRule type="duplicateValues" dxfId="3428" priority="127" stopIfTrue="1"/>
    <cfRule type="duplicateValues" dxfId="3427" priority="128" stopIfTrue="1"/>
    <cfRule type="duplicateValues" dxfId="3426" priority="129" stopIfTrue="1"/>
    <cfRule type="duplicateValues" dxfId="3425" priority="130" stopIfTrue="1"/>
    <cfRule type="duplicateValues" dxfId="3424" priority="131" stopIfTrue="1"/>
    <cfRule type="duplicateValues" dxfId="3423" priority="132" stopIfTrue="1"/>
  </conditionalFormatting>
  <conditionalFormatting sqref="C113">
    <cfRule type="duplicateValues" dxfId="3422" priority="118" stopIfTrue="1"/>
    <cfRule type="duplicateValues" dxfId="3421" priority="119" stopIfTrue="1"/>
    <cfRule type="duplicateValues" dxfId="3420" priority="120" stopIfTrue="1"/>
    <cfRule type="duplicateValues" dxfId="3419" priority="121" stopIfTrue="1"/>
    <cfRule type="duplicateValues" dxfId="3418" priority="122" stopIfTrue="1"/>
    <cfRule type="duplicateValues" dxfId="3417" priority="123" stopIfTrue="1"/>
    <cfRule type="duplicateValues" dxfId="3416" priority="124" stopIfTrue="1"/>
  </conditionalFormatting>
  <conditionalFormatting sqref="C114">
    <cfRule type="duplicateValues" dxfId="3415" priority="111" stopIfTrue="1"/>
    <cfRule type="duplicateValues" dxfId="3414" priority="112" stopIfTrue="1"/>
    <cfRule type="duplicateValues" dxfId="3413" priority="113" stopIfTrue="1"/>
    <cfRule type="duplicateValues" dxfId="3412" priority="114" stopIfTrue="1"/>
    <cfRule type="duplicateValues" dxfId="3411" priority="115" stopIfTrue="1"/>
    <cfRule type="duplicateValues" dxfId="3410" priority="116" stopIfTrue="1"/>
    <cfRule type="duplicateValues" dxfId="3409" priority="117" stopIfTrue="1"/>
  </conditionalFormatting>
  <conditionalFormatting sqref="C116">
    <cfRule type="duplicateValues" dxfId="3408" priority="104" stopIfTrue="1"/>
    <cfRule type="duplicateValues" dxfId="3407" priority="105" stopIfTrue="1"/>
    <cfRule type="duplicateValues" dxfId="3406" priority="106" stopIfTrue="1"/>
    <cfRule type="duplicateValues" dxfId="3405" priority="107" stopIfTrue="1"/>
    <cfRule type="duplicateValues" dxfId="3404" priority="108" stopIfTrue="1"/>
    <cfRule type="duplicateValues" dxfId="3403" priority="109" stopIfTrue="1"/>
    <cfRule type="duplicateValues" dxfId="3402" priority="110" stopIfTrue="1"/>
  </conditionalFormatting>
  <conditionalFormatting sqref="C117">
    <cfRule type="duplicateValues" dxfId="3401" priority="97" stopIfTrue="1"/>
    <cfRule type="duplicateValues" dxfId="3400" priority="98" stopIfTrue="1"/>
    <cfRule type="duplicateValues" dxfId="3399" priority="99" stopIfTrue="1"/>
    <cfRule type="duplicateValues" dxfId="3398" priority="100" stopIfTrue="1"/>
    <cfRule type="duplicateValues" dxfId="3397" priority="101"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1" stopIfTrue="1"/>
    <cfRule type="duplicateValues" dxfId="3393" priority="92" stopIfTrue="1"/>
    <cfRule type="duplicateValues" dxfId="3392" priority="93" stopIfTrue="1"/>
    <cfRule type="duplicateValues" dxfId="3391" priority="94" stopIfTrue="1"/>
    <cfRule type="duplicateValues" dxfId="3390" priority="95"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4" stopIfTrue="1"/>
    <cfRule type="duplicateValues" dxfId="3386" priority="85" stopIfTrue="1"/>
    <cfRule type="duplicateValues" dxfId="3385" priority="86" stopIfTrue="1"/>
    <cfRule type="duplicateValues" dxfId="3384" priority="87" stopIfTrue="1"/>
    <cfRule type="duplicateValues" dxfId="3383" priority="88" stopIfTrue="1"/>
    <cfRule type="duplicateValues" dxfId="3382" priority="89"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404" t="s">
        <v>1209</v>
      </c>
      <c r="B4" s="1404" t="s">
        <v>40</v>
      </c>
      <c r="C4" s="1406" t="s">
        <v>43</v>
      </c>
      <c r="D4" s="1406" t="s">
        <v>44</v>
      </c>
      <c r="E4" s="1406" t="s">
        <v>45</v>
      </c>
      <c r="F4" s="1406" t="s">
        <v>1210</v>
      </c>
      <c r="G4" s="1641" t="s">
        <v>609</v>
      </c>
      <c r="H4" s="1407" t="s">
        <v>49</v>
      </c>
      <c r="I4" s="1645" t="s">
        <v>1215</v>
      </c>
    </row>
    <row r="5" spans="1:9" s="159" customFormat="1" ht="20.25" customHeight="1">
      <c r="A5" s="1404"/>
      <c r="B5" s="1404"/>
      <c r="C5" s="1406"/>
      <c r="D5" s="1406"/>
      <c r="E5" s="1406"/>
      <c r="F5" s="1406"/>
      <c r="G5" s="1641"/>
      <c r="H5" s="1407"/>
      <c r="I5" s="1645"/>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duplicateValues" dxfId="3293" priority="591" stopIfTrue="1"/>
    <cfRule type="expression" dxfId="3292" priority="592" stopIfTrue="1">
      <formula>IF(#REF!="TEN",TRUE,FALSE)</formula>
    </cfRule>
  </conditionalFormatting>
  <conditionalFormatting sqref="C59">
    <cfRule type="expression" dxfId="3291" priority="587" stopIfTrue="1">
      <formula>IF(#REF!="TEN",TRUE,FALSE)</formula>
    </cfRule>
    <cfRule type="duplicateValues" dxfId="3290" priority="589" stopIfTrue="1"/>
    <cfRule type="expression" dxfId="3289" priority="590" stopIfTrue="1">
      <formula>IF(#REF!="TEN",TRUE,FALSE)</formula>
    </cfRule>
  </conditionalFormatting>
  <conditionalFormatting sqref="C61">
    <cfRule type="duplicateValues" dxfId="3288" priority="583" stopIfTrue="1"/>
    <cfRule type="expression" dxfId="3287" priority="584" stopIfTrue="1">
      <formula>IF(#REF!="TEN",TRUE,FALSE)</formula>
    </cfRule>
  </conditionalFormatting>
  <conditionalFormatting sqref="C62">
    <cfRule type="duplicateValues" dxfId="3286" priority="578" stopIfTrue="1"/>
  </conditionalFormatting>
  <conditionalFormatting sqref="C63">
    <cfRule type="duplicateValues" dxfId="3285" priority="575" stopIfTrue="1"/>
    <cfRule type="expression" dxfId="3284" priority="576" stopIfTrue="1">
      <formula>IF(#REF!="TEN",TRUE,FALSE)</formula>
    </cfRule>
  </conditionalFormatting>
  <conditionalFormatting sqref="C64">
    <cfRule type="duplicateValues" dxfId="3283" priority="571" stopIfTrue="1"/>
    <cfRule type="expression" dxfId="3282" priority="572" stopIfTrue="1">
      <formula>IF(#REF!="TEN",TRUE,FALSE)</formula>
    </cfRule>
  </conditionalFormatting>
  <conditionalFormatting sqref="C65">
    <cfRule type="duplicateValues" dxfId="3281" priority="569" stopIfTrue="1"/>
    <cfRule type="expression" dxfId="3280" priority="570" stopIfTrue="1">
      <formula>IF(#REF!="TEN",TRUE,FALSE)</formula>
    </cfRule>
  </conditionalFormatting>
  <conditionalFormatting sqref="C66">
    <cfRule type="duplicateValues" dxfId="3279" priority="564" stopIfTrue="1"/>
  </conditionalFormatting>
  <conditionalFormatting sqref="C67">
    <cfRule type="duplicateValues" dxfId="3278" priority="560" stopIfTrue="1"/>
    <cfRule type="expression" dxfId="3277" priority="561" stopIfTrue="1">
      <formula>IF(#REF!="TEN",TRUE,FALSE)</formula>
    </cfRule>
    <cfRule type="duplicateValues" dxfId="3276" priority="562"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duplicateValues" dxfId="3270" priority="544" stopIfTrue="1"/>
    <cfRule type="expression" dxfId="3269" priority="545" stopIfTrue="1">
      <formula>IF(#REF!="TEN",TRUE,FALSE)</formula>
    </cfRule>
    <cfRule type="duplicateValues" dxfId="3268" priority="546" stopIfTrue="1"/>
    <cfRule type="expression" dxfId="3267" priority="547" stopIfTrue="1">
      <formula>IF(#REF!="TEN",TRUE,FALSE)</formula>
    </cfRule>
  </conditionalFormatting>
  <conditionalFormatting sqref="C77">
    <cfRule type="duplicateValues" dxfId="3266" priority="537" stopIfTrue="1"/>
    <cfRule type="expression" dxfId="3265" priority="538" stopIfTrue="1">
      <formula>IF(#REF!="TEN",TRUE,FALSE)</formula>
    </cfRule>
    <cfRule type="duplicateValues" dxfId="3264" priority="539" stopIfTrue="1"/>
    <cfRule type="expression" dxfId="3263" priority="540" stopIfTrue="1">
      <formula>IF(#REF!="TEN",TRUE,FALSE)</formula>
    </cfRule>
    <cfRule type="duplicateValues" dxfId="3262" priority="542" stopIfTrue="1"/>
  </conditionalFormatting>
  <conditionalFormatting sqref="C78">
    <cfRule type="duplicateValues" dxfId="3261" priority="531" stopIfTrue="1"/>
    <cfRule type="expression" dxfId="3260" priority="532" stopIfTrue="1">
      <formula>IF(#REF!="TEN",TRUE,FALSE)</formula>
    </cfRule>
    <cfRule type="duplicateValues" dxfId="3259" priority="535" stopIfTrue="1"/>
    <cfRule type="expression" dxfId="3258" priority="536" stopIfTrue="1">
      <formula>IF(#REF!="TEN",TRUE,FALSE)</formula>
    </cfRule>
  </conditionalFormatting>
  <conditionalFormatting sqref="C79">
    <cfRule type="duplicateValues" dxfId="3257" priority="525" stopIfTrue="1"/>
    <cfRule type="duplicateValues" dxfId="3256" priority="526" stopIfTrue="1"/>
  </conditionalFormatting>
  <conditionalFormatting sqref="C80">
    <cfRule type="duplicateValues" dxfId="3255" priority="522" stopIfTrue="1"/>
    <cfRule type="duplicateValues" dxfId="3254" priority="523"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7" stopIfTrue="1"/>
    <cfRule type="duplicateValues" dxfId="3249" priority="518" stopIfTrue="1"/>
    <cfRule type="duplicateValues" dxfId="3248" priority="519"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0" stopIfTrue="1"/>
    <cfRule type="duplicateValues" dxfId="3244" priority="492"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4" stopIfTrue="1"/>
    <cfRule type="duplicateValues" dxfId="3240" priority="495"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5" stopIfTrue="1"/>
    <cfRule type="duplicateValues" dxfId="3235" priority="486"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1" stopIfTrue="1"/>
    <cfRule type="duplicateValues" dxfId="3231" priority="482"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5"/>
    <cfRule type="duplicateValues" dxfId="3215" priority="376" stopIfTrue="1"/>
    <cfRule type="expression" dxfId="3214" priority="377" stopIfTrue="1">
      <formula>IF(#REF!="TEN",TRUE,FALSE)</formula>
    </cfRule>
    <cfRule type="duplicateValues" dxfId="3213" priority="379" stopIfTrue="1"/>
  </conditionalFormatting>
  <conditionalFormatting sqref="C114">
    <cfRule type="expression" dxfId="3212" priority="380" stopIfTrue="1">
      <formula>IF(#REF!="TEN",TRUE,FALSE)</formula>
    </cfRule>
  </conditionalFormatting>
  <conditionalFormatting sqref="C115">
    <cfRule type="duplicateValues" dxfId="3211" priority="368"/>
    <cfRule type="duplicateValues" dxfId="3210" priority="369" stopIfTrue="1"/>
    <cfRule type="expression" dxfId="3209" priority="370" stopIfTrue="1">
      <formula>IF(#REF!="TEN",TRUE,FALSE)</formula>
    </cfRule>
    <cfRule type="duplicateValues" dxfId="3208" priority="372" stopIfTrue="1"/>
    <cfRule type="expression" dxfId="3207" priority="373" stopIfTrue="1">
      <formula>IF(#REF!="TEN",TRUE,FALSE)</formula>
    </cfRule>
    <cfRule type="duplicateValues" dxfId="3206" priority="374" stopIfTrue="1"/>
  </conditionalFormatting>
  <conditionalFormatting sqref="C116">
    <cfRule type="duplicateValues" dxfId="3205" priority="359"/>
    <cfRule type="duplicateValues" dxfId="3204" priority="360" stopIfTrue="1"/>
    <cfRule type="expression" dxfId="3203" priority="361" stopIfTrue="1">
      <formula>IF(#REF!="TEN",TRUE,FALSE)</formula>
    </cfRule>
    <cfRule type="duplicateValues" dxfId="3202" priority="363" stopIfTrue="1"/>
    <cfRule type="expression" dxfId="3201" priority="364" stopIfTrue="1">
      <formula>IF(#REF!="TEN",TRUE,FALSE)</formula>
    </cfRule>
    <cfRule type="duplicateValues" dxfId="3200" priority="365" stopIfTrue="1"/>
    <cfRule type="duplicateValues" dxfId="3199" priority="367" stopIfTrue="1"/>
  </conditionalFormatting>
  <conditionalFormatting sqref="C117">
    <cfRule type="duplicateValues" dxfId="3198" priority="351"/>
    <cfRule type="duplicateValues" dxfId="3197" priority="352" stopIfTrue="1"/>
    <cfRule type="expression" dxfId="3196" priority="353" stopIfTrue="1">
      <formula>IF(#REF!="TEN",TRUE,FALSE)</formula>
    </cfRule>
    <cfRule type="duplicateValues" dxfId="3195" priority="355" stopIfTrue="1"/>
    <cfRule type="expression" dxfId="3194" priority="356" stopIfTrue="1">
      <formula>IF(#REF!="TEN",TRUE,FALSE)</formula>
    </cfRule>
    <cfRule type="duplicateValues" dxfId="3193" priority="357" stopIfTrue="1"/>
    <cfRule type="duplicateValues" dxfId="3192" priority="358" stopIfTrue="1"/>
    <cfRule type="duplicateValues" dxfId="3191" priority="366" stopIfTrue="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0" stopIfTrue="1"/>
    <cfRule type="duplicateValues" dxfId="3182" priority="341" stopIfTrue="1"/>
    <cfRule type="duplicateValues" dxfId="3181" priority="342"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28" stopIfTrue="1"/>
    <cfRule type="duplicateValues" dxfId="3170" priority="329" stopIfTrue="1"/>
    <cfRule type="duplicateValues" dxfId="3169" priority="330" stopIfTrue="1"/>
  </conditionalFormatting>
  <conditionalFormatting sqref="C136">
    <cfRule type="duplicateValues" dxfId="3168" priority="324" stopIfTrue="1"/>
    <cfRule type="duplicateValues" dxfId="3167" priority="325" stopIfTrue="1"/>
    <cfRule type="duplicateValues" dxfId="3166" priority="326" stopIfTrue="1"/>
    <cfRule type="duplicateValues" dxfId="3165" priority="327" stopIfTrue="1"/>
  </conditionalFormatting>
  <conditionalFormatting sqref="C137">
    <cfRule type="duplicateValues" dxfId="3164" priority="319" stopIfTrue="1"/>
    <cfRule type="duplicateValues" dxfId="3163" priority="320" stopIfTrue="1"/>
    <cfRule type="duplicateValues" dxfId="3162" priority="321" stopIfTrue="1"/>
    <cfRule type="duplicateValues" dxfId="3161" priority="322" stopIfTrue="1"/>
    <cfRule type="duplicateValues" dxfId="3160" priority="323"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4" stopIfTrue="1"/>
    <cfRule type="duplicateValues" dxfId="3156" priority="315" stopIfTrue="1"/>
    <cfRule type="duplicateValues" dxfId="3155" priority="316" stopIfTrue="1"/>
  </conditionalFormatting>
  <conditionalFormatting sqref="C141">
    <cfRule type="duplicateValues" dxfId="3154" priority="312" stopIfTrue="1"/>
    <cfRule type="duplicateValues" dxfId="3153" priority="313"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6" stopIfTrue="1"/>
    <cfRule type="duplicateValues" dxfId="3148" priority="307" stopIfTrue="1"/>
    <cfRule type="duplicateValues" dxfId="3147" priority="308" stopIfTrue="1"/>
    <cfRule type="duplicateValues" dxfId="3146" priority="309" stopIfTrue="1"/>
  </conditionalFormatting>
  <conditionalFormatting sqref="C144">
    <cfRule type="duplicateValues" dxfId="3145" priority="303" stopIfTrue="1"/>
    <cfRule type="duplicateValues" dxfId="3144" priority="304" stopIfTrue="1"/>
  </conditionalFormatting>
  <conditionalFormatting sqref="C145">
    <cfRule type="duplicateValues" dxfId="3143" priority="298" stopIfTrue="1"/>
    <cfRule type="duplicateValues" dxfId="3142" priority="299" stopIfTrue="1"/>
    <cfRule type="duplicateValues" dxfId="3141" priority="300" stopIfTrue="1"/>
    <cfRule type="duplicateValues" dxfId="3140" priority="301" stopIfTrue="1"/>
    <cfRule type="duplicateValues" dxfId="3139" priority="302" stopIfTrue="1"/>
  </conditionalFormatting>
  <conditionalFormatting sqref="C146">
    <cfRule type="duplicateValues" dxfId="3138" priority="296" stopIfTrue="1"/>
    <cfRule type="duplicateValues" dxfId="3137" priority="297" stopIfTrue="1"/>
  </conditionalFormatting>
  <conditionalFormatting sqref="C147">
    <cfRule type="duplicateValues" dxfId="3136" priority="291" stopIfTrue="1"/>
    <cfRule type="duplicateValues" dxfId="3135" priority="292" stopIfTrue="1"/>
    <cfRule type="duplicateValues" dxfId="3134" priority="293" stopIfTrue="1"/>
    <cfRule type="duplicateValues" dxfId="3133" priority="294" stopIfTrue="1"/>
    <cfRule type="duplicateValues" dxfId="3132" priority="295" stopIfTrue="1"/>
  </conditionalFormatting>
  <conditionalFormatting sqref="C148">
    <cfRule type="duplicateValues" dxfId="3131" priority="289" stopIfTrue="1"/>
    <cfRule type="duplicateValues" dxfId="3130" priority="290" stopIfTrue="1"/>
  </conditionalFormatting>
  <conditionalFormatting sqref="C149">
    <cfRule type="duplicateValues" dxfId="3129" priority="284" stopIfTrue="1"/>
    <cfRule type="duplicateValues" dxfId="3128" priority="285" stopIfTrue="1"/>
    <cfRule type="duplicateValues" dxfId="3127" priority="286" stopIfTrue="1"/>
    <cfRule type="duplicateValues" dxfId="3126" priority="287" stopIfTrue="1"/>
    <cfRule type="duplicateValues" dxfId="3125" priority="288" stopIfTrue="1"/>
  </conditionalFormatting>
  <conditionalFormatting sqref="C150">
    <cfRule type="duplicateValues" dxfId="3124" priority="274" stopIfTrue="1"/>
    <cfRule type="duplicateValues" dxfId="3123" priority="275" stopIfTrue="1"/>
    <cfRule type="duplicateValues" dxfId="3122" priority="276" stopIfTrue="1"/>
    <cfRule type="duplicateValues" dxfId="3121" priority="277" stopIfTrue="1"/>
    <cfRule type="duplicateValues" dxfId="3120" priority="278"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69" stopIfTrue="1"/>
    <cfRule type="duplicateValues" dxfId="3115" priority="270" stopIfTrue="1"/>
  </conditionalFormatting>
  <conditionalFormatting sqref="C154:C155">
    <cfRule type="duplicateValues" dxfId="3114" priority="264" stopIfTrue="1"/>
    <cfRule type="duplicateValues" dxfId="3113" priority="265" stopIfTrue="1"/>
    <cfRule type="duplicateValues" dxfId="3112" priority="266" stopIfTrue="1"/>
    <cfRule type="duplicateValues" dxfId="3111" priority="267" stopIfTrue="1"/>
    <cfRule type="duplicateValues" dxfId="3110" priority="268" stopIfTrue="1"/>
  </conditionalFormatting>
  <conditionalFormatting sqref="C156">
    <cfRule type="duplicateValues" dxfId="3109" priority="260" stopIfTrue="1"/>
    <cfRule type="duplicateValues" dxfId="3108" priority="261" stopIfTrue="1"/>
    <cfRule type="duplicateValues" dxfId="3107" priority="262" stopIfTrue="1"/>
    <cfRule type="duplicateValues" dxfId="3106" priority="263" stopIfTrue="1"/>
  </conditionalFormatting>
  <conditionalFormatting sqref="C158">
    <cfRule type="duplicateValues" dxfId="3105" priority="251" stopIfTrue="1"/>
    <cfRule type="duplicateValues" dxfId="3104" priority="252" stopIfTrue="1"/>
    <cfRule type="duplicateValues" dxfId="3103" priority="253" stopIfTrue="1"/>
    <cfRule type="duplicateValues" dxfId="3102" priority="254" stopIfTrue="1"/>
    <cfRule type="duplicateValues" dxfId="3101" priority="255" stopIfTrue="1"/>
  </conditionalFormatting>
  <conditionalFormatting sqref="C160:C161">
    <cfRule type="duplicateValues" dxfId="3100" priority="244" stopIfTrue="1"/>
    <cfRule type="duplicateValues" dxfId="3099" priority="245" stopIfTrue="1"/>
    <cfRule type="duplicateValues" dxfId="3098" priority="246" stopIfTrue="1"/>
    <cfRule type="duplicateValues" dxfId="3097" priority="247" stopIfTrue="1"/>
    <cfRule type="duplicateValues" dxfId="3096" priority="248" stopIfTrue="1"/>
  </conditionalFormatting>
  <conditionalFormatting sqref="C162 C164:C166">
    <cfRule type="duplicateValues" dxfId="3095" priority="231" stopIfTrue="1"/>
    <cfRule type="duplicateValues" dxfId="3094" priority="232" stopIfTrue="1"/>
    <cfRule type="duplicateValues" dxfId="3093" priority="233" stopIfTrue="1"/>
    <cfRule type="duplicateValues" dxfId="3092" priority="234" stopIfTrue="1"/>
    <cfRule type="duplicateValues" dxfId="3091" priority="236" stopIfTrue="1"/>
  </conditionalFormatting>
  <conditionalFormatting sqref="C163">
    <cfRule type="duplicateValues" dxfId="3090" priority="183" stopIfTrue="1"/>
  </conditionalFormatting>
  <conditionalFormatting sqref="C167:C168">
    <cfRule type="duplicateValues" dxfId="3089" priority="202" stopIfTrue="1"/>
    <cfRule type="duplicateValues" dxfId="3088" priority="203" stopIfTrue="1"/>
    <cfRule type="duplicateValues" dxfId="3087" priority="204" stopIfTrue="1"/>
    <cfRule type="duplicateValues" dxfId="3086" priority="205" stopIfTrue="1"/>
    <cfRule type="duplicateValues" dxfId="3085" priority="207" stopIfTrue="1"/>
  </conditionalFormatting>
  <conditionalFormatting sqref="C169:C170">
    <cfRule type="duplicateValues" dxfId="3084" priority="191" stopIfTrue="1"/>
    <cfRule type="duplicateValues" dxfId="3083" priority="192" stopIfTrue="1"/>
    <cfRule type="duplicateValues" dxfId="3082" priority="193" stopIfTrue="1"/>
    <cfRule type="duplicateValues" dxfId="3081" priority="194" stopIfTrue="1"/>
    <cfRule type="duplicateValues" dxfId="3080" priority="195" stopIfTrue="1"/>
  </conditionalFormatting>
  <conditionalFormatting sqref="C171">
    <cfRule type="duplicateValues" dxfId="3079" priority="178" stopIfTrue="1"/>
    <cfRule type="duplicateValues" dxfId="3078" priority="179" stopIfTrue="1"/>
    <cfRule type="duplicateValues" dxfId="3077" priority="180" stopIfTrue="1"/>
    <cfRule type="duplicateValues" dxfId="3076" priority="181" stopIfTrue="1"/>
    <cfRule type="duplicateValues" dxfId="3075" priority="182" stopIfTrue="1"/>
  </conditionalFormatting>
  <conditionalFormatting sqref="C172">
    <cfRule type="duplicateValues" dxfId="3074" priority="173" stopIfTrue="1"/>
    <cfRule type="duplicateValues" dxfId="3073" priority="174" stopIfTrue="1"/>
    <cfRule type="duplicateValues" dxfId="3072" priority="175" stopIfTrue="1"/>
    <cfRule type="duplicateValues" dxfId="3071" priority="176" stopIfTrue="1"/>
    <cfRule type="duplicateValues" dxfId="3070" priority="177" stopIfTrue="1"/>
  </conditionalFormatting>
  <conditionalFormatting sqref="C173">
    <cfRule type="duplicateValues" dxfId="3069" priority="168" stopIfTrue="1"/>
    <cfRule type="duplicateValues" dxfId="3068" priority="169" stopIfTrue="1"/>
    <cfRule type="duplicateValues" dxfId="3067" priority="170" stopIfTrue="1"/>
    <cfRule type="duplicateValues" dxfId="3066" priority="171" stopIfTrue="1"/>
    <cfRule type="duplicateValues" dxfId="3065" priority="172" stopIfTrue="1"/>
  </conditionalFormatting>
  <conditionalFormatting sqref="C174:C175">
    <cfRule type="duplicateValues" dxfId="3064" priority="163" stopIfTrue="1"/>
    <cfRule type="duplicateValues" dxfId="3063" priority="164" stopIfTrue="1"/>
    <cfRule type="duplicateValues" dxfId="3062" priority="165" stopIfTrue="1"/>
    <cfRule type="duplicateValues" dxfId="3061" priority="166" stopIfTrue="1"/>
    <cfRule type="duplicateValues" dxfId="3060" priority="167"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0" stopIfTrue="1"/>
    <cfRule type="duplicateValues" dxfId="3055" priority="131" stopIfTrue="1"/>
    <cfRule type="duplicateValues" dxfId="3054" priority="132" stopIfTrue="1"/>
    <cfRule type="duplicateValues" dxfId="3053" priority="133" stopIfTrue="1"/>
    <cfRule type="duplicateValues" dxfId="3052" priority="134" stopIfTrue="1"/>
  </conditionalFormatting>
  <conditionalFormatting sqref="C187">
    <cfRule type="duplicateValues" dxfId="3051" priority="129" stopIfTrue="1"/>
  </conditionalFormatting>
  <conditionalFormatting sqref="C188:C189">
    <cfRule type="duplicateValues" dxfId="3050" priority="124" stopIfTrue="1"/>
    <cfRule type="duplicateValues" dxfId="3049" priority="125" stopIfTrue="1"/>
    <cfRule type="duplicateValues" dxfId="3048" priority="126" stopIfTrue="1"/>
    <cfRule type="duplicateValues" dxfId="3047" priority="127" stopIfTrue="1"/>
    <cfRule type="duplicateValues" dxfId="3046" priority="128" stopIfTrue="1"/>
  </conditionalFormatting>
  <conditionalFormatting sqref="C190">
    <cfRule type="duplicateValues" dxfId="3045" priority="117" stopIfTrue="1"/>
    <cfRule type="duplicateValues" dxfId="3044" priority="118" stopIfTrue="1"/>
    <cfRule type="duplicateValues" dxfId="3043" priority="119" stopIfTrue="1"/>
    <cfRule type="duplicateValues" dxfId="3042" priority="120" stopIfTrue="1"/>
    <cfRule type="duplicateValues" dxfId="3041" priority="121" stopIfTrue="1"/>
  </conditionalFormatting>
  <conditionalFormatting sqref="C191:C192">
    <cfRule type="duplicateValues" dxfId="3040" priority="112" stopIfTrue="1"/>
    <cfRule type="duplicateValues" dxfId="3039" priority="113" stopIfTrue="1"/>
    <cfRule type="duplicateValues" dxfId="3038" priority="114" stopIfTrue="1"/>
    <cfRule type="duplicateValues" dxfId="3037" priority="115" stopIfTrue="1"/>
    <cfRule type="duplicateValues" dxfId="3036" priority="116" stopIfTrue="1"/>
  </conditionalFormatting>
  <conditionalFormatting sqref="C193">
    <cfRule type="duplicateValues" dxfId="3035" priority="105" stopIfTrue="1"/>
    <cfRule type="duplicateValues" dxfId="3034" priority="106" stopIfTrue="1"/>
    <cfRule type="duplicateValues" dxfId="3033" priority="107" stopIfTrue="1"/>
    <cfRule type="duplicateValues" dxfId="3032" priority="108"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646" t="s">
        <v>986</v>
      </c>
      <c r="C4" s="1646"/>
      <c r="D4" s="1646"/>
      <c r="E4" s="1646"/>
      <c r="F4" s="1646"/>
      <c r="G4" s="1646"/>
      <c r="H4" s="1646"/>
      <c r="I4" s="1646"/>
      <c r="J4" s="1646"/>
      <c r="K4" s="1646"/>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647" t="s">
        <v>994</v>
      </c>
      <c r="C13" s="1648"/>
      <c r="D13" s="1648"/>
      <c r="E13" s="1649"/>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650" t="s">
        <v>995</v>
      </c>
      <c r="B1" s="1651"/>
      <c r="C1" s="1651"/>
      <c r="D1" s="1651"/>
      <c r="E1" s="1651"/>
      <c r="F1" s="1651"/>
      <c r="G1" s="1651"/>
      <c r="H1" s="1651"/>
      <c r="I1" s="1651"/>
      <c r="J1" s="1651"/>
      <c r="K1" s="1651"/>
      <c r="L1" s="1651"/>
      <c r="M1" s="1651"/>
      <c r="N1" s="1651"/>
      <c r="O1" s="1651"/>
      <c r="P1" s="1651"/>
      <c r="Q1" s="1651"/>
    </row>
    <row r="2" spans="1:23" ht="11.25" customHeight="1">
      <c r="A2" s="1653" t="s">
        <v>996</v>
      </c>
      <c r="B2" s="1656" t="s">
        <v>997</v>
      </c>
      <c r="C2" s="1658" t="s">
        <v>998</v>
      </c>
      <c r="D2" s="1661" t="s">
        <v>44</v>
      </c>
      <c r="E2" s="1661" t="s">
        <v>999</v>
      </c>
      <c r="F2" s="1661" t="s">
        <v>1000</v>
      </c>
      <c r="G2" s="1661" t="s">
        <v>1001</v>
      </c>
      <c r="H2" s="1661"/>
      <c r="I2" s="1661"/>
      <c r="J2" s="1661"/>
      <c r="K2" s="1665" t="s">
        <v>1002</v>
      </c>
      <c r="L2" s="1666"/>
      <c r="M2" s="1665" t="s">
        <v>1003</v>
      </c>
      <c r="N2" s="1666"/>
      <c r="O2" s="1658" t="s">
        <v>1004</v>
      </c>
      <c r="P2" s="1656" t="s">
        <v>1005</v>
      </c>
      <c r="Q2" s="1656" t="s">
        <v>1006</v>
      </c>
    </row>
    <row r="3" spans="1:23" ht="10.5" customHeight="1">
      <c r="A3" s="1654"/>
      <c r="B3" s="1657"/>
      <c r="C3" s="1659"/>
      <c r="D3" s="1662"/>
      <c r="E3" s="1662"/>
      <c r="F3" s="1662"/>
      <c r="G3" s="1662"/>
      <c r="H3" s="1662"/>
      <c r="I3" s="1662"/>
      <c r="J3" s="1662"/>
      <c r="K3" s="1667"/>
      <c r="L3" s="1668"/>
      <c r="M3" s="1667"/>
      <c r="N3" s="1668"/>
      <c r="O3" s="1659"/>
      <c r="P3" s="1657"/>
      <c r="Q3" s="1657"/>
    </row>
    <row r="4" spans="1:23" ht="26.25" customHeight="1">
      <c r="A4" s="1655"/>
      <c r="B4" s="1657"/>
      <c r="C4" s="1660"/>
      <c r="D4" s="1663"/>
      <c r="E4" s="1663"/>
      <c r="F4" s="1663"/>
      <c r="G4" s="348" t="s">
        <v>1007</v>
      </c>
      <c r="H4" s="348" t="s">
        <v>1008</v>
      </c>
      <c r="I4" s="348" t="s">
        <v>1009</v>
      </c>
      <c r="J4" s="348" t="s">
        <v>1010</v>
      </c>
      <c r="K4" s="347" t="s">
        <v>1011</v>
      </c>
      <c r="L4" s="347" t="s">
        <v>1012</v>
      </c>
      <c r="M4" s="362" t="s">
        <v>1011</v>
      </c>
      <c r="N4" s="347" t="s">
        <v>1012</v>
      </c>
      <c r="O4" s="1660"/>
      <c r="P4" s="1664"/>
      <c r="Q4" s="1664"/>
      <c r="R4" s="367"/>
      <c r="S4" s="367"/>
      <c r="T4" s="1652"/>
      <c r="U4" s="1652"/>
      <c r="V4" s="1652"/>
      <c r="W4" s="1652"/>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650" t="s">
        <v>995</v>
      </c>
      <c r="B1" s="1651"/>
      <c r="C1" s="1651"/>
      <c r="D1" s="1651"/>
      <c r="E1" s="1651"/>
      <c r="F1" s="1651"/>
      <c r="G1" s="1651"/>
      <c r="H1" s="1651"/>
      <c r="I1" s="1651"/>
      <c r="J1" s="1651"/>
      <c r="K1" s="1651"/>
      <c r="L1" s="1651"/>
      <c r="M1" s="1651"/>
      <c r="N1" s="1651"/>
      <c r="O1" s="1651"/>
      <c r="P1" s="1651"/>
      <c r="Q1" s="1651"/>
    </row>
    <row r="2" spans="1:17" ht="11.25" customHeight="1">
      <c r="A2" s="1653" t="s">
        <v>996</v>
      </c>
      <c r="B2" s="1656" t="s">
        <v>997</v>
      </c>
      <c r="C2" s="1658" t="s">
        <v>998</v>
      </c>
      <c r="D2" s="1661" t="s">
        <v>44</v>
      </c>
      <c r="E2" s="1661" t="s">
        <v>999</v>
      </c>
      <c r="F2" s="1661" t="s">
        <v>1000</v>
      </c>
      <c r="G2" s="1661" t="s">
        <v>1001</v>
      </c>
      <c r="H2" s="1661"/>
      <c r="I2" s="1661"/>
      <c r="J2" s="1661"/>
      <c r="K2" s="1665" t="s">
        <v>1002</v>
      </c>
      <c r="L2" s="1666"/>
      <c r="M2" s="1665" t="s">
        <v>1003</v>
      </c>
      <c r="N2" s="1666"/>
      <c r="O2" s="1658" t="s">
        <v>1004</v>
      </c>
      <c r="P2" s="1656" t="s">
        <v>1005</v>
      </c>
      <c r="Q2" s="1656" t="s">
        <v>1006</v>
      </c>
    </row>
    <row r="3" spans="1:17" ht="10.5" customHeight="1">
      <c r="A3" s="1654"/>
      <c r="B3" s="1657"/>
      <c r="C3" s="1659"/>
      <c r="D3" s="1662"/>
      <c r="E3" s="1662"/>
      <c r="F3" s="1662"/>
      <c r="G3" s="1662"/>
      <c r="H3" s="1662"/>
      <c r="I3" s="1662"/>
      <c r="J3" s="1662"/>
      <c r="K3" s="1667"/>
      <c r="L3" s="1668"/>
      <c r="M3" s="1667"/>
      <c r="N3" s="1668"/>
      <c r="O3" s="1659"/>
      <c r="P3" s="1657"/>
      <c r="Q3" s="1657"/>
    </row>
    <row r="4" spans="1:17">
      <c r="A4" s="1669"/>
      <c r="B4" s="1670"/>
      <c r="C4" s="1671"/>
      <c r="D4" s="1672"/>
      <c r="E4" s="1672"/>
      <c r="F4" s="1672"/>
      <c r="G4" s="233" t="s">
        <v>1007</v>
      </c>
      <c r="H4" s="233" t="s">
        <v>1008</v>
      </c>
      <c r="I4" s="233" t="s">
        <v>1009</v>
      </c>
      <c r="J4" s="233" t="s">
        <v>1010</v>
      </c>
      <c r="K4" s="232" t="s">
        <v>1011</v>
      </c>
      <c r="L4" s="232" t="s">
        <v>1012</v>
      </c>
      <c r="M4" s="256" t="s">
        <v>1011</v>
      </c>
      <c r="N4" s="232" t="s">
        <v>1012</v>
      </c>
      <c r="O4" s="1671"/>
      <c r="P4" s="1670"/>
      <c r="Q4" s="1670"/>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404" t="s">
        <v>40</v>
      </c>
      <c r="B4" s="1643" t="s">
        <v>1209</v>
      </c>
      <c r="C4" s="1406" t="s">
        <v>43</v>
      </c>
      <c r="D4" s="1406" t="s">
        <v>44</v>
      </c>
      <c r="E4" s="1406" t="s">
        <v>45</v>
      </c>
      <c r="F4" s="1408" t="s">
        <v>1210</v>
      </c>
      <c r="G4" s="1641" t="s">
        <v>609</v>
      </c>
      <c r="H4" s="1407" t="s">
        <v>49</v>
      </c>
    </row>
    <row r="5" spans="1:8">
      <c r="A5" s="1404"/>
      <c r="B5" s="1644"/>
      <c r="C5" s="1406"/>
      <c r="D5" s="1406"/>
      <c r="E5" s="1406"/>
      <c r="F5" s="1409"/>
      <c r="G5" s="1641"/>
      <c r="H5" s="1407"/>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3" stopIfTrue="1"/>
    <cfRule type="duplicateValues" dxfId="2931" priority="44" stopIfTrue="1"/>
  </conditionalFormatting>
  <conditionalFormatting sqref="C6">
    <cfRule type="duplicateValues" dxfId="2930" priority="38" stopIfTrue="1"/>
    <cfRule type="expression" dxfId="2929" priority="39" stopIfTrue="1">
      <formula>IF(#REF!="TEN",TRUE,FALSE)</formula>
    </cfRule>
  </conditionalFormatting>
  <conditionalFormatting sqref="C6:C11">
    <cfRule type="duplicateValues" dxfId="2928" priority="41"/>
    <cfRule type="duplicateValues" dxfId="2927" priority="42" stopIfTrue="1"/>
  </conditionalFormatting>
  <conditionalFormatting sqref="C7">
    <cfRule type="duplicateValues" dxfId="2926" priority="33" stopIfTrue="1"/>
    <cfRule type="expression" dxfId="2925" priority="34" stopIfTrue="1">
      <formula>IF(#REF!="TEN",TRUE,FALSE)</formula>
    </cfRule>
    <cfRule type="duplicateValues" dxfId="2924" priority="37" stopIfTrue="1"/>
  </conditionalFormatting>
  <conditionalFormatting sqref="C8">
    <cfRule type="duplicateValues" dxfId="2923" priority="29" stopIfTrue="1"/>
    <cfRule type="expression" dxfId="2922" priority="30" stopIfTrue="1">
      <formula>IF(#REF!="TEN",TRUE,FALSE)</formula>
    </cfRule>
    <cfRule type="duplicateValues" dxfId="2921" priority="32" stopIfTrue="1"/>
    <cfRule type="duplicateValues" dxfId="2920" priority="36"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13" stopIfTrue="1"/>
    <cfRule type="expression" dxfId="2912" priority="14" stopIfTrue="1">
      <formula>IF(#REF!="TEN",TRUE,FALSE)</formula>
    </cfRule>
    <cfRule type="duplicateValues" dxfId="2911" priority="16" stopIfTrue="1"/>
    <cfRule type="duplicateValues" dxfId="2910" priority="17" stopIfTrue="1"/>
    <cfRule type="duplicateValues" dxfId="2909" priority="18" stopIfTrue="1"/>
    <cfRule type="duplicateValues" dxfId="2908" priority="19" stopIfTrue="1"/>
    <cfRule type="expression" dxfId="2907" priority="20" stopIfTrue="1">
      <formula>IF(#REF!="TEN",TRUE,FALSE)</formula>
    </cfRule>
    <cfRule type="duplicateValues" dxfId="2906" priority="21" stopIfTrue="1"/>
  </conditionalFormatting>
  <conditionalFormatting sqref="C11">
    <cfRule type="duplicateValues" dxfId="2905" priority="1" stopIfTrue="1"/>
    <cfRule type="expression" dxfId="2904" priority="2" stopIfTrue="1">
      <formula>IF(#REF!="TEN",TRUE,FALSE)</formula>
    </cfRule>
    <cfRule type="duplicateValues" dxfId="2903" priority="4" stopIfTrue="1"/>
    <cfRule type="duplicateValues" dxfId="2902" priority="5" stopIfTrue="1"/>
    <cfRule type="duplicateValues" dxfId="2901" priority="6" stopIfTrue="1"/>
    <cfRule type="duplicateValues" dxfId="2900" priority="7" stopIfTrue="1"/>
    <cfRule type="expression" dxfId="2899" priority="8" stopIfTrue="1">
      <formula>IF(#REF!="TEN",TRUE,FALSE)</formula>
    </cfRule>
    <cfRule type="duplicateValues" dxfId="2898" priority="9" stopIfTrue="1"/>
    <cfRule type="expression" dxfId="2897" priority="10" stopIfTrue="1">
      <formula>IF(#REF!="TEN",TRUE,FALSE)</formula>
    </cfRule>
    <cfRule type="duplicateValues" dxfId="2896" priority="11" stopIfTrue="1"/>
    <cfRule type="duplicateValues" dxfId="2895" priority="12" stopIfTrue="1"/>
  </conditionalFormatting>
  <pageMargins left="0.7" right="0.7" top="0.75" bottom="0.75" header="0.3" footer="0.3"/>
  <pageSetup paperSize="9" orientation="portrait"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544" t="s">
        <v>1213</v>
      </c>
      <c r="F5" s="1544"/>
      <c r="G5" s="1544" t="s">
        <v>1214</v>
      </c>
      <c r="H5" s="1544"/>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404" t="s">
        <v>1255</v>
      </c>
      <c r="B4" s="1404" t="s">
        <v>41</v>
      </c>
      <c r="C4" s="1405" t="s">
        <v>42</v>
      </c>
      <c r="D4" s="1406" t="s">
        <v>43</v>
      </c>
      <c r="E4" s="1406" t="s">
        <v>44</v>
      </c>
      <c r="F4" s="1410" t="s">
        <v>47</v>
      </c>
      <c r="G4" s="1406" t="s">
        <v>1256</v>
      </c>
      <c r="H4" s="1408" t="s">
        <v>1257</v>
      </c>
      <c r="I4" s="1407" t="s">
        <v>49</v>
      </c>
      <c r="J4" s="1407" t="s">
        <v>1258</v>
      </c>
    </row>
    <row r="5" spans="1:10" s="159" customFormat="1" ht="12">
      <c r="A5" s="1404"/>
      <c r="B5" s="1404"/>
      <c r="C5" s="1405"/>
      <c r="D5" s="1406"/>
      <c r="E5" s="1406"/>
      <c r="F5" s="1410"/>
      <c r="G5" s="1406"/>
      <c r="H5" s="1409"/>
      <c r="I5" s="1407"/>
      <c r="J5" s="1407"/>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85"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30" stopIfTrue="1"/>
    <cfRule type="duplicateValues" dxfId="2881" priority="1231" stopIfTrue="1"/>
    <cfRule type="duplicateValues" dxfId="2880" priority="1232" stopIfTrue="1"/>
    <cfRule type="duplicateValues" dxfId="2879" priority="1233" stopIfTrue="1"/>
    <cfRule type="duplicateValues" dxfId="2878" priority="1234" stopIfTrue="1"/>
    <cfRule type="duplicateValues" dxfId="2877" priority="1235" stopIfTrue="1"/>
    <cfRule type="duplicateValues" dxfId="2876" priority="1236" stopIfTrue="1"/>
    <cfRule type="duplicateValues" dxfId="2875" priority="1237" stopIfTrue="1"/>
    <cfRule type="duplicateValues" dxfId="2874" priority="1238" stopIfTrue="1"/>
    <cfRule type="duplicateValues" dxfId="2873" priority="1253" stopIfTrue="1"/>
    <cfRule type="duplicateValues" dxfId="2872" priority="1254" stopIfTrue="1"/>
    <cfRule type="duplicateValues" dxfId="2871" priority="1255" stopIfTrue="1"/>
    <cfRule type="duplicateValues" dxfId="2870" priority="1256" stopIfTrue="1"/>
    <cfRule type="duplicateValues" dxfId="2869" priority="1257" stopIfTrue="1"/>
  </conditionalFormatting>
  <conditionalFormatting sqref="D8">
    <cfRule type="duplicateValues" dxfId="2868" priority="1239" stopIfTrue="1"/>
    <cfRule type="duplicateValues" dxfId="2867" priority="1240" stopIfTrue="1"/>
    <cfRule type="duplicateValues" dxfId="2866" priority="1241" stopIfTrue="1"/>
    <cfRule type="duplicateValues" dxfId="2865" priority="1242" stopIfTrue="1"/>
    <cfRule type="duplicateValues" dxfId="2864" priority="1243" stopIfTrue="1"/>
    <cfRule type="duplicateValues" dxfId="2863" priority="1244" stopIfTrue="1"/>
    <cfRule type="duplicateValues" dxfId="2862" priority="1250" stopIfTrue="1"/>
    <cfRule type="duplicateValues" dxfId="2861" priority="1251" stopIfTrue="1"/>
    <cfRule type="duplicateValues" dxfId="2860" priority="1252" stopIfTrue="1"/>
  </conditionalFormatting>
  <conditionalFormatting sqref="D9">
    <cfRule type="duplicateValues" dxfId="2859" priority="1219" stopIfTrue="1"/>
    <cfRule type="duplicateValues" dxfId="2858" priority="1220" stopIfTrue="1"/>
    <cfRule type="duplicateValues" dxfId="2857" priority="1221" stopIfTrue="1"/>
    <cfRule type="duplicateValues" dxfId="2856" priority="1222" stopIfTrue="1"/>
    <cfRule type="duplicateValues" dxfId="2855" priority="1223" stopIfTrue="1"/>
    <cfRule type="duplicateValues" dxfId="2854" priority="1224" stopIfTrue="1"/>
    <cfRule type="duplicateValues" dxfId="2853" priority="1225" stopIfTrue="1"/>
    <cfRule type="duplicateValues" dxfId="2852" priority="1226" stopIfTrue="1"/>
    <cfRule type="duplicateValues" dxfId="2851" priority="1227" stopIfTrue="1"/>
    <cfRule type="duplicateValues" dxfId="2850" priority="1228" stopIfTrue="1"/>
    <cfRule type="duplicateValues" dxfId="2849" priority="1229" stopIfTrue="1"/>
    <cfRule type="duplicateValues" dxfId="2848" priority="1245" stopIfTrue="1"/>
    <cfRule type="duplicateValues" dxfId="2847" priority="1246" stopIfTrue="1"/>
    <cfRule type="duplicateValues" dxfId="2846" priority="1247" stopIfTrue="1"/>
    <cfRule type="duplicateValues" dxfId="2845" priority="1248" stopIfTrue="1"/>
    <cfRule type="duplicateValues" dxfId="2844" priority="1249" stopIfTrue="1"/>
    <cfRule type="duplicateValues" dxfId="2843" priority="1283" stopIfTrue="1"/>
  </conditionalFormatting>
  <conditionalFormatting sqref="D10">
    <cfRule type="duplicateValues" dxfId="2842" priority="1199" stopIfTrue="1"/>
    <cfRule type="duplicateValues" dxfId="2841" priority="1200" stopIfTrue="1"/>
    <cfRule type="duplicateValues" dxfId="2840" priority="1201" stopIfTrue="1"/>
    <cfRule type="duplicateValues" dxfId="2839" priority="1202" stopIfTrue="1"/>
    <cfRule type="duplicateValues" dxfId="2838" priority="1203" stopIfTrue="1"/>
    <cfRule type="duplicateValues" dxfId="2837" priority="1204" stopIfTrue="1"/>
    <cfRule type="duplicateValues" dxfId="2836" priority="1205" stopIfTrue="1"/>
    <cfRule type="duplicateValues" dxfId="2835" priority="1206" stopIfTrue="1"/>
    <cfRule type="duplicateValues" dxfId="2834" priority="1207" stopIfTrue="1"/>
    <cfRule type="duplicateValues" dxfId="2833" priority="1208" stopIfTrue="1"/>
    <cfRule type="duplicateValues" dxfId="2832" priority="1209" stopIfTrue="1"/>
    <cfRule type="duplicateValues" dxfId="2831" priority="1210" stopIfTrue="1"/>
    <cfRule type="duplicateValues" dxfId="2830" priority="1211" stopIfTrue="1"/>
    <cfRule type="duplicateValues" dxfId="2829" priority="1212" stopIfTrue="1"/>
    <cfRule type="duplicateValues" dxfId="2828" priority="1213" stopIfTrue="1"/>
    <cfRule type="duplicateValues" dxfId="2827" priority="1214" stopIfTrue="1"/>
    <cfRule type="duplicateValues" dxfId="2826" priority="1215" stopIfTrue="1"/>
    <cfRule type="duplicateValues" dxfId="2825" priority="1281" stopIfTrue="1"/>
    <cfRule type="duplicateValues" dxfId="2824" priority="1282" stopIfTrue="1"/>
  </conditionalFormatting>
  <conditionalFormatting sqref="D11:D12">
    <cfRule type="duplicateValues" dxfId="2823" priority="1180" stopIfTrue="1"/>
    <cfRule type="duplicateValues" dxfId="2822" priority="1181" stopIfTrue="1"/>
    <cfRule type="duplicateValues" dxfId="2821" priority="1182" stopIfTrue="1"/>
    <cfRule type="duplicateValues" dxfId="2820" priority="1183" stopIfTrue="1"/>
    <cfRule type="duplicateValues" dxfId="2819" priority="1184" stopIfTrue="1"/>
    <cfRule type="duplicateValues" dxfId="2818" priority="1185" stopIfTrue="1"/>
    <cfRule type="duplicateValues" dxfId="2817" priority="1186" stopIfTrue="1"/>
    <cfRule type="duplicateValues" dxfId="2816" priority="1187" stopIfTrue="1"/>
    <cfRule type="duplicateValues" dxfId="2815" priority="1188" stopIfTrue="1"/>
    <cfRule type="duplicateValues" dxfId="2814" priority="1189" stopIfTrue="1"/>
    <cfRule type="duplicateValues" dxfId="2813" priority="1190" stopIfTrue="1"/>
    <cfRule type="duplicateValues" dxfId="2812" priority="1191" stopIfTrue="1"/>
    <cfRule type="duplicateValues" dxfId="2811" priority="1192" stopIfTrue="1"/>
    <cfRule type="duplicateValues" dxfId="2810" priority="1193" stopIfTrue="1"/>
    <cfRule type="duplicateValues" dxfId="2809" priority="1194" stopIfTrue="1"/>
    <cfRule type="duplicateValues" dxfId="2808" priority="1195" stopIfTrue="1"/>
    <cfRule type="duplicateValues" dxfId="2807" priority="1196" stopIfTrue="1"/>
    <cfRule type="duplicateValues" dxfId="2806" priority="1197" stopIfTrue="1"/>
    <cfRule type="duplicateValues" dxfId="2805" priority="1198" stopIfTrue="1"/>
  </conditionalFormatting>
  <conditionalFormatting sqref="D13:D15">
    <cfRule type="duplicateValues" dxfId="2804" priority="1161" stopIfTrue="1"/>
    <cfRule type="duplicateValues" dxfId="2803" priority="1162" stopIfTrue="1"/>
    <cfRule type="duplicateValues" dxfId="2802" priority="1163" stopIfTrue="1"/>
    <cfRule type="duplicateValues" dxfId="2801" priority="1164" stopIfTrue="1"/>
    <cfRule type="duplicateValues" dxfId="2800" priority="1165" stopIfTrue="1"/>
    <cfRule type="duplicateValues" dxfId="2799" priority="1166" stopIfTrue="1"/>
    <cfRule type="duplicateValues" dxfId="2798" priority="1167" stopIfTrue="1"/>
    <cfRule type="duplicateValues" dxfId="2797" priority="1168" stopIfTrue="1"/>
    <cfRule type="duplicateValues" dxfId="2796" priority="1169" stopIfTrue="1"/>
    <cfRule type="duplicateValues" dxfId="2795" priority="1170" stopIfTrue="1"/>
    <cfRule type="duplicateValues" dxfId="2794" priority="1171" stopIfTrue="1"/>
    <cfRule type="duplicateValues" dxfId="2793" priority="1172" stopIfTrue="1"/>
    <cfRule type="duplicateValues" dxfId="2792" priority="1173" stopIfTrue="1"/>
    <cfRule type="duplicateValues" dxfId="2791" priority="1174" stopIfTrue="1"/>
    <cfRule type="duplicateValues" dxfId="2790" priority="1175" stopIfTrue="1"/>
    <cfRule type="duplicateValues" dxfId="2789" priority="1176" stopIfTrue="1"/>
    <cfRule type="duplicateValues" dxfId="2788" priority="1177" stopIfTrue="1"/>
    <cfRule type="duplicateValues" dxfId="2787" priority="1178" stopIfTrue="1"/>
    <cfRule type="duplicateValues" dxfId="2786" priority="1179" stopIfTrue="1"/>
  </conditionalFormatting>
  <conditionalFormatting sqref="D16">
    <cfRule type="duplicateValues" dxfId="2785" priority="1142" stopIfTrue="1"/>
    <cfRule type="duplicateValues" dxfId="2784" priority="1143" stopIfTrue="1"/>
    <cfRule type="duplicateValues" dxfId="2783" priority="1144" stopIfTrue="1"/>
    <cfRule type="duplicateValues" dxfId="2782" priority="1145" stopIfTrue="1"/>
    <cfRule type="duplicateValues" dxfId="2781" priority="1146" stopIfTrue="1"/>
    <cfRule type="duplicateValues" dxfId="2780" priority="1147" stopIfTrue="1"/>
    <cfRule type="duplicateValues" dxfId="2779" priority="1148" stopIfTrue="1"/>
    <cfRule type="duplicateValues" dxfId="2778" priority="1149" stopIfTrue="1"/>
    <cfRule type="duplicateValues" dxfId="2777" priority="1150" stopIfTrue="1"/>
    <cfRule type="duplicateValues" dxfId="2776" priority="1151" stopIfTrue="1"/>
    <cfRule type="duplicateValues" dxfId="2775" priority="1152" stopIfTrue="1"/>
    <cfRule type="duplicateValues" dxfId="2774" priority="1153" stopIfTrue="1"/>
    <cfRule type="duplicateValues" dxfId="2773" priority="1154" stopIfTrue="1"/>
    <cfRule type="duplicateValues" dxfId="2772" priority="1155" stopIfTrue="1"/>
    <cfRule type="duplicateValues" dxfId="2771" priority="1156" stopIfTrue="1"/>
    <cfRule type="duplicateValues" dxfId="2770" priority="1157" stopIfTrue="1"/>
    <cfRule type="duplicateValues" dxfId="2769" priority="1158" stopIfTrue="1"/>
    <cfRule type="duplicateValues" dxfId="2768" priority="1159" stopIfTrue="1"/>
    <cfRule type="duplicateValues" dxfId="2767" priority="1160" stopIfTrue="1"/>
  </conditionalFormatting>
  <conditionalFormatting sqref="D17">
    <cfRule type="duplicateValues" dxfId="2766" priority="1123" stopIfTrue="1"/>
    <cfRule type="duplicateValues" dxfId="2765" priority="1124" stopIfTrue="1"/>
    <cfRule type="duplicateValues" dxfId="2764" priority="1125" stopIfTrue="1"/>
    <cfRule type="duplicateValues" dxfId="2763" priority="1126" stopIfTrue="1"/>
    <cfRule type="duplicateValues" dxfId="2762" priority="1127" stopIfTrue="1"/>
    <cfRule type="duplicateValues" dxfId="2761" priority="1128" stopIfTrue="1"/>
    <cfRule type="duplicateValues" dxfId="2760" priority="1129" stopIfTrue="1"/>
    <cfRule type="duplicateValues" dxfId="2759" priority="1130" stopIfTrue="1"/>
    <cfRule type="duplicateValues" dxfId="2758" priority="1131" stopIfTrue="1"/>
    <cfRule type="duplicateValues" dxfId="2757" priority="1132" stopIfTrue="1"/>
    <cfRule type="duplicateValues" dxfId="2756" priority="1133" stopIfTrue="1"/>
    <cfRule type="duplicateValues" dxfId="2755" priority="1134" stopIfTrue="1"/>
    <cfRule type="duplicateValues" dxfId="2754" priority="1135" stopIfTrue="1"/>
    <cfRule type="duplicateValues" dxfId="2753" priority="1136" stopIfTrue="1"/>
    <cfRule type="duplicateValues" dxfId="2752" priority="1137" stopIfTrue="1"/>
    <cfRule type="duplicateValues" dxfId="2751" priority="1138" stopIfTrue="1"/>
    <cfRule type="duplicateValues" dxfId="2750" priority="1139" stopIfTrue="1"/>
    <cfRule type="duplicateValues" dxfId="2749" priority="1140" stopIfTrue="1"/>
    <cfRule type="duplicateValues" dxfId="2748" priority="1141" stopIfTrue="1"/>
  </conditionalFormatting>
  <conditionalFormatting sqref="D18">
    <cfRule type="duplicateValues" dxfId="2747" priority="1104" stopIfTrue="1"/>
    <cfRule type="duplicateValues" dxfId="2746" priority="1105" stopIfTrue="1"/>
    <cfRule type="duplicateValues" dxfId="2745" priority="1106" stopIfTrue="1"/>
    <cfRule type="duplicateValues" dxfId="2744" priority="1107" stopIfTrue="1"/>
    <cfRule type="duplicateValues" dxfId="2743" priority="1108" stopIfTrue="1"/>
    <cfRule type="duplicateValues" dxfId="2742" priority="1109" stopIfTrue="1"/>
    <cfRule type="duplicateValues" dxfId="2741" priority="1110" stopIfTrue="1"/>
    <cfRule type="duplicateValues" dxfId="2740" priority="1111" stopIfTrue="1"/>
    <cfRule type="duplicateValues" dxfId="2739" priority="1112" stopIfTrue="1"/>
    <cfRule type="duplicateValues" dxfId="2738" priority="1113" stopIfTrue="1"/>
    <cfRule type="duplicateValues" dxfId="2737" priority="1114" stopIfTrue="1"/>
    <cfRule type="duplicateValues" dxfId="2736" priority="1115" stopIfTrue="1"/>
    <cfRule type="duplicateValues" dxfId="2735" priority="1116" stopIfTrue="1"/>
    <cfRule type="duplicateValues" dxfId="2734" priority="1117" stopIfTrue="1"/>
    <cfRule type="duplicateValues" dxfId="2733" priority="1118" stopIfTrue="1"/>
    <cfRule type="duplicateValues" dxfId="2732" priority="1119" stopIfTrue="1"/>
    <cfRule type="duplicateValues" dxfId="2731" priority="1120" stopIfTrue="1"/>
    <cfRule type="duplicateValues" dxfId="2730" priority="1121" stopIfTrue="1"/>
    <cfRule type="duplicateValues" dxfId="2729" priority="1122" stopIfTrue="1"/>
  </conditionalFormatting>
  <conditionalFormatting sqref="D19">
    <cfRule type="duplicateValues" dxfId="2728" priority="1085" stopIfTrue="1"/>
    <cfRule type="duplicateValues" dxfId="2727" priority="1086" stopIfTrue="1"/>
    <cfRule type="duplicateValues" dxfId="2726" priority="1087" stopIfTrue="1"/>
    <cfRule type="duplicateValues" dxfId="2725" priority="1088" stopIfTrue="1"/>
    <cfRule type="duplicateValues" dxfId="2724" priority="1089" stopIfTrue="1"/>
    <cfRule type="duplicateValues" dxfId="2723" priority="1090" stopIfTrue="1"/>
    <cfRule type="duplicateValues" dxfId="2722" priority="1091" stopIfTrue="1"/>
    <cfRule type="duplicateValues" dxfId="2721" priority="1092" stopIfTrue="1"/>
    <cfRule type="duplicateValues" dxfId="2720" priority="1093" stopIfTrue="1"/>
    <cfRule type="duplicateValues" dxfId="2719" priority="1094" stopIfTrue="1"/>
    <cfRule type="duplicateValues" dxfId="2718" priority="1095" stopIfTrue="1"/>
    <cfRule type="duplicateValues" dxfId="2717" priority="1096" stopIfTrue="1"/>
    <cfRule type="duplicateValues" dxfId="2716" priority="1097" stopIfTrue="1"/>
    <cfRule type="duplicateValues" dxfId="2715" priority="1098" stopIfTrue="1"/>
    <cfRule type="duplicateValues" dxfId="2714" priority="1099" stopIfTrue="1"/>
    <cfRule type="duplicateValues" dxfId="2713" priority="1100" stopIfTrue="1"/>
    <cfRule type="duplicateValues" dxfId="2712" priority="1101" stopIfTrue="1"/>
    <cfRule type="duplicateValues" dxfId="2711" priority="1102" stopIfTrue="1"/>
    <cfRule type="duplicateValues" dxfId="2710" priority="1103" stopIfTrue="1"/>
  </conditionalFormatting>
  <conditionalFormatting sqref="D20">
    <cfRule type="duplicateValues" dxfId="2709" priority="1047" stopIfTrue="1"/>
    <cfRule type="duplicateValues" dxfId="2708" priority="1048" stopIfTrue="1"/>
    <cfRule type="duplicateValues" dxfId="2707" priority="1049" stopIfTrue="1"/>
    <cfRule type="duplicateValues" dxfId="2706" priority="1050" stopIfTrue="1"/>
    <cfRule type="duplicateValues" dxfId="2705" priority="1051" stopIfTrue="1"/>
    <cfRule type="duplicateValues" dxfId="2704" priority="1052" stopIfTrue="1"/>
    <cfRule type="duplicateValues" dxfId="2703" priority="1053" stopIfTrue="1"/>
    <cfRule type="duplicateValues" dxfId="2702" priority="1054" stopIfTrue="1"/>
    <cfRule type="duplicateValues" dxfId="2701" priority="1055" stopIfTrue="1"/>
    <cfRule type="duplicateValues" dxfId="2700" priority="1056" stopIfTrue="1"/>
    <cfRule type="duplicateValues" dxfId="2699" priority="1057" stopIfTrue="1"/>
    <cfRule type="duplicateValues" dxfId="2698" priority="1058" stopIfTrue="1"/>
    <cfRule type="duplicateValues" dxfId="2697" priority="1059" stopIfTrue="1"/>
    <cfRule type="duplicateValues" dxfId="2696" priority="1060" stopIfTrue="1"/>
    <cfRule type="duplicateValues" dxfId="2695" priority="1061" stopIfTrue="1"/>
    <cfRule type="duplicateValues" dxfId="2694" priority="1062" stopIfTrue="1"/>
    <cfRule type="duplicateValues" dxfId="2693" priority="1063" stopIfTrue="1"/>
    <cfRule type="duplicateValues" dxfId="2692" priority="1064" stopIfTrue="1"/>
    <cfRule type="duplicateValues" dxfId="2691" priority="1065" stopIfTrue="1"/>
    <cfRule type="duplicateValues" dxfId="2690" priority="1066" stopIfTrue="1"/>
    <cfRule type="duplicateValues" dxfId="2689" priority="1067" stopIfTrue="1"/>
    <cfRule type="duplicateValues" dxfId="2688" priority="1068" stopIfTrue="1"/>
    <cfRule type="duplicateValues" dxfId="2687" priority="1069" stopIfTrue="1"/>
    <cfRule type="duplicateValues" dxfId="2686" priority="1070" stopIfTrue="1"/>
    <cfRule type="duplicateValues" dxfId="2685" priority="1071" stopIfTrue="1"/>
    <cfRule type="duplicateValues" dxfId="2684" priority="1072" stopIfTrue="1"/>
    <cfRule type="duplicateValues" dxfId="2683" priority="1073" stopIfTrue="1"/>
    <cfRule type="duplicateValues" dxfId="2682" priority="1074" stopIfTrue="1"/>
    <cfRule type="duplicateValues" dxfId="2681" priority="1075" stopIfTrue="1"/>
    <cfRule type="duplicateValues" dxfId="2680" priority="1076" stopIfTrue="1"/>
    <cfRule type="duplicateValues" dxfId="2679" priority="1077" stopIfTrue="1"/>
    <cfRule type="duplicateValues" dxfId="2678" priority="1078" stopIfTrue="1"/>
    <cfRule type="duplicateValues" dxfId="2677" priority="1079" stopIfTrue="1"/>
    <cfRule type="duplicateValues" dxfId="2676" priority="1080" stopIfTrue="1"/>
    <cfRule type="duplicateValues" dxfId="2675" priority="1081" stopIfTrue="1"/>
    <cfRule type="duplicateValues" dxfId="2674" priority="1082" stopIfTrue="1"/>
    <cfRule type="duplicateValues" dxfId="2673" priority="1083" stopIfTrue="1"/>
    <cfRule type="duplicateValues" dxfId="2672" priority="1084" stopIfTrue="1"/>
  </conditionalFormatting>
  <conditionalFormatting sqref="D21">
    <cfRule type="duplicateValues" dxfId="2671" priority="971" stopIfTrue="1"/>
    <cfRule type="duplicateValues" dxfId="2670" priority="972" stopIfTrue="1"/>
    <cfRule type="duplicateValues" dxfId="2669" priority="973" stopIfTrue="1"/>
    <cfRule type="duplicateValues" dxfId="2668" priority="974" stopIfTrue="1"/>
    <cfRule type="duplicateValues" dxfId="2667" priority="975" stopIfTrue="1"/>
    <cfRule type="duplicateValues" dxfId="2666" priority="976" stopIfTrue="1"/>
    <cfRule type="duplicateValues" dxfId="2665" priority="977" stopIfTrue="1"/>
    <cfRule type="duplicateValues" dxfId="2664" priority="978" stopIfTrue="1"/>
    <cfRule type="duplicateValues" dxfId="2663" priority="979" stopIfTrue="1"/>
    <cfRule type="duplicateValues" dxfId="2662" priority="980" stopIfTrue="1"/>
    <cfRule type="duplicateValues" dxfId="2661" priority="981" stopIfTrue="1"/>
    <cfRule type="duplicateValues" dxfId="2660" priority="982" stopIfTrue="1"/>
    <cfRule type="duplicateValues" dxfId="2659" priority="983" stopIfTrue="1"/>
    <cfRule type="duplicateValues" dxfId="2658" priority="984" stopIfTrue="1"/>
    <cfRule type="duplicateValues" dxfId="2657" priority="985" stopIfTrue="1"/>
    <cfRule type="duplicateValues" dxfId="2656" priority="986" stopIfTrue="1"/>
    <cfRule type="duplicateValues" dxfId="2655" priority="987" stopIfTrue="1"/>
    <cfRule type="duplicateValues" dxfId="2654" priority="988" stopIfTrue="1"/>
    <cfRule type="duplicateValues" dxfId="2653" priority="989" stopIfTrue="1"/>
    <cfRule type="duplicateValues" dxfId="2652" priority="990" stopIfTrue="1"/>
    <cfRule type="duplicateValues" dxfId="2651" priority="991" stopIfTrue="1"/>
    <cfRule type="duplicateValues" dxfId="2650" priority="992" stopIfTrue="1"/>
    <cfRule type="duplicateValues" dxfId="2649" priority="993" stopIfTrue="1"/>
    <cfRule type="duplicateValues" dxfId="2648" priority="994" stopIfTrue="1"/>
    <cfRule type="duplicateValues" dxfId="2647" priority="995" stopIfTrue="1"/>
    <cfRule type="duplicateValues" dxfId="2646" priority="996" stopIfTrue="1"/>
    <cfRule type="duplicateValues" dxfId="2645" priority="997" stopIfTrue="1"/>
    <cfRule type="duplicateValues" dxfId="2644" priority="998" stopIfTrue="1"/>
    <cfRule type="duplicateValues" dxfId="2643" priority="999" stopIfTrue="1"/>
    <cfRule type="duplicateValues" dxfId="2642" priority="1000" stopIfTrue="1"/>
    <cfRule type="duplicateValues" dxfId="2641" priority="1001" stopIfTrue="1"/>
    <cfRule type="duplicateValues" dxfId="2640" priority="1002" stopIfTrue="1"/>
    <cfRule type="duplicateValues" dxfId="2639" priority="1003" stopIfTrue="1"/>
    <cfRule type="duplicateValues" dxfId="2638" priority="1004" stopIfTrue="1"/>
    <cfRule type="duplicateValues" dxfId="2637" priority="1005" stopIfTrue="1"/>
    <cfRule type="duplicateValues" dxfId="2636" priority="1006" stopIfTrue="1"/>
    <cfRule type="duplicateValues" dxfId="2635" priority="1007" stopIfTrue="1"/>
    <cfRule type="duplicateValues" dxfId="2634" priority="1008" stopIfTrue="1"/>
    <cfRule type="duplicateValues" dxfId="2633" priority="1009" stopIfTrue="1"/>
    <cfRule type="duplicateValues" dxfId="2632" priority="1010" stopIfTrue="1"/>
    <cfRule type="duplicateValues" dxfId="2631" priority="1011" stopIfTrue="1"/>
    <cfRule type="duplicateValues" dxfId="2630" priority="1012" stopIfTrue="1"/>
    <cfRule type="duplicateValues" dxfId="2629" priority="1013" stopIfTrue="1"/>
    <cfRule type="duplicateValues" dxfId="2628" priority="1014" stopIfTrue="1"/>
    <cfRule type="duplicateValues" dxfId="2627" priority="1015" stopIfTrue="1"/>
    <cfRule type="duplicateValues" dxfId="2626" priority="1016" stopIfTrue="1"/>
    <cfRule type="duplicateValues" dxfId="2625" priority="1017" stopIfTrue="1"/>
    <cfRule type="duplicateValues" dxfId="2624" priority="1018" stopIfTrue="1"/>
    <cfRule type="duplicateValues" dxfId="2623" priority="1019" stopIfTrue="1"/>
    <cfRule type="duplicateValues" dxfId="2622" priority="1020" stopIfTrue="1"/>
    <cfRule type="duplicateValues" dxfId="2621" priority="1021" stopIfTrue="1"/>
    <cfRule type="duplicateValues" dxfId="2620" priority="1022" stopIfTrue="1"/>
    <cfRule type="duplicateValues" dxfId="2619" priority="1023" stopIfTrue="1"/>
    <cfRule type="duplicateValues" dxfId="2618" priority="1024" stopIfTrue="1"/>
    <cfRule type="duplicateValues" dxfId="2617" priority="1025" stopIfTrue="1"/>
    <cfRule type="duplicateValues" dxfId="2616" priority="1026" stopIfTrue="1"/>
    <cfRule type="duplicateValues" dxfId="2615" priority="1027" stopIfTrue="1"/>
    <cfRule type="duplicateValues" dxfId="2614" priority="1028" stopIfTrue="1"/>
    <cfRule type="duplicateValues" dxfId="2613" priority="1029" stopIfTrue="1"/>
    <cfRule type="duplicateValues" dxfId="2612" priority="1030" stopIfTrue="1"/>
    <cfRule type="duplicateValues" dxfId="2611" priority="1031" stopIfTrue="1"/>
    <cfRule type="duplicateValues" dxfId="2610" priority="1032" stopIfTrue="1"/>
    <cfRule type="duplicateValues" dxfId="2609" priority="1033" stopIfTrue="1"/>
    <cfRule type="duplicateValues" dxfId="2608" priority="1034" stopIfTrue="1"/>
    <cfRule type="duplicateValues" dxfId="2607" priority="1035" stopIfTrue="1"/>
    <cfRule type="duplicateValues" dxfId="2606" priority="1036" stopIfTrue="1"/>
    <cfRule type="duplicateValues" dxfId="2605" priority="1037" stopIfTrue="1"/>
    <cfRule type="duplicateValues" dxfId="2604" priority="1038" stopIfTrue="1"/>
    <cfRule type="duplicateValues" dxfId="2603" priority="1039" stopIfTrue="1"/>
    <cfRule type="duplicateValues" dxfId="2602" priority="1040" stopIfTrue="1"/>
    <cfRule type="duplicateValues" dxfId="2601" priority="1041" stopIfTrue="1"/>
    <cfRule type="duplicateValues" dxfId="2600" priority="1042" stopIfTrue="1"/>
    <cfRule type="duplicateValues" dxfId="2599" priority="1043" stopIfTrue="1"/>
    <cfRule type="duplicateValues" dxfId="2598" priority="1044" stopIfTrue="1"/>
    <cfRule type="duplicateValues" dxfId="2597" priority="1045" stopIfTrue="1"/>
    <cfRule type="duplicateValues" dxfId="2596" priority="1046" stopIfTrue="1"/>
  </conditionalFormatting>
  <conditionalFormatting sqref="D22">
    <cfRule type="duplicateValues" dxfId="2595" priority="895" stopIfTrue="1"/>
    <cfRule type="duplicateValues" dxfId="2594" priority="896" stopIfTrue="1"/>
    <cfRule type="duplicateValues" dxfId="2593" priority="897" stopIfTrue="1"/>
    <cfRule type="duplicateValues" dxfId="2592" priority="898" stopIfTrue="1"/>
    <cfRule type="duplicateValues" dxfId="2591" priority="899" stopIfTrue="1"/>
    <cfRule type="duplicateValues" dxfId="2590" priority="900" stopIfTrue="1"/>
    <cfRule type="duplicateValues" dxfId="2589" priority="901" stopIfTrue="1"/>
    <cfRule type="duplicateValues" dxfId="2588" priority="902" stopIfTrue="1"/>
    <cfRule type="duplicateValues" dxfId="2587" priority="903" stopIfTrue="1"/>
    <cfRule type="duplicateValues" dxfId="2586" priority="904" stopIfTrue="1"/>
    <cfRule type="duplicateValues" dxfId="2585" priority="905" stopIfTrue="1"/>
    <cfRule type="duplicateValues" dxfId="2584" priority="906" stopIfTrue="1"/>
    <cfRule type="duplicateValues" dxfId="2583" priority="907" stopIfTrue="1"/>
    <cfRule type="duplicateValues" dxfId="2582" priority="908" stopIfTrue="1"/>
    <cfRule type="duplicateValues" dxfId="2581" priority="909" stopIfTrue="1"/>
    <cfRule type="duplicateValues" dxfId="2580" priority="910" stopIfTrue="1"/>
    <cfRule type="duplicateValues" dxfId="2579" priority="911" stopIfTrue="1"/>
    <cfRule type="duplicateValues" dxfId="2578" priority="912" stopIfTrue="1"/>
    <cfRule type="duplicateValues" dxfId="2577" priority="913" stopIfTrue="1"/>
    <cfRule type="duplicateValues" dxfId="2576" priority="914" stopIfTrue="1"/>
    <cfRule type="duplicateValues" dxfId="2575" priority="915" stopIfTrue="1"/>
    <cfRule type="duplicateValues" dxfId="2574" priority="916" stopIfTrue="1"/>
    <cfRule type="duplicateValues" dxfId="2573" priority="917" stopIfTrue="1"/>
    <cfRule type="duplicateValues" dxfId="2572" priority="918" stopIfTrue="1"/>
    <cfRule type="duplicateValues" dxfId="2571" priority="919" stopIfTrue="1"/>
    <cfRule type="duplicateValues" dxfId="2570" priority="920" stopIfTrue="1"/>
    <cfRule type="duplicateValues" dxfId="2569" priority="921" stopIfTrue="1"/>
    <cfRule type="duplicateValues" dxfId="2568" priority="922" stopIfTrue="1"/>
    <cfRule type="duplicateValues" dxfId="2567" priority="923" stopIfTrue="1"/>
    <cfRule type="duplicateValues" dxfId="2566" priority="924" stopIfTrue="1"/>
    <cfRule type="duplicateValues" dxfId="2565" priority="925" stopIfTrue="1"/>
    <cfRule type="duplicateValues" dxfId="2564" priority="926" stopIfTrue="1"/>
    <cfRule type="duplicateValues" dxfId="2563" priority="927" stopIfTrue="1"/>
    <cfRule type="duplicateValues" dxfId="2562" priority="928" stopIfTrue="1"/>
    <cfRule type="duplicateValues" dxfId="2561" priority="929" stopIfTrue="1"/>
    <cfRule type="duplicateValues" dxfId="2560" priority="930" stopIfTrue="1"/>
    <cfRule type="duplicateValues" dxfId="2559" priority="931" stopIfTrue="1"/>
    <cfRule type="duplicateValues" dxfId="2558" priority="932" stopIfTrue="1"/>
    <cfRule type="duplicateValues" dxfId="2557" priority="933" stopIfTrue="1"/>
    <cfRule type="duplicateValues" dxfId="2556" priority="934" stopIfTrue="1"/>
    <cfRule type="duplicateValues" dxfId="2555" priority="935" stopIfTrue="1"/>
    <cfRule type="duplicateValues" dxfId="2554" priority="936" stopIfTrue="1"/>
    <cfRule type="duplicateValues" dxfId="2553" priority="937" stopIfTrue="1"/>
    <cfRule type="duplicateValues" dxfId="2552" priority="938" stopIfTrue="1"/>
    <cfRule type="duplicateValues" dxfId="2551" priority="939" stopIfTrue="1"/>
    <cfRule type="duplicateValues" dxfId="2550" priority="940" stopIfTrue="1"/>
    <cfRule type="duplicateValues" dxfId="2549" priority="941" stopIfTrue="1"/>
    <cfRule type="duplicateValues" dxfId="2548" priority="942" stopIfTrue="1"/>
    <cfRule type="duplicateValues" dxfId="2547" priority="943" stopIfTrue="1"/>
    <cfRule type="duplicateValues" dxfId="2546" priority="944" stopIfTrue="1"/>
    <cfRule type="duplicateValues" dxfId="2545" priority="945" stopIfTrue="1"/>
    <cfRule type="duplicateValues" dxfId="2544" priority="946" stopIfTrue="1"/>
    <cfRule type="duplicateValues" dxfId="2543" priority="947" stopIfTrue="1"/>
    <cfRule type="duplicateValues" dxfId="2542" priority="948" stopIfTrue="1"/>
    <cfRule type="duplicateValues" dxfId="2541" priority="949" stopIfTrue="1"/>
    <cfRule type="duplicateValues" dxfId="2540" priority="950" stopIfTrue="1"/>
    <cfRule type="duplicateValues" dxfId="2539" priority="951" stopIfTrue="1"/>
    <cfRule type="duplicateValues" dxfId="2538" priority="952" stopIfTrue="1"/>
    <cfRule type="duplicateValues" dxfId="2537" priority="953" stopIfTrue="1"/>
    <cfRule type="duplicateValues" dxfId="2536" priority="954" stopIfTrue="1"/>
    <cfRule type="duplicateValues" dxfId="2535" priority="955" stopIfTrue="1"/>
    <cfRule type="duplicateValues" dxfId="2534" priority="956" stopIfTrue="1"/>
    <cfRule type="duplicateValues" dxfId="2533" priority="957" stopIfTrue="1"/>
    <cfRule type="duplicateValues" dxfId="2532" priority="958" stopIfTrue="1"/>
    <cfRule type="duplicateValues" dxfId="2531" priority="959" stopIfTrue="1"/>
    <cfRule type="duplicateValues" dxfId="2530" priority="960" stopIfTrue="1"/>
    <cfRule type="duplicateValues" dxfId="2529" priority="961" stopIfTrue="1"/>
    <cfRule type="duplicateValues" dxfId="2528" priority="962" stopIfTrue="1"/>
    <cfRule type="duplicateValues" dxfId="2527" priority="963" stopIfTrue="1"/>
    <cfRule type="duplicateValues" dxfId="2526" priority="964" stopIfTrue="1"/>
    <cfRule type="duplicateValues" dxfId="2525" priority="965" stopIfTrue="1"/>
    <cfRule type="duplicateValues" dxfId="2524" priority="966" stopIfTrue="1"/>
    <cfRule type="duplicateValues" dxfId="2523" priority="967" stopIfTrue="1"/>
    <cfRule type="duplicateValues" dxfId="2522" priority="968" stopIfTrue="1"/>
    <cfRule type="duplicateValues" dxfId="2521" priority="969" stopIfTrue="1"/>
    <cfRule type="duplicateValues" dxfId="2520" priority="970" stopIfTrue="1"/>
  </conditionalFormatting>
  <conditionalFormatting sqref="D24">
    <cfRule type="duplicateValues" dxfId="2519" priority="819" stopIfTrue="1"/>
    <cfRule type="duplicateValues" dxfId="2518" priority="820" stopIfTrue="1"/>
    <cfRule type="duplicateValues" dxfId="2517" priority="821" stopIfTrue="1"/>
    <cfRule type="duplicateValues" dxfId="2516" priority="822" stopIfTrue="1"/>
    <cfRule type="duplicateValues" dxfId="2515" priority="823" stopIfTrue="1"/>
    <cfRule type="duplicateValues" dxfId="2514" priority="824" stopIfTrue="1"/>
    <cfRule type="duplicateValues" dxfId="2513" priority="825" stopIfTrue="1"/>
    <cfRule type="duplicateValues" dxfId="2512" priority="826" stopIfTrue="1"/>
    <cfRule type="duplicateValues" dxfId="2511" priority="827" stopIfTrue="1"/>
    <cfRule type="duplicateValues" dxfId="2510" priority="828" stopIfTrue="1"/>
    <cfRule type="duplicateValues" dxfId="2509" priority="829" stopIfTrue="1"/>
    <cfRule type="duplicateValues" dxfId="2508" priority="830" stopIfTrue="1"/>
    <cfRule type="duplicateValues" dxfId="2507" priority="831" stopIfTrue="1"/>
    <cfRule type="duplicateValues" dxfId="2506" priority="832" stopIfTrue="1"/>
    <cfRule type="duplicateValues" dxfId="2505" priority="833" stopIfTrue="1"/>
    <cfRule type="duplicateValues" dxfId="2504" priority="834" stopIfTrue="1"/>
    <cfRule type="duplicateValues" dxfId="2503" priority="835" stopIfTrue="1"/>
    <cfRule type="duplicateValues" dxfId="2502" priority="836" stopIfTrue="1"/>
    <cfRule type="duplicateValues" dxfId="2501" priority="837" stopIfTrue="1"/>
    <cfRule type="duplicateValues" dxfId="2500" priority="838" stopIfTrue="1"/>
    <cfRule type="duplicateValues" dxfId="2499" priority="839" stopIfTrue="1"/>
    <cfRule type="duplicateValues" dxfId="2498" priority="840" stopIfTrue="1"/>
    <cfRule type="duplicateValues" dxfId="2497" priority="841" stopIfTrue="1"/>
    <cfRule type="duplicateValues" dxfId="2496" priority="842" stopIfTrue="1"/>
    <cfRule type="duplicateValues" dxfId="2495" priority="843" stopIfTrue="1"/>
    <cfRule type="duplicateValues" dxfId="2494" priority="844" stopIfTrue="1"/>
    <cfRule type="duplicateValues" dxfId="2493" priority="845" stopIfTrue="1"/>
    <cfRule type="duplicateValues" dxfId="2492" priority="846" stopIfTrue="1"/>
    <cfRule type="duplicateValues" dxfId="2491" priority="847" stopIfTrue="1"/>
    <cfRule type="duplicateValues" dxfId="2490" priority="848" stopIfTrue="1"/>
    <cfRule type="duplicateValues" dxfId="2489" priority="849" stopIfTrue="1"/>
    <cfRule type="duplicateValues" dxfId="2488" priority="850" stopIfTrue="1"/>
    <cfRule type="duplicateValues" dxfId="2487" priority="851" stopIfTrue="1"/>
    <cfRule type="duplicateValues" dxfId="2486" priority="852" stopIfTrue="1"/>
    <cfRule type="duplicateValues" dxfId="2485" priority="853" stopIfTrue="1"/>
    <cfRule type="duplicateValues" dxfId="2484" priority="854" stopIfTrue="1"/>
    <cfRule type="duplicateValues" dxfId="2483" priority="855" stopIfTrue="1"/>
    <cfRule type="duplicateValues" dxfId="2482" priority="856" stopIfTrue="1"/>
    <cfRule type="duplicateValues" dxfId="2481" priority="857" stopIfTrue="1"/>
    <cfRule type="duplicateValues" dxfId="2480" priority="858" stopIfTrue="1"/>
    <cfRule type="duplicateValues" dxfId="2479" priority="859" stopIfTrue="1"/>
    <cfRule type="duplicateValues" dxfId="2478" priority="860" stopIfTrue="1"/>
    <cfRule type="duplicateValues" dxfId="2477" priority="861" stopIfTrue="1"/>
    <cfRule type="duplicateValues" dxfId="2476" priority="862" stopIfTrue="1"/>
    <cfRule type="duplicateValues" dxfId="2475" priority="863" stopIfTrue="1"/>
    <cfRule type="duplicateValues" dxfId="2474" priority="864" stopIfTrue="1"/>
    <cfRule type="duplicateValues" dxfId="2473" priority="865" stopIfTrue="1"/>
    <cfRule type="duplicateValues" dxfId="2472" priority="866" stopIfTrue="1"/>
    <cfRule type="duplicateValues" dxfId="2471" priority="867" stopIfTrue="1"/>
    <cfRule type="duplicateValues" dxfId="2470" priority="868" stopIfTrue="1"/>
    <cfRule type="duplicateValues" dxfId="2469" priority="869" stopIfTrue="1"/>
    <cfRule type="duplicateValues" dxfId="2468" priority="870" stopIfTrue="1"/>
    <cfRule type="duplicateValues" dxfId="2467" priority="871" stopIfTrue="1"/>
    <cfRule type="duplicateValues" dxfId="2466" priority="872" stopIfTrue="1"/>
    <cfRule type="duplicateValues" dxfId="2465" priority="873" stopIfTrue="1"/>
    <cfRule type="duplicateValues" dxfId="2464" priority="874" stopIfTrue="1"/>
    <cfRule type="duplicateValues" dxfId="2463" priority="875" stopIfTrue="1"/>
    <cfRule type="duplicateValues" dxfId="2462" priority="876" stopIfTrue="1"/>
    <cfRule type="duplicateValues" dxfId="2461" priority="877" stopIfTrue="1"/>
    <cfRule type="duplicateValues" dxfId="2460" priority="878" stopIfTrue="1"/>
    <cfRule type="duplicateValues" dxfId="2459" priority="879" stopIfTrue="1"/>
    <cfRule type="duplicateValues" dxfId="2458" priority="880" stopIfTrue="1"/>
    <cfRule type="duplicateValues" dxfId="2457" priority="881" stopIfTrue="1"/>
    <cfRule type="duplicateValues" dxfId="2456" priority="882" stopIfTrue="1"/>
    <cfRule type="duplicateValues" dxfId="2455" priority="883" stopIfTrue="1"/>
    <cfRule type="duplicateValues" dxfId="2454" priority="884" stopIfTrue="1"/>
    <cfRule type="duplicateValues" dxfId="2453" priority="885" stopIfTrue="1"/>
    <cfRule type="duplicateValues" dxfId="2452" priority="886" stopIfTrue="1"/>
    <cfRule type="duplicateValues" dxfId="2451" priority="887" stopIfTrue="1"/>
    <cfRule type="duplicateValues" dxfId="2450" priority="888" stopIfTrue="1"/>
    <cfRule type="duplicateValues" dxfId="2449" priority="889" stopIfTrue="1"/>
    <cfRule type="duplicateValues" dxfId="2448" priority="890" stopIfTrue="1"/>
    <cfRule type="duplicateValues" dxfId="2447" priority="891" stopIfTrue="1"/>
    <cfRule type="duplicateValues" dxfId="2446" priority="892" stopIfTrue="1"/>
    <cfRule type="duplicateValues" dxfId="2445" priority="893" stopIfTrue="1"/>
    <cfRule type="duplicateValues" dxfId="2444" priority="894" stopIfTrue="1"/>
  </conditionalFormatting>
  <conditionalFormatting sqref="D25">
    <cfRule type="duplicateValues" dxfId="2443" priority="743" stopIfTrue="1"/>
    <cfRule type="duplicateValues" dxfId="2442" priority="744" stopIfTrue="1"/>
    <cfRule type="duplicateValues" dxfId="2441" priority="745" stopIfTrue="1"/>
    <cfRule type="duplicateValues" dxfId="2440" priority="746" stopIfTrue="1"/>
    <cfRule type="duplicateValues" dxfId="2439" priority="747" stopIfTrue="1"/>
    <cfRule type="duplicateValues" dxfId="2438" priority="748" stopIfTrue="1"/>
    <cfRule type="duplicateValues" dxfId="2437" priority="749" stopIfTrue="1"/>
    <cfRule type="duplicateValues" dxfId="2436" priority="750" stopIfTrue="1"/>
    <cfRule type="duplicateValues" dxfId="2435" priority="751" stopIfTrue="1"/>
    <cfRule type="duplicateValues" dxfId="2434" priority="752" stopIfTrue="1"/>
    <cfRule type="duplicateValues" dxfId="2433" priority="753" stopIfTrue="1"/>
    <cfRule type="duplicateValues" dxfId="2432" priority="754" stopIfTrue="1"/>
    <cfRule type="duplicateValues" dxfId="2431" priority="755" stopIfTrue="1"/>
    <cfRule type="duplicateValues" dxfId="2430" priority="756" stopIfTrue="1"/>
    <cfRule type="duplicateValues" dxfId="2429" priority="757" stopIfTrue="1"/>
    <cfRule type="duplicateValues" dxfId="2428" priority="758" stopIfTrue="1"/>
    <cfRule type="duplicateValues" dxfId="2427" priority="759" stopIfTrue="1"/>
    <cfRule type="duplicateValues" dxfId="2426" priority="760" stopIfTrue="1"/>
    <cfRule type="duplicateValues" dxfId="2425" priority="761" stopIfTrue="1"/>
    <cfRule type="duplicateValues" dxfId="2424" priority="762" stopIfTrue="1"/>
    <cfRule type="duplicateValues" dxfId="2423" priority="763" stopIfTrue="1"/>
    <cfRule type="duplicateValues" dxfId="2422" priority="764" stopIfTrue="1"/>
    <cfRule type="duplicateValues" dxfId="2421" priority="765" stopIfTrue="1"/>
    <cfRule type="duplicateValues" dxfId="2420" priority="766" stopIfTrue="1"/>
    <cfRule type="duplicateValues" dxfId="2419" priority="767" stopIfTrue="1"/>
    <cfRule type="duplicateValues" dxfId="2418" priority="768" stopIfTrue="1"/>
    <cfRule type="duplicateValues" dxfId="2417" priority="769" stopIfTrue="1"/>
    <cfRule type="duplicateValues" dxfId="2416" priority="770" stopIfTrue="1"/>
    <cfRule type="duplicateValues" dxfId="2415" priority="771" stopIfTrue="1"/>
    <cfRule type="duplicateValues" dxfId="2414" priority="772" stopIfTrue="1"/>
    <cfRule type="duplicateValues" dxfId="2413" priority="773" stopIfTrue="1"/>
    <cfRule type="duplicateValues" dxfId="2412" priority="774" stopIfTrue="1"/>
    <cfRule type="duplicateValues" dxfId="2411" priority="775" stopIfTrue="1"/>
    <cfRule type="duplicateValues" dxfId="2410" priority="776" stopIfTrue="1"/>
    <cfRule type="duplicateValues" dxfId="2409" priority="777" stopIfTrue="1"/>
    <cfRule type="duplicateValues" dxfId="2408" priority="778" stopIfTrue="1"/>
    <cfRule type="duplicateValues" dxfId="2407" priority="779" stopIfTrue="1"/>
    <cfRule type="duplicateValues" dxfId="2406" priority="780" stopIfTrue="1"/>
    <cfRule type="duplicateValues" dxfId="2405" priority="781" stopIfTrue="1"/>
    <cfRule type="duplicateValues" dxfId="2404" priority="782" stopIfTrue="1"/>
    <cfRule type="duplicateValues" dxfId="2403" priority="783" stopIfTrue="1"/>
    <cfRule type="duplicateValues" dxfId="2402" priority="784" stopIfTrue="1"/>
    <cfRule type="duplicateValues" dxfId="2401" priority="785" stopIfTrue="1"/>
    <cfRule type="duplicateValues" dxfId="2400" priority="786" stopIfTrue="1"/>
    <cfRule type="duplicateValues" dxfId="2399" priority="787" stopIfTrue="1"/>
    <cfRule type="duplicateValues" dxfId="2398" priority="788" stopIfTrue="1"/>
    <cfRule type="duplicateValues" dxfId="2397" priority="789" stopIfTrue="1"/>
    <cfRule type="duplicateValues" dxfId="2396" priority="790" stopIfTrue="1"/>
    <cfRule type="duplicateValues" dxfId="2395" priority="791" stopIfTrue="1"/>
    <cfRule type="duplicateValues" dxfId="2394" priority="792" stopIfTrue="1"/>
    <cfRule type="duplicateValues" dxfId="2393" priority="793" stopIfTrue="1"/>
    <cfRule type="duplicateValues" dxfId="2392" priority="794" stopIfTrue="1"/>
    <cfRule type="duplicateValues" dxfId="2391" priority="795" stopIfTrue="1"/>
    <cfRule type="duplicateValues" dxfId="2390" priority="796" stopIfTrue="1"/>
    <cfRule type="duplicateValues" dxfId="2389" priority="797" stopIfTrue="1"/>
    <cfRule type="duplicateValues" dxfId="2388" priority="798" stopIfTrue="1"/>
    <cfRule type="duplicateValues" dxfId="2387" priority="799" stopIfTrue="1"/>
    <cfRule type="duplicateValues" dxfId="2386" priority="800" stopIfTrue="1"/>
    <cfRule type="duplicateValues" dxfId="2385" priority="801" stopIfTrue="1"/>
    <cfRule type="duplicateValues" dxfId="2384" priority="802" stopIfTrue="1"/>
    <cfRule type="duplicateValues" dxfId="2383" priority="803" stopIfTrue="1"/>
    <cfRule type="duplicateValues" dxfId="2382" priority="804" stopIfTrue="1"/>
    <cfRule type="duplicateValues" dxfId="2381" priority="805" stopIfTrue="1"/>
    <cfRule type="duplicateValues" dxfId="2380" priority="806" stopIfTrue="1"/>
    <cfRule type="duplicateValues" dxfId="2379" priority="807" stopIfTrue="1"/>
    <cfRule type="duplicateValues" dxfId="2378" priority="808" stopIfTrue="1"/>
    <cfRule type="duplicateValues" dxfId="2377" priority="809" stopIfTrue="1"/>
    <cfRule type="duplicateValues" dxfId="2376" priority="810" stopIfTrue="1"/>
    <cfRule type="duplicateValues" dxfId="2375" priority="811" stopIfTrue="1"/>
    <cfRule type="duplicateValues" dxfId="2374" priority="812" stopIfTrue="1"/>
    <cfRule type="duplicateValues" dxfId="2373" priority="813" stopIfTrue="1"/>
    <cfRule type="duplicateValues" dxfId="2372" priority="814" stopIfTrue="1"/>
    <cfRule type="duplicateValues" dxfId="2371" priority="815" stopIfTrue="1"/>
    <cfRule type="duplicateValues" dxfId="2370" priority="816" stopIfTrue="1"/>
    <cfRule type="duplicateValues" dxfId="2369" priority="817" stopIfTrue="1"/>
    <cfRule type="duplicateValues" dxfId="2368" priority="818" stopIfTrue="1"/>
  </conditionalFormatting>
  <conditionalFormatting sqref="D26">
    <cfRule type="duplicateValues" dxfId="2367" priority="739" stopIfTrue="1"/>
    <cfRule type="duplicateValues" dxfId="2366" priority="740" stopIfTrue="1"/>
    <cfRule type="duplicateValues" dxfId="2365" priority="741" stopIfTrue="1"/>
    <cfRule type="duplicateValues" dxfId="2364" priority="742" stopIfTrue="1"/>
  </conditionalFormatting>
  <conditionalFormatting sqref="D27">
    <cfRule type="duplicateValues" dxfId="2363" priority="735" stopIfTrue="1"/>
    <cfRule type="duplicateValues" dxfId="2362" priority="736" stopIfTrue="1"/>
    <cfRule type="duplicateValues" dxfId="2361" priority="737" stopIfTrue="1"/>
    <cfRule type="duplicateValues" dxfId="2360" priority="738" stopIfTrue="1"/>
  </conditionalFormatting>
  <conditionalFormatting sqref="D28">
    <cfRule type="duplicateValues" dxfId="2359" priority="731" stopIfTrue="1"/>
    <cfRule type="duplicateValues" dxfId="2358" priority="732" stopIfTrue="1"/>
    <cfRule type="duplicateValues" dxfId="2357" priority="733" stopIfTrue="1"/>
    <cfRule type="duplicateValues" dxfId="2356" priority="734" stopIfTrue="1"/>
  </conditionalFormatting>
  <conditionalFormatting sqref="D29">
    <cfRule type="duplicateValues" dxfId="2355" priority="723" stopIfTrue="1"/>
    <cfRule type="duplicateValues" dxfId="2354" priority="724" stopIfTrue="1"/>
    <cfRule type="duplicateValues" dxfId="2353" priority="725" stopIfTrue="1"/>
    <cfRule type="duplicateValues" dxfId="2352" priority="726" stopIfTrue="1"/>
    <cfRule type="duplicateValues" dxfId="2351" priority="727" stopIfTrue="1"/>
    <cfRule type="duplicateValues" dxfId="2350" priority="728" stopIfTrue="1"/>
    <cfRule type="duplicateValues" dxfId="2349" priority="729" stopIfTrue="1"/>
    <cfRule type="duplicateValues" dxfId="2348" priority="730" stopIfTrue="1"/>
  </conditionalFormatting>
  <conditionalFormatting sqref="D30">
    <cfRule type="duplicateValues" dxfId="2347" priority="715" stopIfTrue="1"/>
    <cfRule type="duplicateValues" dxfId="2346" priority="716" stopIfTrue="1"/>
    <cfRule type="duplicateValues" dxfId="2345" priority="717" stopIfTrue="1"/>
    <cfRule type="duplicateValues" dxfId="2344" priority="718" stopIfTrue="1"/>
    <cfRule type="duplicateValues" dxfId="2343" priority="719" stopIfTrue="1"/>
    <cfRule type="duplicateValues" dxfId="2342" priority="720" stopIfTrue="1"/>
    <cfRule type="duplicateValues" dxfId="2341" priority="721" stopIfTrue="1"/>
    <cfRule type="duplicateValues" dxfId="2340" priority="722" stopIfTrue="1"/>
  </conditionalFormatting>
  <conditionalFormatting sqref="D31">
    <cfRule type="duplicateValues" dxfId="2339" priority="703" stopIfTrue="1"/>
    <cfRule type="duplicateValues" dxfId="2338" priority="704" stopIfTrue="1"/>
    <cfRule type="duplicateValues" dxfId="2337" priority="705" stopIfTrue="1"/>
    <cfRule type="duplicateValues" dxfId="2336" priority="706" stopIfTrue="1"/>
    <cfRule type="duplicateValues" dxfId="2335" priority="707" stopIfTrue="1"/>
    <cfRule type="duplicateValues" dxfId="2334" priority="708" stopIfTrue="1"/>
    <cfRule type="duplicateValues" dxfId="2333" priority="709" stopIfTrue="1"/>
    <cfRule type="duplicateValues" dxfId="2332" priority="710" stopIfTrue="1"/>
    <cfRule type="duplicateValues" dxfId="2331" priority="711" stopIfTrue="1"/>
    <cfRule type="duplicateValues" dxfId="2330" priority="712" stopIfTrue="1"/>
    <cfRule type="duplicateValues" dxfId="2329" priority="713" stopIfTrue="1"/>
    <cfRule type="duplicateValues" dxfId="2328" priority="714" stopIfTrue="1"/>
  </conditionalFormatting>
  <conditionalFormatting sqref="D32">
    <cfRule type="duplicateValues" dxfId="2327" priority="691" stopIfTrue="1"/>
    <cfRule type="duplicateValues" dxfId="2326" priority="692" stopIfTrue="1"/>
    <cfRule type="duplicateValues" dxfId="2325" priority="693" stopIfTrue="1"/>
    <cfRule type="duplicateValues" dxfId="2324" priority="694" stopIfTrue="1"/>
    <cfRule type="duplicateValues" dxfId="2323" priority="695" stopIfTrue="1"/>
    <cfRule type="duplicateValues" dxfId="2322" priority="696" stopIfTrue="1"/>
    <cfRule type="duplicateValues" dxfId="2321" priority="697" stopIfTrue="1"/>
    <cfRule type="duplicateValues" dxfId="2320" priority="698" stopIfTrue="1"/>
    <cfRule type="duplicateValues" dxfId="2319" priority="699" stopIfTrue="1"/>
    <cfRule type="duplicateValues" dxfId="2318" priority="700" stopIfTrue="1"/>
    <cfRule type="duplicateValues" dxfId="2317" priority="701" stopIfTrue="1"/>
    <cfRule type="duplicateValues" dxfId="2316" priority="702" stopIfTrue="1"/>
  </conditionalFormatting>
  <conditionalFormatting sqref="D33">
    <cfRule type="duplicateValues" dxfId="2315" priority="675" stopIfTrue="1"/>
    <cfRule type="duplicateValues" dxfId="2314" priority="676" stopIfTrue="1"/>
    <cfRule type="duplicateValues" dxfId="2313" priority="677" stopIfTrue="1"/>
    <cfRule type="duplicateValues" dxfId="2312" priority="678" stopIfTrue="1"/>
    <cfRule type="duplicateValues" dxfId="2311" priority="679" stopIfTrue="1"/>
    <cfRule type="duplicateValues" dxfId="2310" priority="680" stopIfTrue="1"/>
    <cfRule type="duplicateValues" dxfId="2309" priority="681" stopIfTrue="1"/>
    <cfRule type="duplicateValues" dxfId="2308" priority="682" stopIfTrue="1"/>
    <cfRule type="duplicateValues" dxfId="2307" priority="683" stopIfTrue="1"/>
    <cfRule type="duplicateValues" dxfId="2306" priority="684" stopIfTrue="1"/>
    <cfRule type="duplicateValues" dxfId="2305" priority="685" stopIfTrue="1"/>
    <cfRule type="duplicateValues" dxfId="2304" priority="686" stopIfTrue="1"/>
    <cfRule type="duplicateValues" dxfId="2303" priority="687" stopIfTrue="1"/>
    <cfRule type="duplicateValues" dxfId="2302" priority="688" stopIfTrue="1"/>
    <cfRule type="duplicateValues" dxfId="2301" priority="689" stopIfTrue="1"/>
    <cfRule type="duplicateValues" dxfId="2300" priority="690"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56" stopIfTrue="1"/>
    <cfRule type="duplicateValues" dxfId="2291" priority="657" stopIfTrue="1"/>
    <cfRule type="duplicateValues" dxfId="2290" priority="658" stopIfTrue="1"/>
    <cfRule type="expression" dxfId="2289" priority="659" stopIfTrue="1">
      <formula>IF(#REF!="TEN",TRUE,FALSE)</formula>
    </cfRule>
    <cfRule type="duplicateValues" dxfId="2288" priority="661" stopIfTrue="1"/>
    <cfRule type="duplicateValues" dxfId="2287" priority="662" stopIfTrue="1"/>
    <cfRule type="duplicateValues" dxfId="2286" priority="663" stopIfTrue="1"/>
  </conditionalFormatting>
  <conditionalFormatting sqref="D63">
    <cfRule type="duplicateValues" dxfId="2285" priority="642" stopIfTrue="1"/>
    <cfRule type="duplicateValues" dxfId="2284" priority="643" stopIfTrue="1"/>
    <cfRule type="duplicateValues" dxfId="2283" priority="644" stopIfTrue="1"/>
    <cfRule type="expression" dxfId="2282" priority="645" stopIfTrue="1">
      <formula>IF(#REF!="TEN",TRUE,FALSE)</formula>
    </cfRule>
    <cfRule type="duplicateValues" dxfId="2281" priority="647" stopIfTrue="1"/>
    <cfRule type="duplicateValues" dxfId="2280" priority="648" stopIfTrue="1"/>
    <cfRule type="duplicateValues" dxfId="2279" priority="649" stopIfTrue="1"/>
    <cfRule type="duplicateValues" dxfId="2278" priority="650" stopIfTrue="1"/>
    <cfRule type="duplicateValues" dxfId="2277" priority="651" stopIfTrue="1"/>
    <cfRule type="duplicateValues" dxfId="2276" priority="652" stopIfTrue="1"/>
    <cfRule type="duplicateValues" dxfId="2275" priority="653" stopIfTrue="1"/>
  </conditionalFormatting>
  <conditionalFormatting sqref="D64">
    <cfRule type="expression" dxfId="2274" priority="608" stopIfTrue="1">
      <formula>IF(#REF!="TEN",TRUE,FALSE)</formula>
    </cfRule>
    <cfRule type="duplicateValues" dxfId="2273" priority="610" stopIfTrue="1"/>
    <cfRule type="duplicateValues" dxfId="2272" priority="611" stopIfTrue="1"/>
    <cfRule type="duplicateValues" dxfId="2271" priority="612" stopIfTrue="1"/>
    <cfRule type="expression" dxfId="2270" priority="613" stopIfTrue="1">
      <formula>IF(#REF!="TEN",TRUE,FALSE)</formula>
    </cfRule>
    <cfRule type="duplicateValues" dxfId="2269" priority="615" stopIfTrue="1"/>
    <cfRule type="duplicateValues" dxfId="2268" priority="616" stopIfTrue="1"/>
    <cfRule type="duplicateValues" dxfId="2267" priority="617" stopIfTrue="1"/>
    <cfRule type="duplicateValues" dxfId="2266" priority="618" stopIfTrue="1"/>
    <cfRule type="duplicateValues" dxfId="2265" priority="619" stopIfTrue="1"/>
    <cfRule type="duplicateValues" dxfId="2264" priority="620" stopIfTrue="1"/>
    <cfRule type="duplicateValues" dxfId="2263" priority="621" stopIfTrue="1"/>
    <cfRule type="duplicateValues" dxfId="2262" priority="624" stopIfTrue="1"/>
    <cfRule type="duplicateValues" dxfId="2261" priority="625" stopIfTrue="1"/>
    <cfRule type="duplicateValues" dxfId="2260" priority="626" stopIfTrue="1"/>
    <cfRule type="expression" dxfId="2259" priority="627" stopIfTrue="1">
      <formula>IF(#REF!="TEN",TRUE,FALSE)</formula>
    </cfRule>
    <cfRule type="duplicateValues" dxfId="2258" priority="629" stopIfTrue="1"/>
    <cfRule type="duplicateValues" dxfId="2257" priority="630" stopIfTrue="1"/>
    <cfRule type="duplicateValues" dxfId="2256" priority="631" stopIfTrue="1"/>
    <cfRule type="duplicateValues" dxfId="2255" priority="632" stopIfTrue="1"/>
    <cfRule type="duplicateValues" dxfId="2254" priority="633" stopIfTrue="1"/>
    <cfRule type="duplicateValues" dxfId="2253" priority="634" stopIfTrue="1"/>
    <cfRule type="duplicateValues" dxfId="2252" priority="635" stopIfTrue="1"/>
    <cfRule type="duplicateValues" dxfId="2251" priority="636" stopIfTrue="1"/>
    <cfRule type="duplicateValues" dxfId="2250" priority="637" stopIfTrue="1"/>
    <cfRule type="duplicateValues" dxfId="2249" priority="638" stopIfTrue="1"/>
    <cfRule type="duplicateValues" dxfId="2248" priority="639" stopIfTrue="1"/>
  </conditionalFormatting>
  <conditionalFormatting sqref="D66">
    <cfRule type="duplicateValues" dxfId="2247" priority="604" stopIfTrue="1"/>
    <cfRule type="duplicateValues" dxfId="2246" priority="605" stopIfTrue="1"/>
    <cfRule type="duplicateValues" dxfId="2245" priority="606" stopIfTrue="1"/>
    <cfRule type="duplicateValues" dxfId="2244" priority="607" stopIfTrue="1"/>
  </conditionalFormatting>
  <conditionalFormatting sqref="D67">
    <cfRule type="duplicateValues" dxfId="2243" priority="597" stopIfTrue="1"/>
    <cfRule type="duplicateValues" dxfId="2242" priority="598" stopIfTrue="1"/>
    <cfRule type="duplicateValues" dxfId="2241" priority="599" stopIfTrue="1"/>
    <cfRule type="duplicateValues" dxfId="2240" priority="600" stopIfTrue="1"/>
    <cfRule type="duplicateValues" dxfId="2239" priority="601" stopIfTrue="1"/>
    <cfRule type="duplicateValues" dxfId="2238" priority="602" stopIfTrue="1"/>
    <cfRule type="duplicateValues" dxfId="2237" priority="603" stopIfTrue="1"/>
  </conditionalFormatting>
  <conditionalFormatting sqref="D68">
    <cfRule type="duplicateValues" dxfId="2236" priority="587" stopIfTrue="1"/>
    <cfRule type="duplicateValues" dxfId="2235" priority="588" stopIfTrue="1"/>
    <cfRule type="duplicateValues" dxfId="2234" priority="589" stopIfTrue="1"/>
    <cfRule type="duplicateValues" dxfId="2233" priority="590" stopIfTrue="1"/>
    <cfRule type="duplicateValues" dxfId="2232" priority="591" stopIfTrue="1"/>
    <cfRule type="duplicateValues" dxfId="2231" priority="592" stopIfTrue="1"/>
    <cfRule type="duplicateValues" dxfId="2230" priority="593" stopIfTrue="1"/>
    <cfRule type="duplicateValues" dxfId="2229" priority="594" stopIfTrue="1"/>
    <cfRule type="duplicateValues" dxfId="2228" priority="595" stopIfTrue="1"/>
    <cfRule type="duplicateValues" dxfId="2227" priority="596" stopIfTrue="1"/>
  </conditionalFormatting>
  <conditionalFormatting sqref="D69">
    <cfRule type="duplicateValues" dxfId="2226" priority="580" stopIfTrue="1"/>
    <cfRule type="duplicateValues" dxfId="2225" priority="581" stopIfTrue="1"/>
    <cfRule type="duplicateValues" dxfId="2224" priority="582" stopIfTrue="1"/>
    <cfRule type="duplicateValues" dxfId="2223" priority="583" stopIfTrue="1"/>
    <cfRule type="duplicateValues" dxfId="2222" priority="584" stopIfTrue="1"/>
    <cfRule type="duplicateValues" dxfId="2221" priority="585" stopIfTrue="1"/>
    <cfRule type="duplicateValues" dxfId="2220" priority="586"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2" stopIfTrue="1"/>
    <cfRule type="duplicateValues" dxfId="2215" priority="563" stopIfTrue="1"/>
    <cfRule type="duplicateValues" dxfId="2214" priority="564" stopIfTrue="1"/>
    <cfRule type="duplicateValues" dxfId="2213" priority="571" stopIfTrue="1"/>
    <cfRule type="duplicateValues" dxfId="2212" priority="572" stopIfTrue="1"/>
    <cfRule type="duplicateValues" dxfId="2211" priority="573" stopIfTrue="1"/>
    <cfRule type="duplicateValues" dxfId="2210" priority="574" stopIfTrue="1"/>
    <cfRule type="duplicateValues" dxfId="2209" priority="575" stopIfTrue="1"/>
    <cfRule type="duplicateValues" dxfId="2208" priority="576" stopIfTrue="1"/>
  </conditionalFormatting>
  <conditionalFormatting sqref="D72">
    <cfRule type="duplicateValues" dxfId="2207" priority="553" stopIfTrue="1"/>
    <cfRule type="duplicateValues" dxfId="2206" priority="554" stopIfTrue="1"/>
    <cfRule type="duplicateValues" dxfId="2205" priority="555" stopIfTrue="1"/>
    <cfRule type="duplicateValues" dxfId="2204" priority="556" stopIfTrue="1"/>
    <cfRule type="duplicateValues" dxfId="2203" priority="557" stopIfTrue="1"/>
    <cfRule type="duplicateValues" dxfId="2202" priority="558" stopIfTrue="1"/>
    <cfRule type="duplicateValues" dxfId="2201" priority="559" stopIfTrue="1"/>
    <cfRule type="duplicateValues" dxfId="2200" priority="560" stopIfTrue="1"/>
    <cfRule type="duplicateValues" dxfId="2199" priority="561" stopIfTrue="1"/>
    <cfRule type="duplicateValues" dxfId="2198" priority="568" stopIfTrue="1"/>
    <cfRule type="duplicateValues" dxfId="2197" priority="569" stopIfTrue="1"/>
    <cfRule type="duplicateValues" dxfId="2196" priority="570" stopIfTrue="1"/>
  </conditionalFormatting>
  <conditionalFormatting sqref="D73">
    <cfRule type="duplicateValues" dxfId="2195" priority="541" stopIfTrue="1"/>
    <cfRule type="duplicateValues" dxfId="2194" priority="542" stopIfTrue="1"/>
    <cfRule type="duplicateValues" dxfId="2193" priority="543" stopIfTrue="1"/>
    <cfRule type="duplicateValues" dxfId="2192" priority="544" stopIfTrue="1"/>
    <cfRule type="duplicateValues" dxfId="2191" priority="545" stopIfTrue="1"/>
    <cfRule type="duplicateValues" dxfId="2190" priority="546" stopIfTrue="1"/>
    <cfRule type="duplicateValues" dxfId="2189" priority="547" stopIfTrue="1"/>
    <cfRule type="duplicateValues" dxfId="2188" priority="548" stopIfTrue="1"/>
    <cfRule type="duplicateValues" dxfId="2187" priority="549" stopIfTrue="1"/>
    <cfRule type="duplicateValues" dxfId="2186" priority="550" stopIfTrue="1"/>
    <cfRule type="duplicateValues" dxfId="2185" priority="551" stopIfTrue="1"/>
    <cfRule type="duplicateValues" dxfId="2184" priority="552" stopIfTrue="1"/>
    <cfRule type="duplicateValues" dxfId="2183" priority="565" stopIfTrue="1"/>
    <cfRule type="duplicateValues" dxfId="2182" priority="566" stopIfTrue="1"/>
    <cfRule type="duplicateValues" dxfId="2181" priority="567" stopIfTrue="1"/>
  </conditionalFormatting>
  <conditionalFormatting sqref="D74">
    <cfRule type="duplicateValues" dxfId="2180" priority="538" stopIfTrue="1"/>
    <cfRule type="duplicateValues" dxfId="2179" priority="539" stopIfTrue="1"/>
    <cfRule type="duplicateValues" dxfId="2178" priority="540" stopIfTrue="1"/>
  </conditionalFormatting>
  <conditionalFormatting sqref="D75">
    <cfRule type="duplicateValues" dxfId="2177" priority="534" stopIfTrue="1"/>
    <cfRule type="duplicateValues" dxfId="2176" priority="535" stopIfTrue="1"/>
    <cfRule type="duplicateValues" dxfId="2175" priority="536" stopIfTrue="1"/>
    <cfRule type="duplicateValues" dxfId="2174" priority="537" stopIfTrue="1"/>
  </conditionalFormatting>
  <conditionalFormatting sqref="D82">
    <cfRule type="duplicateValues" dxfId="2173" priority="531" stopIfTrue="1"/>
    <cfRule type="duplicateValues" dxfId="2172" priority="532" stopIfTrue="1"/>
    <cfRule type="duplicateValues" dxfId="2171" priority="533"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0" stopIfTrue="1"/>
    <cfRule type="duplicateValues" dxfId="2162" priority="521" stopIfTrue="1"/>
    <cfRule type="duplicateValues" dxfId="2161" priority="522" stopIfTrue="1"/>
    <cfRule type="duplicateValues" dxfId="2160" priority="523" stopIfTrue="1"/>
  </conditionalFormatting>
  <conditionalFormatting sqref="D87">
    <cfRule type="duplicateValues" dxfId="2159" priority="509" stopIfTrue="1"/>
    <cfRule type="duplicateValues" dxfId="2158" priority="510" stopIfTrue="1"/>
    <cfRule type="duplicateValues" dxfId="2157" priority="511" stopIfTrue="1"/>
    <cfRule type="duplicateValues" dxfId="2156" priority="512"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1" stopIfTrue="1"/>
    <cfRule type="duplicateValues" dxfId="2150" priority="502" stopIfTrue="1"/>
    <cfRule type="duplicateValues" dxfId="2149" priority="503" stopIfTrue="1"/>
    <cfRule type="duplicateValues" dxfId="2148" priority="504" stopIfTrue="1"/>
    <cfRule type="duplicateValues" dxfId="2147" priority="505" stopIfTrue="1"/>
    <cfRule type="duplicateValues" dxfId="2146" priority="506" stopIfTrue="1"/>
    <cfRule type="duplicateValues" dxfId="2145" priority="507" stopIfTrue="1"/>
    <cfRule type="duplicateValues" dxfId="2144" priority="508" stopIfTrue="1"/>
    <cfRule type="duplicateValues" dxfId="2143" priority="513" stopIfTrue="1"/>
    <cfRule type="duplicateValues" dxfId="2142" priority="514" stopIfTrue="1"/>
    <cfRule type="duplicateValues" dxfId="2141" priority="515" stopIfTrue="1"/>
  </conditionalFormatting>
  <conditionalFormatting sqref="D89">
    <cfRule type="duplicateValues" dxfId="2140" priority="483" stopIfTrue="1"/>
    <cfRule type="duplicateValues" dxfId="2139" priority="484" stopIfTrue="1"/>
    <cfRule type="duplicateValues" dxfId="2138" priority="485" stopIfTrue="1"/>
    <cfRule type="duplicateValues" dxfId="2137" priority="486" stopIfTrue="1"/>
    <cfRule type="duplicateValues" dxfId="2136" priority="487" stopIfTrue="1"/>
    <cfRule type="duplicateValues" dxfId="2135" priority="488" stopIfTrue="1"/>
    <cfRule type="duplicateValues" dxfId="2134" priority="489" stopIfTrue="1"/>
    <cfRule type="duplicateValues" dxfId="2133" priority="490" stopIfTrue="1"/>
    <cfRule type="duplicateValues" dxfId="2132" priority="491" stopIfTrue="1"/>
    <cfRule type="duplicateValues" dxfId="2131" priority="492" stopIfTrue="1"/>
    <cfRule type="duplicateValues" dxfId="2130" priority="493" stopIfTrue="1"/>
    <cfRule type="duplicateValues" dxfId="2129" priority="494" stopIfTrue="1"/>
    <cfRule type="duplicateValues" dxfId="2128" priority="495" stopIfTrue="1"/>
    <cfRule type="duplicateValues" dxfId="2127" priority="496" stopIfTrue="1"/>
    <cfRule type="duplicateValues" dxfId="2126" priority="497" stopIfTrue="1"/>
    <cfRule type="duplicateValues" dxfId="2125" priority="498" stopIfTrue="1"/>
    <cfRule type="duplicateValues" dxfId="2124" priority="499" stopIfTrue="1"/>
    <cfRule type="duplicateValues" dxfId="2123" priority="500" stopIfTrue="1"/>
  </conditionalFormatting>
  <conditionalFormatting sqref="D90">
    <cfRule type="duplicateValues" dxfId="2122" priority="462" stopIfTrue="1"/>
    <cfRule type="duplicateValues" dxfId="2121" priority="463" stopIfTrue="1"/>
    <cfRule type="duplicateValues" dxfId="2120" priority="464" stopIfTrue="1"/>
    <cfRule type="duplicateValues" dxfId="2119" priority="465" stopIfTrue="1"/>
    <cfRule type="duplicateValues" dxfId="2118" priority="466" stopIfTrue="1"/>
    <cfRule type="duplicateValues" dxfId="2117" priority="467" stopIfTrue="1"/>
    <cfRule type="duplicateValues" dxfId="2116" priority="468" stopIfTrue="1"/>
    <cfRule type="duplicateValues" dxfId="2115" priority="469" stopIfTrue="1"/>
    <cfRule type="duplicateValues" dxfId="2114" priority="470" stopIfTrue="1"/>
    <cfRule type="duplicateValues" dxfId="2113" priority="471" stopIfTrue="1"/>
    <cfRule type="duplicateValues" dxfId="2112" priority="472" stopIfTrue="1"/>
    <cfRule type="duplicateValues" dxfId="2111" priority="473" stopIfTrue="1"/>
    <cfRule type="duplicateValues" dxfId="2110" priority="474" stopIfTrue="1"/>
    <cfRule type="duplicateValues" dxfId="2109" priority="475" stopIfTrue="1"/>
    <cfRule type="duplicateValues" dxfId="2108" priority="476" stopIfTrue="1"/>
    <cfRule type="duplicateValues" dxfId="2107" priority="477" stopIfTrue="1"/>
    <cfRule type="duplicateValues" dxfId="2106" priority="478" stopIfTrue="1"/>
    <cfRule type="duplicateValues" dxfId="2105" priority="479" stopIfTrue="1"/>
    <cfRule type="duplicateValues" dxfId="2104" priority="480" stopIfTrue="1"/>
    <cfRule type="duplicateValues" dxfId="2103" priority="481" stopIfTrue="1"/>
    <cfRule type="duplicateValues" dxfId="2102" priority="482" stopIfTrue="1"/>
  </conditionalFormatting>
  <conditionalFormatting sqref="D91">
    <cfRule type="duplicateValues" dxfId="2101" priority="438" stopIfTrue="1"/>
    <cfRule type="duplicateValues" dxfId="2100" priority="439" stopIfTrue="1"/>
    <cfRule type="duplicateValues" dxfId="2099" priority="440" stopIfTrue="1"/>
    <cfRule type="duplicateValues" dxfId="2098" priority="441" stopIfTrue="1"/>
    <cfRule type="duplicateValues" dxfId="2097" priority="442" stopIfTrue="1"/>
    <cfRule type="duplicateValues" dxfId="2096" priority="443" stopIfTrue="1"/>
    <cfRule type="duplicateValues" dxfId="2095" priority="444" stopIfTrue="1"/>
    <cfRule type="duplicateValues" dxfId="2094" priority="445" stopIfTrue="1"/>
    <cfRule type="duplicateValues" dxfId="2093" priority="446" stopIfTrue="1"/>
    <cfRule type="duplicateValues" dxfId="2092" priority="447" stopIfTrue="1"/>
    <cfRule type="duplicateValues" dxfId="2091" priority="448" stopIfTrue="1"/>
    <cfRule type="duplicateValues" dxfId="2090" priority="449" stopIfTrue="1"/>
    <cfRule type="duplicateValues" dxfId="2089" priority="450" stopIfTrue="1"/>
    <cfRule type="duplicateValues" dxfId="2088" priority="451" stopIfTrue="1"/>
    <cfRule type="duplicateValues" dxfId="2087" priority="452" stopIfTrue="1"/>
    <cfRule type="duplicateValues" dxfId="2086" priority="453" stopIfTrue="1"/>
    <cfRule type="duplicateValues" dxfId="2085" priority="454" stopIfTrue="1"/>
    <cfRule type="duplicateValues" dxfId="2084" priority="455" stopIfTrue="1"/>
    <cfRule type="duplicateValues" dxfId="2083" priority="456" stopIfTrue="1"/>
    <cfRule type="duplicateValues" dxfId="2082" priority="457" stopIfTrue="1"/>
    <cfRule type="duplicateValues" dxfId="2081" priority="458" stopIfTrue="1"/>
    <cfRule type="duplicateValues" dxfId="2080" priority="459" stopIfTrue="1"/>
    <cfRule type="duplicateValues" dxfId="2079" priority="460" stopIfTrue="1"/>
    <cfRule type="duplicateValues" dxfId="2078" priority="461" stopIfTrue="1"/>
  </conditionalFormatting>
  <conditionalFormatting sqref="D92">
    <cfRule type="duplicateValues" dxfId="2077" priority="410" stopIfTrue="1"/>
    <cfRule type="duplicateValues" dxfId="2076" priority="411" stopIfTrue="1"/>
    <cfRule type="duplicateValues" dxfId="2075" priority="412" stopIfTrue="1"/>
    <cfRule type="duplicateValues" dxfId="2074" priority="413" stopIfTrue="1"/>
    <cfRule type="duplicateValues" dxfId="2073" priority="414" stopIfTrue="1"/>
    <cfRule type="duplicateValues" dxfId="2072" priority="415" stopIfTrue="1"/>
    <cfRule type="duplicateValues" dxfId="2071" priority="416" stopIfTrue="1"/>
    <cfRule type="duplicateValues" dxfId="2070" priority="417" stopIfTrue="1"/>
    <cfRule type="duplicateValues" dxfId="2069" priority="418" stopIfTrue="1"/>
    <cfRule type="duplicateValues" dxfId="2068" priority="419" stopIfTrue="1"/>
    <cfRule type="duplicateValues" dxfId="2067" priority="420" stopIfTrue="1"/>
    <cfRule type="duplicateValues" dxfId="2066" priority="421" stopIfTrue="1"/>
    <cfRule type="duplicateValues" dxfId="2065" priority="422" stopIfTrue="1"/>
    <cfRule type="duplicateValues" dxfId="2064" priority="423" stopIfTrue="1"/>
    <cfRule type="duplicateValues" dxfId="2063" priority="424" stopIfTrue="1"/>
    <cfRule type="duplicateValues" dxfId="2062" priority="425" stopIfTrue="1"/>
    <cfRule type="duplicateValues" dxfId="2061" priority="426" stopIfTrue="1"/>
    <cfRule type="duplicateValues" dxfId="2060" priority="427" stopIfTrue="1"/>
    <cfRule type="duplicateValues" dxfId="2059" priority="428" stopIfTrue="1"/>
    <cfRule type="duplicateValues" dxfId="2058" priority="429" stopIfTrue="1"/>
    <cfRule type="duplicateValues" dxfId="2057" priority="430" stopIfTrue="1"/>
    <cfRule type="duplicateValues" dxfId="2056" priority="431" stopIfTrue="1"/>
    <cfRule type="duplicateValues" dxfId="2055" priority="432" stopIfTrue="1"/>
    <cfRule type="duplicateValues" dxfId="2054" priority="433" stopIfTrue="1"/>
    <cfRule type="duplicateValues" dxfId="2053" priority="434" stopIfTrue="1"/>
    <cfRule type="duplicateValues" dxfId="2052" priority="435" stopIfTrue="1"/>
    <cfRule type="duplicateValues" dxfId="2051" priority="436" stopIfTrue="1"/>
    <cfRule type="duplicateValues" dxfId="2050" priority="437" stopIfTrue="1"/>
  </conditionalFormatting>
  <conditionalFormatting sqref="D93">
    <cfRule type="duplicateValues" dxfId="2049" priority="379" stopIfTrue="1"/>
    <cfRule type="duplicateValues" dxfId="2048" priority="380" stopIfTrue="1"/>
    <cfRule type="duplicateValues" dxfId="2047" priority="381" stopIfTrue="1"/>
    <cfRule type="duplicateValues" dxfId="2046" priority="382" stopIfTrue="1"/>
    <cfRule type="duplicateValues" dxfId="2045" priority="383" stopIfTrue="1"/>
    <cfRule type="duplicateValues" dxfId="2044" priority="384" stopIfTrue="1"/>
    <cfRule type="duplicateValues" dxfId="2043" priority="385" stopIfTrue="1"/>
    <cfRule type="duplicateValues" dxfId="2042" priority="386" stopIfTrue="1"/>
    <cfRule type="duplicateValues" dxfId="2041" priority="387" stopIfTrue="1"/>
    <cfRule type="duplicateValues" dxfId="2040" priority="388" stopIfTrue="1"/>
    <cfRule type="duplicateValues" dxfId="2039" priority="389" stopIfTrue="1"/>
    <cfRule type="duplicateValues" dxfId="2038" priority="390" stopIfTrue="1"/>
    <cfRule type="duplicateValues" dxfId="2037" priority="391" stopIfTrue="1"/>
    <cfRule type="duplicateValues" dxfId="2036" priority="392" stopIfTrue="1"/>
    <cfRule type="duplicateValues" dxfId="2035" priority="393" stopIfTrue="1"/>
    <cfRule type="duplicateValues" dxfId="2034" priority="394" stopIfTrue="1"/>
    <cfRule type="duplicateValues" dxfId="2033" priority="395" stopIfTrue="1"/>
    <cfRule type="duplicateValues" dxfId="2032" priority="396" stopIfTrue="1"/>
    <cfRule type="duplicateValues" dxfId="2031" priority="397" stopIfTrue="1"/>
    <cfRule type="duplicateValues" dxfId="2030" priority="398" stopIfTrue="1"/>
    <cfRule type="duplicateValues" dxfId="2029" priority="399" stopIfTrue="1"/>
    <cfRule type="duplicateValues" dxfId="2028" priority="400" stopIfTrue="1"/>
    <cfRule type="duplicateValues" dxfId="2027" priority="401" stopIfTrue="1"/>
    <cfRule type="duplicateValues" dxfId="2026" priority="402" stopIfTrue="1"/>
    <cfRule type="duplicateValues" dxfId="2025" priority="403" stopIfTrue="1"/>
    <cfRule type="duplicateValues" dxfId="2024" priority="404" stopIfTrue="1"/>
    <cfRule type="duplicateValues" dxfId="2023" priority="405" stopIfTrue="1"/>
    <cfRule type="duplicateValues" dxfId="2022" priority="406" stopIfTrue="1"/>
    <cfRule type="duplicateValues" dxfId="2021" priority="407" stopIfTrue="1"/>
    <cfRule type="duplicateValues" dxfId="2020" priority="408" stopIfTrue="1"/>
    <cfRule type="duplicateValues" dxfId="2019" priority="409" stopIfTrue="1"/>
  </conditionalFormatting>
  <conditionalFormatting sqref="D94">
    <cfRule type="duplicateValues" dxfId="2018" priority="345" stopIfTrue="1"/>
    <cfRule type="duplicateValues" dxfId="2017" priority="346" stopIfTrue="1"/>
    <cfRule type="duplicateValues" dxfId="2016" priority="347" stopIfTrue="1"/>
    <cfRule type="duplicateValues" dxfId="2015" priority="348" stopIfTrue="1"/>
    <cfRule type="duplicateValues" dxfId="2014" priority="349" stopIfTrue="1"/>
    <cfRule type="duplicateValues" dxfId="2013" priority="350" stopIfTrue="1"/>
    <cfRule type="duplicateValues" dxfId="2012" priority="351" stopIfTrue="1"/>
    <cfRule type="duplicateValues" dxfId="2011" priority="352" stopIfTrue="1"/>
    <cfRule type="duplicateValues" dxfId="2010" priority="353" stopIfTrue="1"/>
    <cfRule type="duplicateValues" dxfId="2009" priority="354" stopIfTrue="1"/>
    <cfRule type="duplicateValues" dxfId="2008" priority="355" stopIfTrue="1"/>
    <cfRule type="duplicateValues" dxfId="2007" priority="356" stopIfTrue="1"/>
    <cfRule type="duplicateValues" dxfId="2006" priority="357" stopIfTrue="1"/>
    <cfRule type="duplicateValues" dxfId="2005" priority="358" stopIfTrue="1"/>
    <cfRule type="duplicateValues" dxfId="2004" priority="359" stopIfTrue="1"/>
    <cfRule type="duplicateValues" dxfId="2003" priority="360" stopIfTrue="1"/>
    <cfRule type="duplicateValues" dxfId="2002" priority="361" stopIfTrue="1"/>
    <cfRule type="duplicateValues" dxfId="2001" priority="362" stopIfTrue="1"/>
    <cfRule type="duplicateValues" dxfId="2000" priority="363" stopIfTrue="1"/>
    <cfRule type="duplicateValues" dxfId="1999" priority="364" stopIfTrue="1"/>
    <cfRule type="duplicateValues" dxfId="1998" priority="365" stopIfTrue="1"/>
    <cfRule type="duplicateValues" dxfId="1997" priority="366" stopIfTrue="1"/>
    <cfRule type="duplicateValues" dxfId="1996" priority="367" stopIfTrue="1"/>
    <cfRule type="duplicateValues" dxfId="1995" priority="368" stopIfTrue="1"/>
    <cfRule type="duplicateValues" dxfId="1994" priority="369" stopIfTrue="1"/>
    <cfRule type="duplicateValues" dxfId="1993" priority="370" stopIfTrue="1"/>
    <cfRule type="duplicateValues" dxfId="1992" priority="371" stopIfTrue="1"/>
    <cfRule type="duplicateValues" dxfId="1991" priority="372" stopIfTrue="1"/>
    <cfRule type="duplicateValues" dxfId="1990" priority="373" stopIfTrue="1"/>
    <cfRule type="duplicateValues" dxfId="1989" priority="374" stopIfTrue="1"/>
    <cfRule type="duplicateValues" dxfId="1988" priority="375" stopIfTrue="1"/>
    <cfRule type="duplicateValues" dxfId="1987" priority="376" stopIfTrue="1"/>
    <cfRule type="duplicateValues" dxfId="1986" priority="377" stopIfTrue="1"/>
    <cfRule type="duplicateValues" dxfId="1985" priority="378" stopIfTrue="1"/>
  </conditionalFormatting>
  <conditionalFormatting sqref="D95">
    <cfRule type="duplicateValues" dxfId="1984" priority="308" stopIfTrue="1"/>
    <cfRule type="duplicateValues" dxfId="1983" priority="309" stopIfTrue="1"/>
    <cfRule type="duplicateValues" dxfId="1982" priority="310" stopIfTrue="1"/>
    <cfRule type="duplicateValues" dxfId="1981" priority="311" stopIfTrue="1"/>
    <cfRule type="duplicateValues" dxfId="1980" priority="312" stopIfTrue="1"/>
    <cfRule type="duplicateValues" dxfId="1979" priority="313" stopIfTrue="1"/>
    <cfRule type="duplicateValues" dxfId="1978" priority="314" stopIfTrue="1"/>
    <cfRule type="duplicateValues" dxfId="1977" priority="315" stopIfTrue="1"/>
    <cfRule type="duplicateValues" dxfId="1976" priority="316" stopIfTrue="1"/>
    <cfRule type="duplicateValues" dxfId="1975" priority="317" stopIfTrue="1"/>
    <cfRule type="duplicateValues" dxfId="1974" priority="318" stopIfTrue="1"/>
    <cfRule type="duplicateValues" dxfId="1973" priority="319" stopIfTrue="1"/>
    <cfRule type="duplicateValues" dxfId="1972" priority="320" stopIfTrue="1"/>
    <cfRule type="duplicateValues" dxfId="1971" priority="321" stopIfTrue="1"/>
    <cfRule type="duplicateValues" dxfId="1970" priority="322" stopIfTrue="1"/>
    <cfRule type="duplicateValues" dxfId="1969" priority="323" stopIfTrue="1"/>
    <cfRule type="duplicateValues" dxfId="1968" priority="324" stopIfTrue="1"/>
    <cfRule type="duplicateValues" dxfId="1967" priority="325" stopIfTrue="1"/>
    <cfRule type="duplicateValues" dxfId="1966" priority="326" stopIfTrue="1"/>
    <cfRule type="duplicateValues" dxfId="1965" priority="327" stopIfTrue="1"/>
    <cfRule type="duplicateValues" dxfId="1964" priority="328" stopIfTrue="1"/>
    <cfRule type="duplicateValues" dxfId="1963" priority="329" stopIfTrue="1"/>
    <cfRule type="duplicateValues" dxfId="1962" priority="330" stopIfTrue="1"/>
    <cfRule type="duplicateValues" dxfId="1961" priority="331" stopIfTrue="1"/>
    <cfRule type="duplicateValues" dxfId="1960" priority="332" stopIfTrue="1"/>
    <cfRule type="duplicateValues" dxfId="1959" priority="333" stopIfTrue="1"/>
    <cfRule type="duplicateValues" dxfId="1958" priority="334" stopIfTrue="1"/>
    <cfRule type="duplicateValues" dxfId="1957" priority="335" stopIfTrue="1"/>
    <cfRule type="duplicateValues" dxfId="1956" priority="336" stopIfTrue="1"/>
    <cfRule type="duplicateValues" dxfId="1955" priority="337" stopIfTrue="1"/>
    <cfRule type="duplicateValues" dxfId="1954" priority="338" stopIfTrue="1"/>
    <cfRule type="duplicateValues" dxfId="1953" priority="339" stopIfTrue="1"/>
    <cfRule type="duplicateValues" dxfId="1952" priority="340" stopIfTrue="1"/>
    <cfRule type="duplicateValues" dxfId="1951" priority="341" stopIfTrue="1"/>
    <cfRule type="duplicateValues" dxfId="1950" priority="342" stopIfTrue="1"/>
    <cfRule type="duplicateValues" dxfId="1949" priority="343" stopIfTrue="1"/>
    <cfRule type="duplicateValues" dxfId="1948" priority="344" stopIfTrue="1"/>
  </conditionalFormatting>
  <conditionalFormatting sqref="D96">
    <cfRule type="duplicateValues" dxfId="1947" priority="268" stopIfTrue="1"/>
    <cfRule type="duplicateValues" dxfId="1946" priority="269" stopIfTrue="1"/>
    <cfRule type="duplicateValues" dxfId="1945" priority="270" stopIfTrue="1"/>
    <cfRule type="duplicateValues" dxfId="1944" priority="271" stopIfTrue="1"/>
    <cfRule type="duplicateValues" dxfId="1943" priority="272" stopIfTrue="1"/>
    <cfRule type="duplicateValues" dxfId="1942" priority="273" stopIfTrue="1"/>
    <cfRule type="duplicateValues" dxfId="1941" priority="274" stopIfTrue="1"/>
    <cfRule type="duplicateValues" dxfId="1940" priority="275" stopIfTrue="1"/>
    <cfRule type="duplicateValues" dxfId="1939" priority="276" stopIfTrue="1"/>
    <cfRule type="duplicateValues" dxfId="1938" priority="277" stopIfTrue="1"/>
    <cfRule type="duplicateValues" dxfId="1937" priority="278" stopIfTrue="1"/>
    <cfRule type="duplicateValues" dxfId="1936" priority="279" stopIfTrue="1"/>
    <cfRule type="duplicateValues" dxfId="1935" priority="280" stopIfTrue="1"/>
    <cfRule type="duplicateValues" dxfId="1934" priority="281" stopIfTrue="1"/>
    <cfRule type="duplicateValues" dxfId="1933" priority="282" stopIfTrue="1"/>
    <cfRule type="duplicateValues" dxfId="1932" priority="283" stopIfTrue="1"/>
    <cfRule type="duplicateValues" dxfId="1931" priority="284" stopIfTrue="1"/>
    <cfRule type="duplicateValues" dxfId="1930" priority="285" stopIfTrue="1"/>
    <cfRule type="duplicateValues" dxfId="1929" priority="286" stopIfTrue="1"/>
    <cfRule type="duplicateValues" dxfId="1928" priority="287" stopIfTrue="1"/>
    <cfRule type="duplicateValues" dxfId="1927" priority="288" stopIfTrue="1"/>
    <cfRule type="duplicateValues" dxfId="1926" priority="289" stopIfTrue="1"/>
    <cfRule type="duplicateValues" dxfId="1925" priority="290" stopIfTrue="1"/>
    <cfRule type="duplicateValues" dxfId="1924" priority="291" stopIfTrue="1"/>
    <cfRule type="duplicateValues" dxfId="1923" priority="292" stopIfTrue="1"/>
    <cfRule type="duplicateValues" dxfId="1922" priority="293" stopIfTrue="1"/>
    <cfRule type="duplicateValues" dxfId="1921" priority="294" stopIfTrue="1"/>
    <cfRule type="duplicateValues" dxfId="1920" priority="295" stopIfTrue="1"/>
    <cfRule type="duplicateValues" dxfId="1919" priority="296" stopIfTrue="1"/>
    <cfRule type="duplicateValues" dxfId="1918" priority="297" stopIfTrue="1"/>
    <cfRule type="duplicateValues" dxfId="1917" priority="298" stopIfTrue="1"/>
    <cfRule type="duplicateValues" dxfId="1916" priority="299" stopIfTrue="1"/>
    <cfRule type="duplicateValues" dxfId="1915" priority="300" stopIfTrue="1"/>
    <cfRule type="duplicateValues" dxfId="1914" priority="301" stopIfTrue="1"/>
    <cfRule type="duplicateValues" dxfId="1913" priority="302" stopIfTrue="1"/>
    <cfRule type="duplicateValues" dxfId="1912" priority="303" stopIfTrue="1"/>
    <cfRule type="duplicateValues" dxfId="1911" priority="304" stopIfTrue="1"/>
    <cfRule type="duplicateValues" dxfId="1910" priority="305" stopIfTrue="1"/>
    <cfRule type="duplicateValues" dxfId="1909" priority="306" stopIfTrue="1"/>
    <cfRule type="duplicateValues" dxfId="1908" priority="307" stopIfTrue="1"/>
  </conditionalFormatting>
  <conditionalFormatting sqref="D97">
    <cfRule type="duplicateValues" dxfId="1907" priority="225" stopIfTrue="1"/>
    <cfRule type="duplicateValues" dxfId="1906" priority="226" stopIfTrue="1"/>
    <cfRule type="duplicateValues" dxfId="1905" priority="227" stopIfTrue="1"/>
    <cfRule type="duplicateValues" dxfId="1904" priority="228" stopIfTrue="1"/>
    <cfRule type="duplicateValues" dxfId="1903" priority="229" stopIfTrue="1"/>
    <cfRule type="duplicateValues" dxfId="1902" priority="230" stopIfTrue="1"/>
    <cfRule type="duplicateValues" dxfId="1901" priority="231" stopIfTrue="1"/>
    <cfRule type="duplicateValues" dxfId="1900" priority="232" stopIfTrue="1"/>
    <cfRule type="duplicateValues" dxfId="1899" priority="233" stopIfTrue="1"/>
    <cfRule type="duplicateValues" dxfId="1898" priority="234" stopIfTrue="1"/>
    <cfRule type="duplicateValues" dxfId="1897" priority="235" stopIfTrue="1"/>
    <cfRule type="duplicateValues" dxfId="1896" priority="236" stopIfTrue="1"/>
    <cfRule type="duplicateValues" dxfId="1895" priority="237" stopIfTrue="1"/>
    <cfRule type="duplicateValues" dxfId="1894" priority="238" stopIfTrue="1"/>
    <cfRule type="duplicateValues" dxfId="1893" priority="239" stopIfTrue="1"/>
    <cfRule type="duplicateValues" dxfId="1892" priority="240" stopIfTrue="1"/>
    <cfRule type="duplicateValues" dxfId="1891" priority="241" stopIfTrue="1"/>
    <cfRule type="duplicateValues" dxfId="1890" priority="242" stopIfTrue="1"/>
    <cfRule type="duplicateValues" dxfId="1889" priority="243" stopIfTrue="1"/>
    <cfRule type="duplicateValues" dxfId="1888" priority="244" stopIfTrue="1"/>
    <cfRule type="duplicateValues" dxfId="1887" priority="245" stopIfTrue="1"/>
    <cfRule type="duplicateValues" dxfId="1886" priority="246" stopIfTrue="1"/>
    <cfRule type="duplicateValues" dxfId="1885" priority="247" stopIfTrue="1"/>
    <cfRule type="duplicateValues" dxfId="1884" priority="248" stopIfTrue="1"/>
    <cfRule type="duplicateValues" dxfId="1883" priority="249" stopIfTrue="1"/>
    <cfRule type="duplicateValues" dxfId="1882" priority="250" stopIfTrue="1"/>
    <cfRule type="duplicateValues" dxfId="1881" priority="251" stopIfTrue="1"/>
    <cfRule type="duplicateValues" dxfId="1880" priority="252" stopIfTrue="1"/>
    <cfRule type="duplicateValues" dxfId="1879" priority="253" stopIfTrue="1"/>
    <cfRule type="duplicateValues" dxfId="1878" priority="254" stopIfTrue="1"/>
    <cfRule type="duplicateValues" dxfId="1877" priority="255" stopIfTrue="1"/>
    <cfRule type="duplicateValues" dxfId="1876" priority="256" stopIfTrue="1"/>
    <cfRule type="duplicateValues" dxfId="1875" priority="257" stopIfTrue="1"/>
    <cfRule type="duplicateValues" dxfId="1874" priority="258" stopIfTrue="1"/>
    <cfRule type="duplicateValues" dxfId="1873" priority="259" stopIfTrue="1"/>
    <cfRule type="duplicateValues" dxfId="1872" priority="260" stopIfTrue="1"/>
    <cfRule type="duplicateValues" dxfId="1871" priority="261" stopIfTrue="1"/>
    <cfRule type="duplicateValues" dxfId="1870" priority="262" stopIfTrue="1"/>
    <cfRule type="duplicateValues" dxfId="1869" priority="263" stopIfTrue="1"/>
    <cfRule type="duplicateValues" dxfId="1868" priority="264" stopIfTrue="1"/>
    <cfRule type="duplicateValues" dxfId="1867" priority="265" stopIfTrue="1"/>
    <cfRule type="duplicateValues" dxfId="1866" priority="266" stopIfTrue="1"/>
    <cfRule type="duplicateValues" dxfId="1865" priority="267" stopIfTrue="1"/>
  </conditionalFormatting>
  <conditionalFormatting sqref="D98">
    <cfRule type="duplicateValues" dxfId="1864" priority="179" stopIfTrue="1"/>
    <cfRule type="duplicateValues" dxfId="1863" priority="180" stopIfTrue="1"/>
    <cfRule type="duplicateValues" dxfId="1862" priority="181" stopIfTrue="1"/>
    <cfRule type="duplicateValues" dxfId="1861" priority="182" stopIfTrue="1"/>
    <cfRule type="duplicateValues" dxfId="1860" priority="183" stopIfTrue="1"/>
    <cfRule type="duplicateValues" dxfId="1859" priority="184" stopIfTrue="1"/>
    <cfRule type="duplicateValues" dxfId="1858" priority="185" stopIfTrue="1"/>
    <cfRule type="duplicateValues" dxfId="1857" priority="186" stopIfTrue="1"/>
    <cfRule type="duplicateValues" dxfId="1856" priority="187" stopIfTrue="1"/>
    <cfRule type="duplicateValues" dxfId="1855" priority="188" stopIfTrue="1"/>
    <cfRule type="duplicateValues" dxfId="1854" priority="189" stopIfTrue="1"/>
    <cfRule type="duplicateValues" dxfId="1853" priority="190" stopIfTrue="1"/>
    <cfRule type="duplicateValues" dxfId="1852" priority="191" stopIfTrue="1"/>
    <cfRule type="duplicateValues" dxfId="1851" priority="192" stopIfTrue="1"/>
    <cfRule type="duplicateValues" dxfId="1850" priority="193" stopIfTrue="1"/>
    <cfRule type="duplicateValues" dxfId="1849" priority="194" stopIfTrue="1"/>
    <cfRule type="duplicateValues" dxfId="1848" priority="195" stopIfTrue="1"/>
    <cfRule type="duplicateValues" dxfId="1847" priority="196" stopIfTrue="1"/>
    <cfRule type="duplicateValues" dxfId="1846" priority="197" stopIfTrue="1"/>
    <cfRule type="duplicateValues" dxfId="1845" priority="198" stopIfTrue="1"/>
    <cfRule type="duplicateValues" dxfId="1844" priority="199" stopIfTrue="1"/>
    <cfRule type="duplicateValues" dxfId="1843" priority="200" stopIfTrue="1"/>
    <cfRule type="duplicateValues" dxfId="1842" priority="201" stopIfTrue="1"/>
    <cfRule type="duplicateValues" dxfId="1841" priority="202" stopIfTrue="1"/>
    <cfRule type="duplicateValues" dxfId="1840" priority="203" stopIfTrue="1"/>
    <cfRule type="duplicateValues" dxfId="1839" priority="204" stopIfTrue="1"/>
    <cfRule type="duplicateValues" dxfId="1838" priority="205" stopIfTrue="1"/>
    <cfRule type="duplicateValues" dxfId="1837" priority="206" stopIfTrue="1"/>
    <cfRule type="duplicateValues" dxfId="1836" priority="207" stopIfTrue="1"/>
    <cfRule type="duplicateValues" dxfId="1835" priority="208" stopIfTrue="1"/>
    <cfRule type="duplicateValues" dxfId="1834" priority="209" stopIfTrue="1"/>
    <cfRule type="duplicateValues" dxfId="1833" priority="210" stopIfTrue="1"/>
    <cfRule type="duplicateValues" dxfId="1832" priority="211" stopIfTrue="1"/>
    <cfRule type="duplicateValues" dxfId="1831" priority="212" stopIfTrue="1"/>
    <cfRule type="duplicateValues" dxfId="1830" priority="213" stopIfTrue="1"/>
    <cfRule type="duplicateValues" dxfId="1829" priority="214" stopIfTrue="1"/>
    <cfRule type="duplicateValues" dxfId="1828" priority="215" stopIfTrue="1"/>
    <cfRule type="duplicateValues" dxfId="1827" priority="216" stopIfTrue="1"/>
    <cfRule type="duplicateValues" dxfId="1826" priority="217" stopIfTrue="1"/>
    <cfRule type="duplicateValues" dxfId="1825" priority="218" stopIfTrue="1"/>
    <cfRule type="duplicateValues" dxfId="1824" priority="219" stopIfTrue="1"/>
    <cfRule type="duplicateValues" dxfId="1823" priority="220" stopIfTrue="1"/>
    <cfRule type="duplicateValues" dxfId="1822" priority="221" stopIfTrue="1"/>
    <cfRule type="duplicateValues" dxfId="1821" priority="222" stopIfTrue="1"/>
    <cfRule type="duplicateValues" dxfId="1820" priority="223" stopIfTrue="1"/>
    <cfRule type="duplicateValues" dxfId="1819" priority="224" stopIfTrue="1"/>
  </conditionalFormatting>
  <conditionalFormatting sqref="D99">
    <cfRule type="duplicateValues" dxfId="1818" priority="130" stopIfTrue="1"/>
    <cfRule type="duplicateValues" dxfId="1817" priority="131" stopIfTrue="1"/>
    <cfRule type="duplicateValues" dxfId="1816" priority="132" stopIfTrue="1"/>
    <cfRule type="duplicateValues" dxfId="1815" priority="133" stopIfTrue="1"/>
    <cfRule type="duplicateValues" dxfId="1814" priority="134" stopIfTrue="1"/>
    <cfRule type="duplicateValues" dxfId="1813" priority="135" stopIfTrue="1"/>
    <cfRule type="duplicateValues" dxfId="1812" priority="136" stopIfTrue="1"/>
    <cfRule type="duplicateValues" dxfId="1811" priority="137" stopIfTrue="1"/>
    <cfRule type="duplicateValues" dxfId="1810" priority="138" stopIfTrue="1"/>
    <cfRule type="duplicateValues" dxfId="1809" priority="139" stopIfTrue="1"/>
    <cfRule type="duplicateValues" dxfId="1808" priority="140" stopIfTrue="1"/>
    <cfRule type="duplicateValues" dxfId="1807" priority="141" stopIfTrue="1"/>
    <cfRule type="duplicateValues" dxfId="1806" priority="142" stopIfTrue="1"/>
    <cfRule type="duplicateValues" dxfId="1805" priority="143" stopIfTrue="1"/>
    <cfRule type="duplicateValues" dxfId="1804" priority="144" stopIfTrue="1"/>
    <cfRule type="duplicateValues" dxfId="1803" priority="145" stopIfTrue="1"/>
    <cfRule type="duplicateValues" dxfId="1802" priority="146" stopIfTrue="1"/>
    <cfRule type="duplicateValues" dxfId="1801" priority="147" stopIfTrue="1"/>
    <cfRule type="duplicateValues" dxfId="1800" priority="148" stopIfTrue="1"/>
    <cfRule type="duplicateValues" dxfId="1799" priority="149" stopIfTrue="1"/>
    <cfRule type="duplicateValues" dxfId="1798" priority="150" stopIfTrue="1"/>
    <cfRule type="duplicateValues" dxfId="1797" priority="151" stopIfTrue="1"/>
    <cfRule type="duplicateValues" dxfId="1796" priority="152" stopIfTrue="1"/>
    <cfRule type="duplicateValues" dxfId="1795" priority="153" stopIfTrue="1"/>
    <cfRule type="duplicateValues" dxfId="1794" priority="154" stopIfTrue="1"/>
    <cfRule type="duplicateValues" dxfId="1793" priority="155" stopIfTrue="1"/>
    <cfRule type="duplicateValues" dxfId="1792" priority="156" stopIfTrue="1"/>
    <cfRule type="duplicateValues" dxfId="1791" priority="157" stopIfTrue="1"/>
    <cfRule type="duplicateValues" dxfId="1790" priority="158" stopIfTrue="1"/>
    <cfRule type="duplicateValues" dxfId="1789" priority="159" stopIfTrue="1"/>
    <cfRule type="duplicateValues" dxfId="1788" priority="160" stopIfTrue="1"/>
    <cfRule type="duplicateValues" dxfId="1787" priority="161" stopIfTrue="1"/>
    <cfRule type="duplicateValues" dxfId="1786" priority="162" stopIfTrue="1"/>
    <cfRule type="duplicateValues" dxfId="1785" priority="163" stopIfTrue="1"/>
    <cfRule type="duplicateValues" dxfId="1784" priority="164" stopIfTrue="1"/>
    <cfRule type="duplicateValues" dxfId="1783" priority="165" stopIfTrue="1"/>
    <cfRule type="duplicateValues" dxfId="1782" priority="166" stopIfTrue="1"/>
    <cfRule type="duplicateValues" dxfId="1781" priority="167" stopIfTrue="1"/>
    <cfRule type="duplicateValues" dxfId="1780" priority="168" stopIfTrue="1"/>
    <cfRule type="duplicateValues" dxfId="1779" priority="169" stopIfTrue="1"/>
    <cfRule type="duplicateValues" dxfId="1778" priority="170" stopIfTrue="1"/>
    <cfRule type="duplicateValues" dxfId="1777" priority="171" stopIfTrue="1"/>
    <cfRule type="duplicateValues" dxfId="1776" priority="172" stopIfTrue="1"/>
    <cfRule type="duplicateValues" dxfId="1775" priority="173" stopIfTrue="1"/>
    <cfRule type="duplicateValues" dxfId="1774" priority="174" stopIfTrue="1"/>
    <cfRule type="duplicateValues" dxfId="1773" priority="175" stopIfTrue="1"/>
    <cfRule type="duplicateValues" dxfId="1772" priority="176" stopIfTrue="1"/>
    <cfRule type="duplicateValues" dxfId="1771" priority="177" stopIfTrue="1"/>
    <cfRule type="duplicateValues" dxfId="1770" priority="178" stopIfTrue="1"/>
  </conditionalFormatting>
  <conditionalFormatting sqref="D100">
    <cfRule type="duplicateValues" dxfId="1769" priority="78" stopIfTrue="1"/>
    <cfRule type="duplicateValues" dxfId="1768" priority="79" stopIfTrue="1"/>
    <cfRule type="duplicateValues" dxfId="1767" priority="80" stopIfTrue="1"/>
    <cfRule type="duplicateValues" dxfId="1766" priority="81" stopIfTrue="1"/>
    <cfRule type="duplicateValues" dxfId="1765" priority="82" stopIfTrue="1"/>
    <cfRule type="duplicateValues" dxfId="1764" priority="83" stopIfTrue="1"/>
    <cfRule type="duplicateValues" dxfId="1763" priority="84" stopIfTrue="1"/>
    <cfRule type="duplicateValues" dxfId="1762" priority="85" stopIfTrue="1"/>
    <cfRule type="duplicateValues" dxfId="1761" priority="86" stopIfTrue="1"/>
    <cfRule type="duplicateValues" dxfId="1760" priority="87" stopIfTrue="1"/>
    <cfRule type="duplicateValues" dxfId="1759" priority="88" stopIfTrue="1"/>
    <cfRule type="duplicateValues" dxfId="1758" priority="89" stopIfTrue="1"/>
    <cfRule type="duplicateValues" dxfId="1757" priority="90" stopIfTrue="1"/>
    <cfRule type="duplicateValues" dxfId="1756" priority="91" stopIfTrue="1"/>
    <cfRule type="duplicateValues" dxfId="1755" priority="92" stopIfTrue="1"/>
    <cfRule type="duplicateValues" dxfId="1754" priority="93" stopIfTrue="1"/>
    <cfRule type="duplicateValues" dxfId="1753" priority="94" stopIfTrue="1"/>
    <cfRule type="duplicateValues" dxfId="1752" priority="95" stopIfTrue="1"/>
    <cfRule type="duplicateValues" dxfId="1751" priority="96" stopIfTrue="1"/>
    <cfRule type="duplicateValues" dxfId="1750" priority="97" stopIfTrue="1"/>
    <cfRule type="duplicateValues" dxfId="1749" priority="98" stopIfTrue="1"/>
    <cfRule type="duplicateValues" dxfId="1748" priority="99" stopIfTrue="1"/>
    <cfRule type="duplicateValues" dxfId="1747" priority="100" stopIfTrue="1"/>
    <cfRule type="duplicateValues" dxfId="1746" priority="101" stopIfTrue="1"/>
    <cfRule type="duplicateValues" dxfId="1745" priority="102" stopIfTrue="1"/>
    <cfRule type="duplicateValues" dxfId="1744" priority="103" stopIfTrue="1"/>
    <cfRule type="duplicateValues" dxfId="1743" priority="104" stopIfTrue="1"/>
    <cfRule type="duplicateValues" dxfId="1742" priority="105" stopIfTrue="1"/>
    <cfRule type="duplicateValues" dxfId="1741" priority="106" stopIfTrue="1"/>
    <cfRule type="duplicateValues" dxfId="1740" priority="107" stopIfTrue="1"/>
    <cfRule type="duplicateValues" dxfId="1739" priority="108" stopIfTrue="1"/>
    <cfRule type="duplicateValues" dxfId="1738" priority="109" stopIfTrue="1"/>
    <cfRule type="duplicateValues" dxfId="1737" priority="110" stopIfTrue="1"/>
    <cfRule type="duplicateValues" dxfId="1736" priority="111" stopIfTrue="1"/>
    <cfRule type="duplicateValues" dxfId="1735" priority="112" stopIfTrue="1"/>
    <cfRule type="duplicateValues" dxfId="1734" priority="113" stopIfTrue="1"/>
    <cfRule type="duplicateValues" dxfId="1733" priority="114" stopIfTrue="1"/>
    <cfRule type="duplicateValues" dxfId="1732" priority="115" stopIfTrue="1"/>
    <cfRule type="duplicateValues" dxfId="1731" priority="116" stopIfTrue="1"/>
    <cfRule type="duplicateValues" dxfId="1730" priority="117" stopIfTrue="1"/>
    <cfRule type="duplicateValues" dxfId="1729" priority="118" stopIfTrue="1"/>
    <cfRule type="duplicateValues" dxfId="1728" priority="119" stopIfTrue="1"/>
    <cfRule type="duplicateValues" dxfId="1727" priority="120" stopIfTrue="1"/>
    <cfRule type="duplicateValues" dxfId="1726" priority="121" stopIfTrue="1"/>
    <cfRule type="duplicateValues" dxfId="1725" priority="122" stopIfTrue="1"/>
    <cfRule type="duplicateValues" dxfId="1724" priority="123" stopIfTrue="1"/>
    <cfRule type="duplicateValues" dxfId="1723" priority="124" stopIfTrue="1"/>
    <cfRule type="duplicateValues" dxfId="1722" priority="125" stopIfTrue="1"/>
    <cfRule type="duplicateValues" dxfId="1721" priority="126" stopIfTrue="1"/>
    <cfRule type="duplicateValues" dxfId="1720" priority="127" stopIfTrue="1"/>
    <cfRule type="duplicateValues" dxfId="1719" priority="128" stopIfTrue="1"/>
    <cfRule type="duplicateValues" dxfId="1718" priority="129"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69" stopIfTrue="1"/>
    <cfRule type="duplicateValues" dxfId="1710" priority="70" stopIfTrue="1"/>
    <cfRule type="duplicateValues" dxfId="1709" priority="71" stopIfTrue="1"/>
  </conditionalFormatting>
  <conditionalFormatting sqref="D107">
    <cfRule type="duplicateValues" dxfId="1708" priority="63" stopIfTrue="1"/>
    <cfRule type="duplicateValues" dxfId="1707" priority="64" stopIfTrue="1"/>
    <cfRule type="duplicateValues" dxfId="1706" priority="65" stopIfTrue="1"/>
  </conditionalFormatting>
  <conditionalFormatting sqref="D108:D109">
    <cfRule type="duplicateValues" dxfId="1705" priority="60" stopIfTrue="1"/>
    <cfRule type="duplicateValues" dxfId="1704" priority="61" stopIfTrue="1"/>
    <cfRule type="duplicateValues" dxfId="1703" priority="62" stopIfTrue="1"/>
  </conditionalFormatting>
  <conditionalFormatting sqref="D111">
    <cfRule type="duplicateValues" dxfId="1702" priority="57" stopIfTrue="1"/>
    <cfRule type="duplicateValues" dxfId="1701" priority="58" stopIfTrue="1"/>
    <cfRule type="duplicateValues" dxfId="1700" priority="59" stopIfTrue="1"/>
  </conditionalFormatting>
  <conditionalFormatting sqref="D113:D115">
    <cfRule type="duplicateValues" dxfId="1699" priority="53" stopIfTrue="1"/>
    <cfRule type="duplicateValues" dxfId="1698" priority="54" stopIfTrue="1"/>
    <cfRule type="duplicateValues" dxfId="1697" priority="55" stopIfTrue="1"/>
    <cfRule type="duplicateValues" dxfId="1696" priority="56" stopIfTrue="1"/>
  </conditionalFormatting>
  <conditionalFormatting sqref="D116">
    <cfRule type="duplicateValues" dxfId="1695" priority="43" stopIfTrue="1"/>
    <cfRule type="duplicateValues" dxfId="1694" priority="44" stopIfTrue="1"/>
    <cfRule type="duplicateValues" dxfId="1693" priority="45" stopIfTrue="1"/>
  </conditionalFormatting>
  <conditionalFormatting sqref="D117">
    <cfRule type="duplicateValues" dxfId="1692" priority="40" stopIfTrue="1"/>
    <cfRule type="duplicateValues" dxfId="1691" priority="41" stopIfTrue="1"/>
    <cfRule type="duplicateValues" dxfId="1690" priority="42" stopIfTrue="1"/>
  </conditionalFormatting>
  <conditionalFormatting sqref="D118">
    <cfRule type="duplicateValues" dxfId="1689" priority="37" stopIfTrue="1"/>
    <cfRule type="duplicateValues" dxfId="1688" priority="38" stopIfTrue="1"/>
    <cfRule type="duplicateValues" dxfId="1687" priority="39" stopIfTrue="1"/>
  </conditionalFormatting>
  <conditionalFormatting sqref="D120">
    <cfRule type="duplicateValues" dxfId="1686" priority="34" stopIfTrue="1"/>
    <cfRule type="duplicateValues" dxfId="1685" priority="35" stopIfTrue="1"/>
    <cfRule type="duplicateValues" dxfId="1684" priority="36"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5" stopIfTrue="1"/>
    <cfRule type="duplicateValues" dxfId="1676" priority="26" stopIfTrue="1"/>
    <cfRule type="duplicateValues" dxfId="1675" priority="27" stopIfTrue="1"/>
  </conditionalFormatting>
  <conditionalFormatting sqref="D125:D126">
    <cfRule type="duplicateValues" dxfId="1674" priority="22" stopIfTrue="1"/>
    <cfRule type="duplicateValues" dxfId="1673" priority="23" stopIfTrue="1"/>
    <cfRule type="duplicateValues" dxfId="1672" priority="24" stopIfTrue="1"/>
  </conditionalFormatting>
  <conditionalFormatting sqref="D127:D129">
    <cfRule type="duplicateValues" dxfId="1671" priority="19" stopIfTrue="1"/>
    <cfRule type="duplicateValues" dxfId="1670" priority="20" stopIfTrue="1"/>
    <cfRule type="duplicateValues" dxfId="1669" priority="21"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2" stopIfTrue="1"/>
    <cfRule type="duplicateValues" dxfId="1658" priority="3" stopIfTrue="1"/>
    <cfRule type="duplicateValues" dxfId="1657" priority="4"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7" stopIfTrue="1"/>
    <cfRule type="duplicateValues" dxfId="1651" priority="1218" stopIfTrue="1"/>
  </conditionalFormatting>
  <pageMargins left="0.7" right="0.7" top="0.75" bottom="0.75" header="0.3" footer="0.3"/>
  <pageSetup paperSize="9" orientation="portrait"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404" t="s">
        <v>1255</v>
      </c>
      <c r="B4" s="1404" t="s">
        <v>41</v>
      </c>
      <c r="C4" s="1405" t="s">
        <v>42</v>
      </c>
      <c r="D4" s="1406" t="s">
        <v>43</v>
      </c>
      <c r="E4" s="1406" t="s">
        <v>44</v>
      </c>
      <c r="F4" s="1406" t="s">
        <v>1285</v>
      </c>
      <c r="G4" s="1410" t="s">
        <v>47</v>
      </c>
      <c r="H4" s="1406" t="s">
        <v>1256</v>
      </c>
      <c r="I4" s="1408" t="s">
        <v>1257</v>
      </c>
      <c r="J4" s="1407" t="s">
        <v>49</v>
      </c>
      <c r="K4" s="1407" t="s">
        <v>1258</v>
      </c>
    </row>
    <row r="5" spans="1:11" s="159" customFormat="1" ht="12">
      <c r="A5" s="1404"/>
      <c r="B5" s="1404"/>
      <c r="C5" s="1405"/>
      <c r="D5" s="1406"/>
      <c r="E5" s="1406"/>
      <c r="F5" s="1406"/>
      <c r="G5" s="1410"/>
      <c r="H5" s="1406"/>
      <c r="I5" s="1409"/>
      <c r="J5" s="1407"/>
      <c r="K5" s="1407"/>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0" stopIfTrue="1"/>
    <cfRule type="duplicateValues" dxfId="1647" priority="131" stopIfTrue="1"/>
  </conditionalFormatting>
  <conditionalFormatting sqref="D7:D105">
    <cfRule type="duplicateValues" dxfId="1646" priority="2762"/>
  </conditionalFormatting>
  <conditionalFormatting sqref="D12:D19">
    <cfRule type="duplicateValues" dxfId="1645" priority="134" stopIfTrue="1"/>
    <cfRule type="duplicateValues" dxfId="1644" priority="135" stopIfTrue="1"/>
  </conditionalFormatting>
  <conditionalFormatting sqref="D20">
    <cfRule type="duplicateValues" dxfId="1643" priority="128" stopIfTrue="1"/>
    <cfRule type="duplicateValues" dxfId="1642" priority="129" stopIfTrue="1"/>
  </conditionalFormatting>
  <conditionalFormatting sqref="D21">
    <cfRule type="duplicateValues" dxfId="1641" priority="126" stopIfTrue="1"/>
    <cfRule type="duplicateValues" dxfId="1640" priority="127" stopIfTrue="1"/>
  </conditionalFormatting>
  <conditionalFormatting sqref="D22">
    <cfRule type="duplicateValues" dxfId="1639" priority="124" stopIfTrue="1"/>
    <cfRule type="duplicateValues" dxfId="1638" priority="125"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0" stopIfTrue="1"/>
    <cfRule type="duplicateValues" dxfId="1634" priority="121" stopIfTrue="1"/>
  </conditionalFormatting>
  <conditionalFormatting sqref="D25">
    <cfRule type="duplicateValues" dxfId="1633" priority="118" stopIfTrue="1"/>
    <cfRule type="duplicateValues" dxfId="1632" priority="119" stopIfTrue="1"/>
  </conditionalFormatting>
  <conditionalFormatting sqref="D26">
    <cfRule type="duplicateValues" dxfId="1631" priority="116" stopIfTrue="1"/>
    <cfRule type="duplicateValues" dxfId="1630" priority="117" stopIfTrue="1"/>
  </conditionalFormatting>
  <conditionalFormatting sqref="D27">
    <cfRule type="duplicateValues" dxfId="1629" priority="114" stopIfTrue="1"/>
    <cfRule type="duplicateValues" dxfId="1628" priority="115" stopIfTrue="1"/>
  </conditionalFormatting>
  <conditionalFormatting sqref="D28">
    <cfRule type="duplicateValues" dxfId="1627" priority="112" stopIfTrue="1"/>
    <cfRule type="duplicateValues" dxfId="1626" priority="113" stopIfTrue="1"/>
  </conditionalFormatting>
  <conditionalFormatting sqref="D29">
    <cfRule type="duplicateValues" dxfId="1625" priority="110" stopIfTrue="1"/>
    <cfRule type="duplicateValues" dxfId="1624" priority="111" stopIfTrue="1"/>
  </conditionalFormatting>
  <conditionalFormatting sqref="D30">
    <cfRule type="duplicateValues" dxfId="1623" priority="108" stopIfTrue="1"/>
    <cfRule type="duplicateValues" dxfId="1622" priority="109" stopIfTrue="1"/>
  </conditionalFormatting>
  <conditionalFormatting sqref="D31">
    <cfRule type="duplicateValues" dxfId="1621" priority="106" stopIfTrue="1"/>
    <cfRule type="duplicateValues" dxfId="1620" priority="107" stopIfTrue="1"/>
  </conditionalFormatting>
  <conditionalFormatting sqref="D32">
    <cfRule type="duplicateValues" dxfId="1619" priority="104" stopIfTrue="1"/>
    <cfRule type="duplicateValues" dxfId="1618" priority="105" stopIfTrue="1"/>
  </conditionalFormatting>
  <conditionalFormatting sqref="D33">
    <cfRule type="duplicateValues" dxfId="1617" priority="102" stopIfTrue="1"/>
    <cfRule type="duplicateValues" dxfId="1616" priority="103" stopIfTrue="1"/>
  </conditionalFormatting>
  <conditionalFormatting sqref="D34">
    <cfRule type="duplicateValues" dxfId="1615" priority="100" stopIfTrue="1"/>
    <cfRule type="duplicateValues" dxfId="1614" priority="101" stopIfTrue="1"/>
  </conditionalFormatting>
  <conditionalFormatting sqref="D35:D36">
    <cfRule type="duplicateValues" dxfId="1613" priority="98" stopIfTrue="1"/>
    <cfRule type="duplicateValues" dxfId="1612" priority="99" stopIfTrue="1"/>
  </conditionalFormatting>
  <conditionalFormatting sqref="D37">
    <cfRule type="duplicateValues" dxfId="1611" priority="94" stopIfTrue="1"/>
    <cfRule type="duplicateValues" dxfId="1610" priority="95" stopIfTrue="1"/>
  </conditionalFormatting>
  <conditionalFormatting sqref="D38">
    <cfRule type="duplicateValues" dxfId="1609" priority="90" stopIfTrue="1"/>
    <cfRule type="duplicateValues" dxfId="1608" priority="91" stopIfTrue="1"/>
  </conditionalFormatting>
  <conditionalFormatting sqref="D39">
    <cfRule type="duplicateValues" dxfId="1607" priority="92" stopIfTrue="1"/>
    <cfRule type="duplicateValues" dxfId="1606" priority="93" stopIfTrue="1"/>
  </conditionalFormatting>
  <conditionalFormatting sqref="D40">
    <cfRule type="duplicateValues" dxfId="1605" priority="88" stopIfTrue="1"/>
    <cfRule type="duplicateValues" dxfId="1604" priority="89" stopIfTrue="1"/>
  </conditionalFormatting>
  <conditionalFormatting sqref="D41">
    <cfRule type="duplicateValues" dxfId="1603" priority="86" stopIfTrue="1"/>
    <cfRule type="duplicateValues" dxfId="1602" priority="87" stopIfTrue="1"/>
  </conditionalFormatting>
  <conditionalFormatting sqref="D42">
    <cfRule type="duplicateValues" dxfId="1601" priority="84" stopIfTrue="1"/>
    <cfRule type="duplicateValues" dxfId="1600" priority="85" stopIfTrue="1"/>
  </conditionalFormatting>
  <conditionalFormatting sqref="D44">
    <cfRule type="duplicateValues" dxfId="1599" priority="82" stopIfTrue="1"/>
    <cfRule type="duplicateValues" dxfId="1598" priority="83" stopIfTrue="1"/>
  </conditionalFormatting>
  <conditionalFormatting sqref="D45">
    <cfRule type="duplicateValues" dxfId="1597" priority="80" stopIfTrue="1"/>
    <cfRule type="duplicateValues" dxfId="1596" priority="81" stopIfTrue="1"/>
  </conditionalFormatting>
  <conditionalFormatting sqref="D46">
    <cfRule type="duplicateValues" dxfId="1595" priority="78" stopIfTrue="1"/>
    <cfRule type="duplicateValues" dxfId="1594" priority="79" stopIfTrue="1"/>
  </conditionalFormatting>
  <conditionalFormatting sqref="D47">
    <cfRule type="duplicateValues" dxfId="1593" priority="76" stopIfTrue="1"/>
    <cfRule type="duplicateValues" dxfId="1592" priority="77" stopIfTrue="1"/>
  </conditionalFormatting>
  <conditionalFormatting sqref="D48">
    <cfRule type="duplicateValues" dxfId="1591" priority="74" stopIfTrue="1"/>
    <cfRule type="duplicateValues" dxfId="1590" priority="75"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8" stopIfTrue="1"/>
    <cfRule type="duplicateValues" dxfId="1586" priority="69" stopIfTrue="1"/>
  </conditionalFormatting>
  <conditionalFormatting sqref="D54">
    <cfRule type="duplicateValues" dxfId="1585" priority="64" stopIfTrue="1"/>
    <cfRule type="duplicateValues" dxfId="1584" priority="65" stopIfTrue="1"/>
  </conditionalFormatting>
  <conditionalFormatting sqref="D55">
    <cfRule type="duplicateValues" dxfId="1583" priority="62" stopIfTrue="1"/>
    <cfRule type="duplicateValues" dxfId="1582" priority="63" stopIfTrue="1"/>
  </conditionalFormatting>
  <conditionalFormatting sqref="D56">
    <cfRule type="duplicateValues" dxfId="1581" priority="60" stopIfTrue="1"/>
    <cfRule type="duplicateValues" dxfId="1580" priority="61" stopIfTrue="1"/>
  </conditionalFormatting>
  <conditionalFormatting sqref="D57:D58">
    <cfRule type="duplicateValues" dxfId="1579" priority="58" stopIfTrue="1"/>
    <cfRule type="duplicateValues" dxfId="1578" priority="59" stopIfTrue="1"/>
  </conditionalFormatting>
  <conditionalFormatting sqref="D59">
    <cfRule type="duplicateValues" dxfId="1577" priority="56" stopIfTrue="1"/>
    <cfRule type="duplicateValues" dxfId="1576" priority="57"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2" stopIfTrue="1"/>
    <cfRule type="duplicateValues" dxfId="1572" priority="53" stopIfTrue="1"/>
  </conditionalFormatting>
  <conditionalFormatting sqref="D62">
    <cfRule type="duplicateValues" dxfId="1571" priority="50" stopIfTrue="1"/>
    <cfRule type="duplicateValues" dxfId="1570" priority="51" stopIfTrue="1"/>
  </conditionalFormatting>
  <conditionalFormatting sqref="D63">
    <cfRule type="duplicateValues" dxfId="1569" priority="48" stopIfTrue="1"/>
    <cfRule type="duplicateValues" dxfId="1568" priority="49" stopIfTrue="1"/>
  </conditionalFormatting>
  <conditionalFormatting sqref="D64">
    <cfRule type="duplicateValues" dxfId="1567" priority="46" stopIfTrue="1"/>
    <cfRule type="duplicateValues" dxfId="1566" priority="47" stopIfTrue="1"/>
  </conditionalFormatting>
  <conditionalFormatting sqref="D66">
    <cfRule type="duplicateValues" dxfId="1565" priority="44" stopIfTrue="1"/>
    <cfRule type="duplicateValues" dxfId="1564" priority="45" stopIfTrue="1"/>
  </conditionalFormatting>
  <conditionalFormatting sqref="D67">
    <cfRule type="duplicateValues" dxfId="1563" priority="42" stopIfTrue="1"/>
    <cfRule type="duplicateValues" dxfId="1562" priority="43" stopIfTrue="1"/>
  </conditionalFormatting>
  <conditionalFormatting sqref="D68">
    <cfRule type="duplicateValues" dxfId="1561" priority="40" stopIfTrue="1"/>
    <cfRule type="duplicateValues" dxfId="1560" priority="41" stopIfTrue="1"/>
  </conditionalFormatting>
  <conditionalFormatting sqref="D69">
    <cfRule type="duplicateValues" dxfId="1559" priority="38" stopIfTrue="1"/>
    <cfRule type="duplicateValues" dxfId="1558" priority="39" stopIfTrue="1"/>
  </conditionalFormatting>
  <conditionalFormatting sqref="D70">
    <cfRule type="duplicateValues" dxfId="1557" priority="36" stopIfTrue="1"/>
    <cfRule type="duplicateValues" dxfId="1556" priority="37"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2" stopIfTrue="1"/>
    <cfRule type="duplicateValues" dxfId="1552" priority="33" stopIfTrue="1"/>
  </conditionalFormatting>
  <conditionalFormatting sqref="D73">
    <cfRule type="duplicateValues" dxfId="1551" priority="30" stopIfTrue="1"/>
    <cfRule type="duplicateValues" dxfId="1550" priority="31" stopIfTrue="1"/>
  </conditionalFormatting>
  <conditionalFormatting sqref="D74">
    <cfRule type="duplicateValues" dxfId="1549" priority="28" stopIfTrue="1"/>
    <cfRule type="duplicateValues" dxfId="1548" priority="29" stopIfTrue="1"/>
  </conditionalFormatting>
  <conditionalFormatting sqref="D75">
    <cfRule type="duplicateValues" dxfId="1547" priority="26" stopIfTrue="1"/>
    <cfRule type="duplicateValues" dxfId="1546" priority="27" stopIfTrue="1"/>
  </conditionalFormatting>
  <conditionalFormatting sqref="D76">
    <cfRule type="duplicateValues" dxfId="1545" priority="24" stopIfTrue="1"/>
    <cfRule type="duplicateValues" dxfId="1544" priority="25" stopIfTrue="1"/>
  </conditionalFormatting>
  <conditionalFormatting sqref="D77">
    <cfRule type="duplicateValues" dxfId="1543" priority="22" stopIfTrue="1"/>
    <cfRule type="duplicateValues" dxfId="1542" priority="23"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8" stopIfTrue="1"/>
    <cfRule type="duplicateValues" dxfId="1538" priority="19" stopIfTrue="1"/>
  </conditionalFormatting>
  <conditionalFormatting sqref="D80:D81">
    <cfRule type="duplicateValues" dxfId="1537" priority="16" stopIfTrue="1"/>
    <cfRule type="duplicateValues" dxfId="1536" priority="17" stopIfTrue="1"/>
  </conditionalFormatting>
  <conditionalFormatting sqref="D82">
    <cfRule type="duplicateValues" dxfId="1535" priority="14" stopIfTrue="1"/>
    <cfRule type="duplicateValues" dxfId="1534" priority="15" stopIfTrue="1"/>
  </conditionalFormatting>
  <conditionalFormatting sqref="D83">
    <cfRule type="duplicateValues" dxfId="1533" priority="12" stopIfTrue="1"/>
    <cfRule type="duplicateValues" dxfId="1532" priority="13" stopIfTrue="1"/>
  </conditionalFormatting>
  <conditionalFormatting sqref="D84">
    <cfRule type="duplicateValues" dxfId="1531" priority="10" stopIfTrue="1"/>
    <cfRule type="duplicateValues" dxfId="1530" priority="11" stopIfTrue="1"/>
  </conditionalFormatting>
  <conditionalFormatting sqref="D85:D87">
    <cfRule type="duplicateValues" dxfId="1529" priority="8" stopIfTrue="1"/>
    <cfRule type="duplicateValues" dxfId="1528" priority="9" stopIfTrue="1"/>
  </conditionalFormatting>
  <conditionalFormatting sqref="D88">
    <cfRule type="duplicateValues" dxfId="1527" priority="6" stopIfTrue="1"/>
    <cfRule type="duplicateValues" dxfId="1526" priority="7"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04" t="s">
        <v>1255</v>
      </c>
      <c r="B4" s="1404" t="s">
        <v>41</v>
      </c>
      <c r="C4" s="1405" t="s">
        <v>42</v>
      </c>
      <c r="D4" s="1406" t="s">
        <v>43</v>
      </c>
      <c r="E4" s="1406" t="s">
        <v>44</v>
      </c>
      <c r="F4" s="1406" t="s">
        <v>1285</v>
      </c>
      <c r="G4" s="1410" t="s">
        <v>47</v>
      </c>
      <c r="H4" s="1406" t="s">
        <v>1256</v>
      </c>
      <c r="I4" s="1408" t="s">
        <v>1257</v>
      </c>
      <c r="J4" s="1407" t="s">
        <v>49</v>
      </c>
      <c r="K4" s="1407" t="s">
        <v>1258</v>
      </c>
    </row>
    <row r="5" spans="1:11" s="159" customFormat="1" ht="12">
      <c r="A5" s="1404"/>
      <c r="B5" s="1404"/>
      <c r="C5" s="1405"/>
      <c r="D5" s="1406"/>
      <c r="E5" s="1406"/>
      <c r="F5" s="1406"/>
      <c r="G5" s="1410"/>
      <c r="H5" s="1406"/>
      <c r="I5" s="1409"/>
      <c r="J5" s="1407"/>
      <c r="K5" s="1407"/>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58" stopIfTrue="1"/>
    <cfRule type="duplicateValues" dxfId="1521" priority="2359" stopIfTrue="1"/>
    <cfRule type="duplicateValues" dxfId="1520" priority="2360" stopIfTrue="1"/>
    <cfRule type="duplicateValues" dxfId="1519" priority="2361" stopIfTrue="1"/>
    <cfRule type="duplicateValues" dxfId="1518" priority="2362" stopIfTrue="1"/>
    <cfRule type="duplicateValues" dxfId="1517" priority="2363" stopIfTrue="1"/>
    <cfRule type="duplicateValues" dxfId="1516" priority="2364" stopIfTrue="1"/>
    <cfRule type="duplicateValues" dxfId="1515" priority="2365" stopIfTrue="1"/>
    <cfRule type="duplicateValues" dxfId="1514" priority="2366" stopIfTrue="1"/>
    <cfRule type="duplicateValues" dxfId="1513" priority="2367" stopIfTrue="1"/>
    <cfRule type="duplicateValues" dxfId="1512" priority="2368" stopIfTrue="1"/>
    <cfRule type="duplicateValues" dxfId="1511" priority="2369" stopIfTrue="1"/>
    <cfRule type="duplicateValues" dxfId="1510" priority="2370"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282" stopIfTrue="1"/>
    <cfRule type="duplicateValues" dxfId="1501" priority="2283" stopIfTrue="1"/>
    <cfRule type="duplicateValues" dxfId="1500" priority="2284" stopIfTrue="1"/>
    <cfRule type="duplicateValues" dxfId="1499" priority="2285" stopIfTrue="1"/>
    <cfRule type="duplicateValues" dxfId="1498" priority="2286" stopIfTrue="1"/>
    <cfRule type="duplicateValues" dxfId="1497" priority="2287" stopIfTrue="1"/>
    <cfRule type="duplicateValues" dxfId="1496" priority="2288" stopIfTrue="1"/>
    <cfRule type="duplicateValues" dxfId="1495" priority="2289" stopIfTrue="1"/>
    <cfRule type="duplicateValues" dxfId="1494" priority="2290" stopIfTrue="1"/>
    <cfRule type="duplicateValues" dxfId="1493" priority="2291" stopIfTrue="1"/>
    <cfRule type="duplicateValues" dxfId="1492" priority="2292" stopIfTrue="1"/>
    <cfRule type="duplicateValues" dxfId="1491" priority="2293" stopIfTrue="1"/>
    <cfRule type="duplicateValues" dxfId="1490" priority="2294" stopIfTrue="1"/>
    <cfRule type="duplicateValues" dxfId="1489" priority="2295" stopIfTrue="1"/>
    <cfRule type="duplicateValues" dxfId="1488" priority="2296" stopIfTrue="1"/>
    <cfRule type="duplicateValues" dxfId="1487" priority="2297" stopIfTrue="1"/>
    <cfRule type="duplicateValues" dxfId="1486" priority="2298" stopIfTrue="1"/>
    <cfRule type="duplicateValues" dxfId="1485" priority="2299" stopIfTrue="1"/>
    <cfRule type="duplicateValues" dxfId="1484" priority="2300" stopIfTrue="1"/>
  </conditionalFormatting>
  <conditionalFormatting sqref="D9">
    <cfRule type="duplicateValues" dxfId="1483" priority="2204" stopIfTrue="1"/>
    <cfRule type="duplicateValues" dxfId="1482" priority="2205" stopIfTrue="1"/>
    <cfRule type="duplicateValues" dxfId="1481" priority="2206" stopIfTrue="1"/>
    <cfRule type="duplicateValues" dxfId="1480" priority="2207" stopIfTrue="1"/>
    <cfRule type="duplicateValues" dxfId="1479" priority="2208" stopIfTrue="1"/>
    <cfRule type="duplicateValues" dxfId="1478" priority="2209" stopIfTrue="1"/>
    <cfRule type="duplicateValues" dxfId="1477" priority="2210" stopIfTrue="1"/>
    <cfRule type="duplicateValues" dxfId="1476" priority="2211" stopIfTrue="1"/>
    <cfRule type="duplicateValues" dxfId="1475" priority="2212" stopIfTrue="1"/>
    <cfRule type="duplicateValues" dxfId="1474" priority="2213" stopIfTrue="1"/>
    <cfRule type="duplicateValues" dxfId="1473" priority="2214" stopIfTrue="1"/>
    <cfRule type="duplicateValues" dxfId="1472" priority="2215" stopIfTrue="1"/>
    <cfRule type="duplicateValues" dxfId="1471" priority="2216" stopIfTrue="1"/>
    <cfRule type="duplicateValues" dxfId="1470" priority="2217" stopIfTrue="1"/>
    <cfRule type="duplicateValues" dxfId="1469" priority="2218" stopIfTrue="1"/>
    <cfRule type="duplicateValues" dxfId="1468" priority="2219" stopIfTrue="1"/>
    <cfRule type="duplicateValues" dxfId="1467" priority="2220" stopIfTrue="1"/>
    <cfRule type="duplicateValues" dxfId="1466" priority="2221" stopIfTrue="1"/>
    <cfRule type="duplicateValues" dxfId="1465" priority="2222" stopIfTrue="1"/>
    <cfRule type="duplicateValues" dxfId="1464" priority="2224" stopIfTrue="1"/>
  </conditionalFormatting>
  <conditionalFormatting sqref="D10">
    <cfRule type="duplicateValues" dxfId="1463" priority="2050" stopIfTrue="1"/>
    <cfRule type="duplicateValues" dxfId="1462" priority="2051" stopIfTrue="1"/>
    <cfRule type="duplicateValues" dxfId="1461" priority="2052" stopIfTrue="1"/>
    <cfRule type="duplicateValues" dxfId="1460" priority="2053" stopIfTrue="1"/>
    <cfRule type="duplicateValues" dxfId="1459" priority="2054" stopIfTrue="1"/>
    <cfRule type="duplicateValues" dxfId="1458" priority="2055" stopIfTrue="1"/>
    <cfRule type="duplicateValues" dxfId="1457" priority="2056" stopIfTrue="1"/>
    <cfRule type="duplicateValues" dxfId="1456" priority="2057" stopIfTrue="1"/>
    <cfRule type="duplicateValues" dxfId="1455" priority="2058" stopIfTrue="1"/>
    <cfRule type="duplicateValues" dxfId="1454" priority="2059" stopIfTrue="1"/>
    <cfRule type="duplicateValues" dxfId="1453" priority="2060" stopIfTrue="1"/>
    <cfRule type="duplicateValues" dxfId="1452" priority="2061" stopIfTrue="1"/>
    <cfRule type="duplicateValues" dxfId="1451" priority="2062" stopIfTrue="1"/>
    <cfRule type="duplicateValues" dxfId="1450" priority="2063" stopIfTrue="1"/>
    <cfRule type="duplicateValues" dxfId="1449" priority="2064" stopIfTrue="1"/>
    <cfRule type="duplicateValues" dxfId="1448" priority="2065" stopIfTrue="1"/>
    <cfRule type="duplicateValues" dxfId="1447" priority="2066" stopIfTrue="1"/>
    <cfRule type="duplicateValues" dxfId="1446" priority="2067" stopIfTrue="1"/>
    <cfRule type="duplicateValues" dxfId="1445" priority="2068" stopIfTrue="1"/>
    <cfRule type="duplicateValues" dxfId="1444" priority="2070" stopIfTrue="1"/>
  </conditionalFormatting>
  <conditionalFormatting sqref="D11:D13">
    <cfRule type="duplicateValues" dxfId="1443" priority="1896" stopIfTrue="1"/>
    <cfRule type="duplicateValues" dxfId="1442" priority="1897" stopIfTrue="1"/>
    <cfRule type="duplicateValues" dxfId="1441" priority="1898" stopIfTrue="1"/>
    <cfRule type="duplicateValues" dxfId="1440" priority="1899" stopIfTrue="1"/>
    <cfRule type="duplicateValues" dxfId="1439" priority="1900" stopIfTrue="1"/>
    <cfRule type="duplicateValues" dxfId="1438" priority="1901" stopIfTrue="1"/>
    <cfRule type="duplicateValues" dxfId="1437" priority="1902" stopIfTrue="1"/>
    <cfRule type="duplicateValues" dxfId="1436" priority="1903" stopIfTrue="1"/>
    <cfRule type="duplicateValues" dxfId="1435" priority="1904" stopIfTrue="1"/>
    <cfRule type="duplicateValues" dxfId="1434" priority="1905" stopIfTrue="1"/>
    <cfRule type="duplicateValues" dxfId="1433" priority="1906" stopIfTrue="1"/>
    <cfRule type="duplicateValues" dxfId="1432" priority="1907" stopIfTrue="1"/>
    <cfRule type="duplicateValues" dxfId="1431" priority="1908" stopIfTrue="1"/>
    <cfRule type="duplicateValues" dxfId="1430" priority="1909" stopIfTrue="1"/>
    <cfRule type="duplicateValues" dxfId="1429" priority="1910" stopIfTrue="1"/>
    <cfRule type="duplicateValues" dxfId="1428" priority="1911" stopIfTrue="1"/>
    <cfRule type="duplicateValues" dxfId="1427" priority="1912" stopIfTrue="1"/>
    <cfRule type="duplicateValues" dxfId="1426" priority="1913" stopIfTrue="1"/>
    <cfRule type="duplicateValues" dxfId="1425" priority="1914" stopIfTrue="1"/>
    <cfRule type="duplicateValues" dxfId="1424" priority="1916" stopIfTrue="1"/>
  </conditionalFormatting>
  <conditionalFormatting sqref="D14:D16">
    <cfRule type="duplicateValues" dxfId="1423" priority="1742" stopIfTrue="1"/>
    <cfRule type="duplicateValues" dxfId="1422" priority="1743" stopIfTrue="1"/>
    <cfRule type="duplicateValues" dxfId="1421" priority="1744" stopIfTrue="1"/>
    <cfRule type="duplicateValues" dxfId="1420" priority="1745" stopIfTrue="1"/>
    <cfRule type="duplicateValues" dxfId="1419" priority="1746" stopIfTrue="1"/>
    <cfRule type="duplicateValues" dxfId="1418" priority="1747" stopIfTrue="1"/>
    <cfRule type="duplicateValues" dxfId="1417" priority="1748" stopIfTrue="1"/>
    <cfRule type="duplicateValues" dxfId="1416" priority="1749" stopIfTrue="1"/>
    <cfRule type="duplicateValues" dxfId="1415" priority="1750" stopIfTrue="1"/>
    <cfRule type="duplicateValues" dxfId="1414" priority="1751" stopIfTrue="1"/>
    <cfRule type="duplicateValues" dxfId="1413" priority="1752" stopIfTrue="1"/>
    <cfRule type="duplicateValues" dxfId="1412" priority="1753" stopIfTrue="1"/>
    <cfRule type="duplicateValues" dxfId="1411" priority="1754" stopIfTrue="1"/>
    <cfRule type="duplicateValues" dxfId="1410" priority="1755" stopIfTrue="1"/>
    <cfRule type="duplicateValues" dxfId="1409" priority="1756" stopIfTrue="1"/>
    <cfRule type="duplicateValues" dxfId="1408" priority="1757" stopIfTrue="1"/>
    <cfRule type="duplicateValues" dxfId="1407" priority="1758" stopIfTrue="1"/>
    <cfRule type="duplicateValues" dxfId="1406" priority="1759" stopIfTrue="1"/>
    <cfRule type="duplicateValues" dxfId="1405" priority="1760" stopIfTrue="1"/>
    <cfRule type="duplicateValues" dxfId="1404" priority="1762" stopIfTrue="1"/>
  </conditionalFormatting>
  <conditionalFormatting sqref="D17">
    <cfRule type="duplicateValues" dxfId="1403" priority="1589" stopIfTrue="1"/>
    <cfRule type="duplicateValues" dxfId="1402" priority="1590" stopIfTrue="1"/>
    <cfRule type="duplicateValues" dxfId="1401" priority="1591" stopIfTrue="1"/>
    <cfRule type="duplicateValues" dxfId="1400" priority="1592" stopIfTrue="1"/>
    <cfRule type="duplicateValues" dxfId="1399" priority="1593" stopIfTrue="1"/>
    <cfRule type="duplicateValues" dxfId="1398" priority="1594" stopIfTrue="1"/>
    <cfRule type="duplicateValues" dxfId="1397" priority="1595" stopIfTrue="1"/>
    <cfRule type="duplicateValues" dxfId="1396" priority="1596" stopIfTrue="1"/>
    <cfRule type="duplicateValues" dxfId="1395" priority="1597" stopIfTrue="1"/>
    <cfRule type="duplicateValues" dxfId="1394" priority="1598" stopIfTrue="1"/>
    <cfRule type="duplicateValues" dxfId="1393" priority="1599" stopIfTrue="1"/>
    <cfRule type="duplicateValues" dxfId="1392" priority="1600" stopIfTrue="1"/>
    <cfRule type="duplicateValues" dxfId="1391" priority="1601" stopIfTrue="1"/>
    <cfRule type="duplicateValues" dxfId="1390" priority="1602" stopIfTrue="1"/>
    <cfRule type="duplicateValues" dxfId="1389" priority="1603" stopIfTrue="1"/>
    <cfRule type="duplicateValues" dxfId="1388" priority="1604" stopIfTrue="1"/>
    <cfRule type="duplicateValues" dxfId="1387" priority="1605" stopIfTrue="1"/>
    <cfRule type="duplicateValues" dxfId="1386" priority="1606" stopIfTrue="1"/>
    <cfRule type="duplicateValues" dxfId="1385" priority="1607" stopIfTrue="1"/>
    <cfRule type="duplicateValues" dxfId="1384" priority="1608" stopIfTrue="1"/>
  </conditionalFormatting>
  <conditionalFormatting sqref="D18">
    <cfRule type="duplicateValues" dxfId="1383" priority="1569" stopIfTrue="1"/>
    <cfRule type="duplicateValues" dxfId="1382" priority="1570" stopIfTrue="1"/>
    <cfRule type="duplicateValues" dxfId="1381" priority="1571" stopIfTrue="1"/>
    <cfRule type="duplicateValues" dxfId="1380" priority="1572" stopIfTrue="1"/>
    <cfRule type="duplicateValues" dxfId="1379" priority="1573" stopIfTrue="1"/>
    <cfRule type="duplicateValues" dxfId="1378" priority="1574" stopIfTrue="1"/>
    <cfRule type="duplicateValues" dxfId="1377" priority="1575" stopIfTrue="1"/>
    <cfRule type="duplicateValues" dxfId="1376" priority="1576" stopIfTrue="1"/>
    <cfRule type="duplicateValues" dxfId="1375" priority="1577" stopIfTrue="1"/>
    <cfRule type="duplicateValues" dxfId="1374" priority="1578" stopIfTrue="1"/>
    <cfRule type="duplicateValues" dxfId="1373" priority="1579" stopIfTrue="1"/>
    <cfRule type="duplicateValues" dxfId="1372" priority="1580" stopIfTrue="1"/>
    <cfRule type="duplicateValues" dxfId="1371" priority="1581" stopIfTrue="1"/>
    <cfRule type="duplicateValues" dxfId="1370" priority="1582" stopIfTrue="1"/>
    <cfRule type="duplicateValues" dxfId="1369" priority="1583" stopIfTrue="1"/>
    <cfRule type="duplicateValues" dxfId="1368" priority="1584" stopIfTrue="1"/>
    <cfRule type="duplicateValues" dxfId="1367" priority="1585" stopIfTrue="1"/>
    <cfRule type="duplicateValues" dxfId="1366" priority="1586" stopIfTrue="1"/>
    <cfRule type="duplicateValues" dxfId="1365" priority="1587" stopIfTrue="1"/>
    <cfRule type="duplicateValues" dxfId="1364" priority="1588" stopIfTrue="1"/>
  </conditionalFormatting>
  <conditionalFormatting sqref="D19">
    <cfRule type="duplicateValues" dxfId="1363" priority="1549" stopIfTrue="1"/>
    <cfRule type="duplicateValues" dxfId="1362" priority="1550" stopIfTrue="1"/>
    <cfRule type="duplicateValues" dxfId="1361" priority="1551" stopIfTrue="1"/>
    <cfRule type="duplicateValues" dxfId="1360" priority="1552" stopIfTrue="1"/>
    <cfRule type="duplicateValues" dxfId="1359" priority="1553" stopIfTrue="1"/>
    <cfRule type="duplicateValues" dxfId="1358" priority="1554" stopIfTrue="1"/>
    <cfRule type="duplicateValues" dxfId="1357" priority="1555" stopIfTrue="1"/>
    <cfRule type="duplicateValues" dxfId="1356" priority="1556" stopIfTrue="1"/>
    <cfRule type="duplicateValues" dxfId="1355" priority="1557" stopIfTrue="1"/>
    <cfRule type="duplicateValues" dxfId="1354" priority="1558" stopIfTrue="1"/>
    <cfRule type="duplicateValues" dxfId="1353" priority="1559" stopIfTrue="1"/>
    <cfRule type="duplicateValues" dxfId="1352" priority="1560" stopIfTrue="1"/>
    <cfRule type="duplicateValues" dxfId="1351" priority="1561" stopIfTrue="1"/>
    <cfRule type="duplicateValues" dxfId="1350" priority="1562" stopIfTrue="1"/>
    <cfRule type="duplicateValues" dxfId="1349" priority="1563" stopIfTrue="1"/>
    <cfRule type="duplicateValues" dxfId="1348" priority="1564" stopIfTrue="1"/>
    <cfRule type="duplicateValues" dxfId="1347" priority="1565" stopIfTrue="1"/>
    <cfRule type="duplicateValues" dxfId="1346" priority="1566" stopIfTrue="1"/>
    <cfRule type="duplicateValues" dxfId="1345" priority="1567" stopIfTrue="1"/>
    <cfRule type="duplicateValues" dxfId="1344" priority="1568" stopIfTrue="1"/>
  </conditionalFormatting>
  <conditionalFormatting sqref="D20:D22">
    <cfRule type="duplicateValues" dxfId="1343" priority="1529" stopIfTrue="1"/>
    <cfRule type="duplicateValues" dxfId="1342" priority="1530" stopIfTrue="1"/>
    <cfRule type="duplicateValues" dxfId="1341" priority="1531" stopIfTrue="1"/>
    <cfRule type="duplicateValues" dxfId="1340" priority="1532" stopIfTrue="1"/>
    <cfRule type="duplicateValues" dxfId="1339" priority="1533" stopIfTrue="1"/>
    <cfRule type="duplicateValues" dxfId="1338" priority="1534" stopIfTrue="1"/>
    <cfRule type="duplicateValues" dxfId="1337" priority="1535" stopIfTrue="1"/>
    <cfRule type="duplicateValues" dxfId="1336" priority="1536" stopIfTrue="1"/>
    <cfRule type="duplicateValues" dxfId="1335" priority="1537" stopIfTrue="1"/>
    <cfRule type="duplicateValues" dxfId="1334" priority="1538" stopIfTrue="1"/>
    <cfRule type="duplicateValues" dxfId="1333" priority="1539" stopIfTrue="1"/>
    <cfRule type="duplicateValues" dxfId="1332" priority="1540" stopIfTrue="1"/>
    <cfRule type="duplicateValues" dxfId="1331" priority="1541" stopIfTrue="1"/>
    <cfRule type="duplicateValues" dxfId="1330" priority="1542" stopIfTrue="1"/>
    <cfRule type="duplicateValues" dxfId="1329" priority="1543" stopIfTrue="1"/>
    <cfRule type="duplicateValues" dxfId="1328" priority="1544" stopIfTrue="1"/>
    <cfRule type="duplicateValues" dxfId="1327" priority="1545" stopIfTrue="1"/>
    <cfRule type="duplicateValues" dxfId="1326" priority="1546" stopIfTrue="1"/>
    <cfRule type="duplicateValues" dxfId="1325" priority="1547" stopIfTrue="1"/>
    <cfRule type="duplicateValues" dxfId="1324" priority="1548" stopIfTrue="1"/>
  </conditionalFormatting>
  <conditionalFormatting sqref="D23">
    <cfRule type="duplicateValues" dxfId="1323" priority="1509" stopIfTrue="1"/>
    <cfRule type="duplicateValues" dxfId="1322" priority="1510" stopIfTrue="1"/>
    <cfRule type="duplicateValues" dxfId="1321" priority="1511" stopIfTrue="1"/>
    <cfRule type="duplicateValues" dxfId="1320" priority="1512" stopIfTrue="1"/>
    <cfRule type="duplicateValues" dxfId="1319" priority="1513" stopIfTrue="1"/>
    <cfRule type="duplicateValues" dxfId="1318" priority="1514" stopIfTrue="1"/>
    <cfRule type="duplicateValues" dxfId="1317" priority="1515" stopIfTrue="1"/>
    <cfRule type="duplicateValues" dxfId="1316" priority="1516" stopIfTrue="1"/>
    <cfRule type="duplicateValues" dxfId="1315" priority="1517" stopIfTrue="1"/>
    <cfRule type="duplicateValues" dxfId="1314" priority="1518" stopIfTrue="1"/>
    <cfRule type="duplicateValues" dxfId="1313" priority="1519" stopIfTrue="1"/>
    <cfRule type="duplicateValues" dxfId="1312" priority="1520" stopIfTrue="1"/>
    <cfRule type="duplicateValues" dxfId="1311" priority="1521" stopIfTrue="1"/>
    <cfRule type="duplicateValues" dxfId="1310" priority="1522" stopIfTrue="1"/>
    <cfRule type="duplicateValues" dxfId="1309" priority="1523" stopIfTrue="1"/>
    <cfRule type="duplicateValues" dxfId="1308" priority="1524" stopIfTrue="1"/>
    <cfRule type="duplicateValues" dxfId="1307" priority="1525" stopIfTrue="1"/>
    <cfRule type="duplicateValues" dxfId="1306" priority="1526" stopIfTrue="1"/>
    <cfRule type="duplicateValues" dxfId="1305" priority="1527" stopIfTrue="1"/>
    <cfRule type="duplicateValues" dxfId="1304" priority="1528" stopIfTrue="1"/>
  </conditionalFormatting>
  <conditionalFormatting sqref="D24">
    <cfRule type="duplicateValues" dxfId="1303" priority="1489" stopIfTrue="1"/>
    <cfRule type="duplicateValues" dxfId="1302" priority="1490" stopIfTrue="1"/>
    <cfRule type="duplicateValues" dxfId="1301" priority="1491" stopIfTrue="1"/>
    <cfRule type="duplicateValues" dxfId="1300" priority="1492" stopIfTrue="1"/>
    <cfRule type="duplicateValues" dxfId="1299" priority="1493" stopIfTrue="1"/>
    <cfRule type="duplicateValues" dxfId="1298" priority="1494" stopIfTrue="1"/>
    <cfRule type="duplicateValues" dxfId="1297" priority="1495" stopIfTrue="1"/>
    <cfRule type="duplicateValues" dxfId="1296" priority="1496" stopIfTrue="1"/>
    <cfRule type="duplicateValues" dxfId="1295" priority="1497" stopIfTrue="1"/>
    <cfRule type="duplicateValues" dxfId="1294" priority="1498" stopIfTrue="1"/>
    <cfRule type="duplicateValues" dxfId="1293" priority="1499" stopIfTrue="1"/>
    <cfRule type="duplicateValues" dxfId="1292" priority="1500" stopIfTrue="1"/>
    <cfRule type="duplicateValues" dxfId="1291" priority="1501" stopIfTrue="1"/>
    <cfRule type="duplicateValues" dxfId="1290" priority="1502" stopIfTrue="1"/>
    <cfRule type="duplicateValues" dxfId="1289" priority="1503" stopIfTrue="1"/>
    <cfRule type="duplicateValues" dxfId="1288" priority="1504" stopIfTrue="1"/>
    <cfRule type="duplicateValues" dxfId="1287" priority="1505" stopIfTrue="1"/>
    <cfRule type="duplicateValues" dxfId="1286" priority="1506" stopIfTrue="1"/>
    <cfRule type="duplicateValues" dxfId="1285" priority="1507" stopIfTrue="1"/>
    <cfRule type="duplicateValues" dxfId="1284" priority="1508" stopIfTrue="1"/>
  </conditionalFormatting>
  <conditionalFormatting sqref="D25">
    <cfRule type="duplicateValues" dxfId="1283" priority="1469" stopIfTrue="1"/>
    <cfRule type="duplicateValues" dxfId="1282" priority="1470" stopIfTrue="1"/>
    <cfRule type="duplicateValues" dxfId="1281" priority="1471" stopIfTrue="1"/>
    <cfRule type="duplicateValues" dxfId="1280" priority="1472" stopIfTrue="1"/>
    <cfRule type="duplicateValues" dxfId="1279" priority="1473" stopIfTrue="1"/>
    <cfRule type="duplicateValues" dxfId="1278" priority="1474" stopIfTrue="1"/>
    <cfRule type="duplicateValues" dxfId="1277" priority="1475" stopIfTrue="1"/>
    <cfRule type="duplicateValues" dxfId="1276" priority="1476" stopIfTrue="1"/>
    <cfRule type="duplicateValues" dxfId="1275" priority="1477" stopIfTrue="1"/>
    <cfRule type="duplicateValues" dxfId="1274" priority="1478" stopIfTrue="1"/>
    <cfRule type="duplicateValues" dxfId="1273" priority="1479" stopIfTrue="1"/>
    <cfRule type="duplicateValues" dxfId="1272" priority="1480" stopIfTrue="1"/>
    <cfRule type="duplicateValues" dxfId="1271" priority="1481" stopIfTrue="1"/>
    <cfRule type="duplicateValues" dxfId="1270" priority="1482" stopIfTrue="1"/>
    <cfRule type="duplicateValues" dxfId="1269" priority="1483" stopIfTrue="1"/>
    <cfRule type="duplicateValues" dxfId="1268" priority="1484" stopIfTrue="1"/>
    <cfRule type="duplicateValues" dxfId="1267" priority="1485" stopIfTrue="1"/>
    <cfRule type="duplicateValues" dxfId="1266" priority="1486" stopIfTrue="1"/>
    <cfRule type="duplicateValues" dxfId="1265" priority="1487" stopIfTrue="1"/>
    <cfRule type="duplicateValues" dxfId="1264" priority="1488" stopIfTrue="1"/>
  </conditionalFormatting>
  <conditionalFormatting sqref="D26">
    <cfRule type="duplicateValues" dxfId="1263" priority="1449" stopIfTrue="1"/>
    <cfRule type="duplicateValues" dxfId="1262" priority="1450" stopIfTrue="1"/>
    <cfRule type="duplicateValues" dxfId="1261" priority="1451" stopIfTrue="1"/>
    <cfRule type="duplicateValues" dxfId="1260" priority="1452" stopIfTrue="1"/>
    <cfRule type="duplicateValues" dxfId="1259" priority="1453" stopIfTrue="1"/>
    <cfRule type="duplicateValues" dxfId="1258" priority="1454" stopIfTrue="1"/>
    <cfRule type="duplicateValues" dxfId="1257" priority="1455" stopIfTrue="1"/>
    <cfRule type="duplicateValues" dxfId="1256" priority="1456" stopIfTrue="1"/>
    <cfRule type="duplicateValues" dxfId="1255" priority="1457" stopIfTrue="1"/>
    <cfRule type="duplicateValues" dxfId="1254" priority="1458" stopIfTrue="1"/>
    <cfRule type="duplicateValues" dxfId="1253" priority="1459" stopIfTrue="1"/>
    <cfRule type="duplicateValues" dxfId="1252" priority="1460" stopIfTrue="1"/>
    <cfRule type="duplicateValues" dxfId="1251" priority="1461" stopIfTrue="1"/>
    <cfRule type="duplicateValues" dxfId="1250" priority="1462" stopIfTrue="1"/>
    <cfRule type="duplicateValues" dxfId="1249" priority="1463" stopIfTrue="1"/>
    <cfRule type="duplicateValues" dxfId="1248" priority="1464" stopIfTrue="1"/>
    <cfRule type="duplicateValues" dxfId="1247" priority="1465" stopIfTrue="1"/>
    <cfRule type="duplicateValues" dxfId="1246" priority="1466" stopIfTrue="1"/>
    <cfRule type="duplicateValues" dxfId="1245" priority="1467" stopIfTrue="1"/>
    <cfRule type="duplicateValues" dxfId="1244" priority="1468" stopIfTrue="1"/>
  </conditionalFormatting>
  <conditionalFormatting sqref="D27">
    <cfRule type="duplicateValues" dxfId="1243" priority="1429" stopIfTrue="1"/>
    <cfRule type="duplicateValues" dxfId="1242" priority="1430" stopIfTrue="1"/>
    <cfRule type="duplicateValues" dxfId="1241" priority="1431" stopIfTrue="1"/>
    <cfRule type="duplicateValues" dxfId="1240" priority="1432" stopIfTrue="1"/>
    <cfRule type="duplicateValues" dxfId="1239" priority="1433" stopIfTrue="1"/>
    <cfRule type="duplicateValues" dxfId="1238" priority="1434" stopIfTrue="1"/>
    <cfRule type="duplicateValues" dxfId="1237" priority="1435" stopIfTrue="1"/>
    <cfRule type="duplicateValues" dxfId="1236" priority="1436" stopIfTrue="1"/>
    <cfRule type="duplicateValues" dxfId="1235" priority="1437" stopIfTrue="1"/>
    <cfRule type="duplicateValues" dxfId="1234" priority="1438" stopIfTrue="1"/>
    <cfRule type="duplicateValues" dxfId="1233" priority="1439" stopIfTrue="1"/>
    <cfRule type="duplicateValues" dxfId="1232" priority="1440" stopIfTrue="1"/>
    <cfRule type="duplicateValues" dxfId="1231" priority="1441" stopIfTrue="1"/>
    <cfRule type="duplicateValues" dxfId="1230" priority="1442" stopIfTrue="1"/>
    <cfRule type="duplicateValues" dxfId="1229" priority="1443" stopIfTrue="1"/>
    <cfRule type="duplicateValues" dxfId="1228" priority="1444" stopIfTrue="1"/>
    <cfRule type="duplicateValues" dxfId="1227" priority="1445" stopIfTrue="1"/>
    <cfRule type="duplicateValues" dxfId="1226" priority="1446" stopIfTrue="1"/>
    <cfRule type="duplicateValues" dxfId="1225" priority="1447" stopIfTrue="1"/>
    <cfRule type="duplicateValues" dxfId="1224" priority="1448" stopIfTrue="1"/>
  </conditionalFormatting>
  <conditionalFormatting sqref="D28">
    <cfRule type="duplicateValues" dxfId="1223" priority="1419" stopIfTrue="1"/>
    <cfRule type="duplicateValues" dxfId="1222" priority="1420" stopIfTrue="1"/>
    <cfRule type="duplicateValues" dxfId="1221" priority="1421" stopIfTrue="1"/>
    <cfRule type="duplicateValues" dxfId="1220" priority="1422" stopIfTrue="1"/>
    <cfRule type="duplicateValues" dxfId="1219" priority="1423" stopIfTrue="1"/>
    <cfRule type="duplicateValues" dxfId="1218" priority="1424" stopIfTrue="1"/>
    <cfRule type="duplicateValues" dxfId="1217" priority="1425" stopIfTrue="1"/>
    <cfRule type="duplicateValues" dxfId="1216" priority="1426" stopIfTrue="1"/>
    <cfRule type="duplicateValues" dxfId="1215" priority="1427" stopIfTrue="1"/>
    <cfRule type="duplicateValues" dxfId="1214" priority="1428" stopIfTrue="1"/>
  </conditionalFormatting>
  <conditionalFormatting sqref="D29">
    <cfRule type="duplicateValues" dxfId="1213" priority="1395" stopIfTrue="1"/>
    <cfRule type="duplicateValues" dxfId="1212" priority="1396" stopIfTrue="1"/>
    <cfRule type="duplicateValues" dxfId="1211" priority="1397" stopIfTrue="1"/>
    <cfRule type="duplicateValues" dxfId="1210" priority="1398" stopIfTrue="1"/>
    <cfRule type="duplicateValues" dxfId="1209" priority="1399" stopIfTrue="1"/>
    <cfRule type="duplicateValues" dxfId="1208" priority="1400" stopIfTrue="1"/>
    <cfRule type="duplicateValues" dxfId="1207" priority="1401" stopIfTrue="1"/>
    <cfRule type="duplicateValues" dxfId="1206" priority="1402" stopIfTrue="1"/>
    <cfRule type="duplicateValues" dxfId="1205" priority="1403" stopIfTrue="1"/>
    <cfRule type="duplicateValues" dxfId="1204" priority="1404" stopIfTrue="1"/>
    <cfRule type="duplicateValues" dxfId="1203" priority="1405" stopIfTrue="1"/>
    <cfRule type="duplicateValues" dxfId="1202" priority="1406" stopIfTrue="1"/>
    <cfRule type="duplicateValues" dxfId="1201" priority="1407" stopIfTrue="1"/>
    <cfRule type="duplicateValues" dxfId="1200" priority="1408" stopIfTrue="1"/>
    <cfRule type="duplicateValues" dxfId="1199" priority="1409" stopIfTrue="1"/>
    <cfRule type="duplicateValues" dxfId="1198" priority="1410" stopIfTrue="1"/>
    <cfRule type="duplicateValues" dxfId="1197" priority="1411" stopIfTrue="1"/>
    <cfRule type="duplicateValues" dxfId="1196" priority="1412" stopIfTrue="1"/>
    <cfRule type="duplicateValues" dxfId="1195" priority="1413" stopIfTrue="1"/>
    <cfRule type="duplicateValues" dxfId="1194" priority="1414" stopIfTrue="1"/>
    <cfRule type="duplicateValues" dxfId="1193" priority="1415" stopIfTrue="1"/>
    <cfRule type="duplicateValues" dxfId="1192" priority="1416" stopIfTrue="1"/>
    <cfRule type="duplicateValues" dxfId="1191" priority="1417" stopIfTrue="1"/>
    <cfRule type="duplicateValues" dxfId="1190" priority="1418" stopIfTrue="1"/>
  </conditionalFormatting>
  <conditionalFormatting sqref="D30:D31">
    <cfRule type="duplicateValues" dxfId="1189" priority="1357" stopIfTrue="1"/>
    <cfRule type="duplicateValues" dxfId="1188" priority="1358" stopIfTrue="1"/>
    <cfRule type="duplicateValues" dxfId="1187" priority="1359" stopIfTrue="1"/>
    <cfRule type="duplicateValues" dxfId="1186" priority="1360" stopIfTrue="1"/>
    <cfRule type="duplicateValues" dxfId="1185" priority="1361" stopIfTrue="1"/>
    <cfRule type="duplicateValues" dxfId="1184" priority="1362" stopIfTrue="1"/>
    <cfRule type="duplicateValues" dxfId="1183" priority="1363" stopIfTrue="1"/>
    <cfRule type="duplicateValues" dxfId="1182" priority="1364" stopIfTrue="1"/>
    <cfRule type="duplicateValues" dxfId="1181" priority="1365" stopIfTrue="1"/>
    <cfRule type="duplicateValues" dxfId="1180" priority="1366" stopIfTrue="1"/>
    <cfRule type="duplicateValues" dxfId="1179" priority="1367" stopIfTrue="1"/>
    <cfRule type="duplicateValues" dxfId="1178" priority="1368" stopIfTrue="1"/>
    <cfRule type="duplicateValues" dxfId="1177" priority="1369" stopIfTrue="1"/>
    <cfRule type="duplicateValues" dxfId="1176" priority="1370" stopIfTrue="1"/>
    <cfRule type="duplicateValues" dxfId="1175" priority="1371" stopIfTrue="1"/>
    <cfRule type="duplicateValues" dxfId="1174" priority="1372" stopIfTrue="1"/>
    <cfRule type="duplicateValues" dxfId="1173" priority="1373" stopIfTrue="1"/>
    <cfRule type="duplicateValues" dxfId="1172" priority="1374" stopIfTrue="1"/>
    <cfRule type="duplicateValues" dxfId="1171" priority="1375" stopIfTrue="1"/>
    <cfRule type="duplicateValues" dxfId="1170" priority="1376" stopIfTrue="1"/>
    <cfRule type="duplicateValues" dxfId="1169" priority="1377" stopIfTrue="1"/>
    <cfRule type="duplicateValues" dxfId="1168" priority="1378" stopIfTrue="1"/>
    <cfRule type="duplicateValues" dxfId="1167" priority="1379" stopIfTrue="1"/>
    <cfRule type="duplicateValues" dxfId="1166" priority="1380" stopIfTrue="1"/>
    <cfRule type="duplicateValues" dxfId="1165" priority="1381" stopIfTrue="1"/>
    <cfRule type="duplicateValues" dxfId="1164" priority="1382" stopIfTrue="1"/>
    <cfRule type="duplicateValues" dxfId="1163" priority="1383" stopIfTrue="1"/>
    <cfRule type="duplicateValues" dxfId="1162" priority="1384" stopIfTrue="1"/>
    <cfRule type="duplicateValues" dxfId="1161" priority="1385" stopIfTrue="1"/>
    <cfRule type="duplicateValues" dxfId="1160" priority="1386" stopIfTrue="1"/>
    <cfRule type="duplicateValues" dxfId="1159" priority="1387" stopIfTrue="1"/>
    <cfRule type="duplicateValues" dxfId="1158" priority="1388" stopIfTrue="1"/>
    <cfRule type="duplicateValues" dxfId="1157" priority="1389" stopIfTrue="1"/>
    <cfRule type="duplicateValues" dxfId="1156" priority="1390" stopIfTrue="1"/>
    <cfRule type="duplicateValues" dxfId="1155" priority="1391" stopIfTrue="1"/>
    <cfRule type="duplicateValues" dxfId="1154" priority="1392" stopIfTrue="1"/>
    <cfRule type="duplicateValues" dxfId="1153" priority="1393" stopIfTrue="1"/>
    <cfRule type="duplicateValues" dxfId="1152" priority="1394" stopIfTrue="1"/>
  </conditionalFormatting>
  <conditionalFormatting sqref="D45">
    <cfRule type="duplicateValues" dxfId="1151" priority="1355" stopIfTrue="1"/>
    <cfRule type="duplicateValues" dxfId="1150" priority="1356" stopIfTrue="1"/>
  </conditionalFormatting>
  <conditionalFormatting sqref="D46">
    <cfRule type="duplicateValues" dxfId="1149" priority="1353" stopIfTrue="1"/>
    <cfRule type="duplicateValues" dxfId="1148" priority="1354" stopIfTrue="1"/>
  </conditionalFormatting>
  <conditionalFormatting sqref="D47">
    <cfRule type="duplicateValues" dxfId="1147" priority="1351" stopIfTrue="1"/>
    <cfRule type="duplicateValues" dxfId="1146" priority="1352" stopIfTrue="1"/>
  </conditionalFormatting>
  <conditionalFormatting sqref="D48">
    <cfRule type="duplicateValues" dxfId="1145" priority="1343" stopIfTrue="1"/>
    <cfRule type="duplicateValues" dxfId="1144" priority="1344" stopIfTrue="1"/>
    <cfRule type="duplicateValues" dxfId="1143" priority="1349" stopIfTrue="1"/>
    <cfRule type="duplicateValues" dxfId="1142" priority="1350" stopIfTrue="1"/>
  </conditionalFormatting>
  <conditionalFormatting sqref="D49">
    <cfRule type="duplicateValues" dxfId="1141" priority="1339" stopIfTrue="1"/>
    <cfRule type="duplicateValues" dxfId="1140" priority="1340" stopIfTrue="1"/>
    <cfRule type="duplicateValues" dxfId="1139" priority="1341" stopIfTrue="1"/>
    <cfRule type="duplicateValues" dxfId="1138" priority="1342" stopIfTrue="1"/>
    <cfRule type="duplicateValues" dxfId="1137" priority="1347" stopIfTrue="1"/>
    <cfRule type="duplicateValues" dxfId="1136" priority="1348" stopIfTrue="1"/>
  </conditionalFormatting>
  <conditionalFormatting sqref="D50">
    <cfRule type="duplicateValues" dxfId="1135" priority="1333" stopIfTrue="1"/>
    <cfRule type="duplicateValues" dxfId="1134" priority="1334" stopIfTrue="1"/>
    <cfRule type="duplicateValues" dxfId="1133" priority="1335" stopIfTrue="1"/>
    <cfRule type="duplicateValues" dxfId="1132" priority="1336" stopIfTrue="1"/>
    <cfRule type="duplicateValues" dxfId="1131" priority="1337" stopIfTrue="1"/>
    <cfRule type="duplicateValues" dxfId="1130" priority="1338" stopIfTrue="1"/>
    <cfRule type="duplicateValues" dxfId="1129" priority="1345" stopIfTrue="1"/>
    <cfRule type="duplicateValues" dxfId="1128" priority="1346" stopIfTrue="1"/>
  </conditionalFormatting>
  <conditionalFormatting sqref="D51">
    <cfRule type="duplicateValues" dxfId="1127" priority="1327" stopIfTrue="1"/>
    <cfRule type="duplicateValues" dxfId="1126" priority="1328" stopIfTrue="1"/>
    <cfRule type="expression" dxfId="1125" priority="1329" stopIfTrue="1">
      <formula>IF(#REF!="TEN",TRUE,FALSE)</formula>
    </cfRule>
    <cfRule type="duplicateValues" dxfId="1124" priority="1331" stopIfTrue="1"/>
    <cfRule type="duplicateValues" dxfId="1123" priority="1332"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1" stopIfTrue="1"/>
    <cfRule type="duplicateValues" dxfId="1117" priority="1322" stopIfTrue="1"/>
  </conditionalFormatting>
  <conditionalFormatting sqref="D55">
    <cfRule type="duplicateValues" dxfId="1116" priority="1308" stopIfTrue="1"/>
    <cfRule type="duplicateValues" dxfId="1115" priority="1309" stopIfTrue="1"/>
    <cfRule type="duplicateValues" dxfId="1114" priority="1319" stopIfTrue="1"/>
    <cfRule type="duplicateValues" dxfId="1113" priority="1320" stopIfTrue="1"/>
  </conditionalFormatting>
  <conditionalFormatting sqref="D56">
    <cfRule type="duplicateValues" dxfId="1112" priority="1304" stopIfTrue="1"/>
    <cfRule type="duplicateValues" dxfId="1111" priority="1305" stopIfTrue="1"/>
    <cfRule type="duplicateValues" dxfId="1110" priority="1306" stopIfTrue="1"/>
    <cfRule type="duplicateValues" dxfId="1109" priority="1307" stopIfTrue="1"/>
    <cfRule type="duplicateValues" dxfId="1108" priority="1310" stopIfTrue="1"/>
    <cfRule type="duplicateValues" dxfId="1107" priority="1311" stopIfTrue="1"/>
    <cfRule type="expression" dxfId="1106" priority="1312" stopIfTrue="1">
      <formula>IF(#REF!="TEN",TRUE,FALSE)</formula>
    </cfRule>
    <cfRule type="duplicateValues" dxfId="1105" priority="1315" stopIfTrue="1"/>
    <cfRule type="duplicateValues" dxfId="1104" priority="1316" stopIfTrue="1"/>
    <cfRule type="duplicateValues" dxfId="1103" priority="1317" stopIfTrue="1"/>
    <cfRule type="expression" dxfId="1102" priority="1318" stopIfTrue="1">
      <formula>IF(#REF!="TEN",TRUE,FALSE)</formula>
    </cfRule>
  </conditionalFormatting>
  <conditionalFormatting sqref="D57">
    <cfRule type="duplicateValues" dxfId="1101" priority="1302" stopIfTrue="1"/>
    <cfRule type="duplicateValues" dxfId="1100" priority="1303" stopIfTrue="1"/>
  </conditionalFormatting>
  <conditionalFormatting sqref="D58">
    <cfRule type="duplicateValues" dxfId="1099" priority="1290" stopIfTrue="1"/>
    <cfRule type="duplicateValues" dxfId="1098" priority="1291" stopIfTrue="1"/>
    <cfRule type="expression" dxfId="1097" priority="1292" stopIfTrue="1">
      <formula>IF(#REF!="TEN",TRUE,FALSE)</formula>
    </cfRule>
    <cfRule type="duplicateValues" dxfId="1096" priority="1294" stopIfTrue="1"/>
    <cfRule type="duplicateValues" dxfId="1095" priority="1295" stopIfTrue="1"/>
    <cfRule type="duplicateValues" dxfId="1094" priority="1296" stopIfTrue="1"/>
    <cfRule type="expression" dxfId="1093" priority="1297" stopIfTrue="1">
      <formula>IF(#REF!="TEN",TRUE,FALSE)</formula>
    </cfRule>
    <cfRule type="duplicateValues" dxfId="1092" priority="1299" stopIfTrue="1"/>
    <cfRule type="duplicateValues" dxfId="1091" priority="1300" stopIfTrue="1"/>
    <cfRule type="duplicateValues" dxfId="1090" priority="1301" stopIfTrue="1"/>
  </conditionalFormatting>
  <conditionalFormatting sqref="D59">
    <cfRule type="duplicateValues" dxfId="1089" priority="1288" stopIfTrue="1"/>
    <cfRule type="duplicateValues" dxfId="1088" priority="1289" stopIfTrue="1"/>
  </conditionalFormatting>
  <conditionalFormatting sqref="D60">
    <cfRule type="duplicateValues" dxfId="1087" priority="1286" stopIfTrue="1"/>
    <cfRule type="duplicateValues" dxfId="1086" priority="1287" stopIfTrue="1"/>
  </conditionalFormatting>
  <conditionalFormatting sqref="D61">
    <cfRule type="duplicateValues" dxfId="1085" priority="1284" stopIfTrue="1"/>
    <cfRule type="duplicateValues" dxfId="1084" priority="1285" stopIfTrue="1"/>
  </conditionalFormatting>
  <conditionalFormatting sqref="D61:D62">
    <cfRule type="duplicateValues" dxfId="1083" priority="1282" stopIfTrue="1"/>
    <cfRule type="duplicateValues" dxfId="1082" priority="1283" stopIfTrue="1"/>
  </conditionalFormatting>
  <conditionalFormatting sqref="D63">
    <cfRule type="duplicateValues" dxfId="1081" priority="1280" stopIfTrue="1"/>
    <cfRule type="duplicateValues" dxfId="1080" priority="1281" stopIfTrue="1"/>
  </conditionalFormatting>
  <conditionalFormatting sqref="D64">
    <cfRule type="duplicateValues" dxfId="1079" priority="1271" stopIfTrue="1"/>
    <cfRule type="duplicateValues" dxfId="1078" priority="1272" stopIfTrue="1"/>
    <cfRule type="duplicateValues" dxfId="1077" priority="1273" stopIfTrue="1"/>
    <cfRule type="duplicateValues" dxfId="1076" priority="1274" stopIfTrue="1"/>
    <cfRule type="duplicateValues" dxfId="1075" priority="1275" stopIfTrue="1"/>
    <cfRule type="duplicateValues" dxfId="1074" priority="1276" stopIfTrue="1"/>
    <cfRule type="duplicateValues" dxfId="1073" priority="1277" stopIfTrue="1"/>
    <cfRule type="duplicateValues" dxfId="1072" priority="1278" stopIfTrue="1"/>
    <cfRule type="duplicateValues" dxfId="1071" priority="1279" stopIfTrue="1"/>
  </conditionalFormatting>
  <conditionalFormatting sqref="D65">
    <cfRule type="duplicateValues" dxfId="1070" priority="1254" stopIfTrue="1"/>
    <cfRule type="duplicateValues" dxfId="1069" priority="1255" stopIfTrue="1"/>
    <cfRule type="duplicateValues" dxfId="1068" priority="1256" stopIfTrue="1"/>
    <cfRule type="duplicateValues" dxfId="1067" priority="1257" stopIfTrue="1"/>
    <cfRule type="duplicateValues" dxfId="1066" priority="1258" stopIfTrue="1"/>
    <cfRule type="duplicateValues" dxfId="1065" priority="1259" stopIfTrue="1"/>
    <cfRule type="duplicateValues" dxfId="1064" priority="1260" stopIfTrue="1"/>
    <cfRule type="duplicateValues" dxfId="1063" priority="1261" stopIfTrue="1"/>
    <cfRule type="duplicateValues" dxfId="1062" priority="1262" stopIfTrue="1"/>
    <cfRule type="duplicateValues" dxfId="1061" priority="1263" stopIfTrue="1"/>
    <cfRule type="duplicateValues" dxfId="1060" priority="1264" stopIfTrue="1"/>
    <cfRule type="duplicateValues" dxfId="1059" priority="1265" stopIfTrue="1"/>
    <cfRule type="duplicateValues" dxfId="1058" priority="1266" stopIfTrue="1"/>
    <cfRule type="duplicateValues" dxfId="1057" priority="1267" stopIfTrue="1"/>
    <cfRule type="duplicateValues" dxfId="1056" priority="1268" stopIfTrue="1"/>
    <cfRule type="duplicateValues" dxfId="1055" priority="1269" stopIfTrue="1"/>
    <cfRule type="duplicateValues" dxfId="1054" priority="1270" stopIfTrue="1"/>
  </conditionalFormatting>
  <conditionalFormatting sqref="D70">
    <cfRule type="duplicateValues" dxfId="1053" priority="1245" stopIfTrue="1"/>
    <cfRule type="duplicateValues" dxfId="1052" priority="1246" stopIfTrue="1"/>
    <cfRule type="duplicateValues" dxfId="1051" priority="1247" stopIfTrue="1"/>
    <cfRule type="duplicateValues" dxfId="1050" priority="1248" stopIfTrue="1"/>
    <cfRule type="duplicateValues" dxfId="1049" priority="1249" stopIfTrue="1"/>
    <cfRule type="duplicateValues" dxfId="1048" priority="1250" stopIfTrue="1"/>
    <cfRule type="duplicateValues" dxfId="1047" priority="1251" stopIfTrue="1"/>
    <cfRule type="duplicateValues" dxfId="1046" priority="1252" stopIfTrue="1"/>
    <cfRule type="duplicateValues" dxfId="1045" priority="1253"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198" stopIfTrue="1"/>
    <cfRule type="duplicateValues" dxfId="1040" priority="1199" stopIfTrue="1"/>
    <cfRule type="duplicateValues" dxfId="1039" priority="1200" stopIfTrue="1"/>
    <cfRule type="duplicateValues" dxfId="1038" priority="1201" stopIfTrue="1"/>
  </conditionalFormatting>
  <conditionalFormatting sqref="D75">
    <cfRule type="duplicateValues" dxfId="1037" priority="1148" stopIfTrue="1"/>
    <cfRule type="duplicateValues" dxfId="1036" priority="1149" stopIfTrue="1"/>
    <cfRule type="duplicateValues" dxfId="1035" priority="1150" stopIfTrue="1"/>
    <cfRule type="duplicateValues" dxfId="1034" priority="1152" stopIfTrue="1"/>
    <cfRule type="duplicateValues" dxfId="1033" priority="1153" stopIfTrue="1"/>
    <cfRule type="duplicateValues" dxfId="1032" priority="1154" stopIfTrue="1"/>
    <cfRule type="duplicateValues" dxfId="1031" priority="1155" stopIfTrue="1"/>
    <cfRule type="duplicateValues" dxfId="1030" priority="1156" stopIfTrue="1"/>
    <cfRule type="duplicateValues" dxfId="1029" priority="1157" stopIfTrue="1"/>
    <cfRule type="duplicateValues" dxfId="1028" priority="1158" stopIfTrue="1"/>
    <cfRule type="duplicateValues" dxfId="1027" priority="1159" stopIfTrue="1"/>
    <cfRule type="duplicateValues" dxfId="1026" priority="1160" stopIfTrue="1"/>
    <cfRule type="duplicateValues" dxfId="1025" priority="1161" stopIfTrue="1"/>
  </conditionalFormatting>
  <conditionalFormatting sqref="D76">
    <cfRule type="duplicateValues" dxfId="1024" priority="1083" stopIfTrue="1"/>
    <cfRule type="duplicateValues" dxfId="1023" priority="1084" stopIfTrue="1"/>
    <cfRule type="duplicateValues" dxfId="1022" priority="1085" stopIfTrue="1"/>
    <cfRule type="duplicateValues" dxfId="1021" priority="1088" stopIfTrue="1"/>
    <cfRule type="duplicateValues" dxfId="1020" priority="1089" stopIfTrue="1"/>
    <cfRule type="duplicateValues" dxfId="1019" priority="1090" stopIfTrue="1"/>
    <cfRule type="duplicateValues" dxfId="1018" priority="1091" stopIfTrue="1"/>
    <cfRule type="duplicateValues" dxfId="1017" priority="1092" stopIfTrue="1"/>
    <cfRule type="duplicateValues" dxfId="1016" priority="1093" stopIfTrue="1"/>
    <cfRule type="duplicateValues" dxfId="1015" priority="1094" stopIfTrue="1"/>
    <cfRule type="duplicateValues" dxfId="1014" priority="1095" stopIfTrue="1"/>
    <cfRule type="duplicateValues" dxfId="1013" priority="1096" stopIfTrue="1"/>
    <cfRule type="duplicateValues" dxfId="1012" priority="1098" stopIfTrue="1"/>
    <cfRule type="duplicateValues" dxfId="1011" priority="1099" stopIfTrue="1"/>
    <cfRule type="duplicateValues" dxfId="1010" priority="1100" stopIfTrue="1"/>
    <cfRule type="duplicateValues" dxfId="1009" priority="1101" stopIfTrue="1"/>
    <cfRule type="duplicateValues" dxfId="1008" priority="1102" stopIfTrue="1"/>
    <cfRule type="duplicateValues" dxfId="1007" priority="1103" stopIfTrue="1"/>
    <cfRule type="duplicateValues" dxfId="1006" priority="1104" stopIfTrue="1"/>
    <cfRule type="duplicateValues" dxfId="1005" priority="1105" stopIfTrue="1"/>
    <cfRule type="duplicateValues" dxfId="1004" priority="1106" stopIfTrue="1"/>
    <cfRule type="duplicateValues" dxfId="1003" priority="1107" stopIfTrue="1"/>
    <cfRule type="duplicateValues" dxfId="1002" priority="1108" stopIfTrue="1"/>
    <cfRule type="duplicateValues" dxfId="1001" priority="1109" stopIfTrue="1"/>
    <cfRule type="duplicateValues" dxfId="1000" priority="1110" stopIfTrue="1"/>
  </conditionalFormatting>
  <conditionalFormatting sqref="D77">
    <cfRule type="duplicateValues" dxfId="999" priority="948" stopIfTrue="1"/>
    <cfRule type="duplicateValues" dxfId="998" priority="949" stopIfTrue="1"/>
    <cfRule type="duplicateValues" dxfId="997" priority="950" stopIfTrue="1"/>
    <cfRule type="duplicateValues" dxfId="996" priority="953" stopIfTrue="1"/>
    <cfRule type="duplicateValues" dxfId="995" priority="954" stopIfTrue="1"/>
    <cfRule type="duplicateValues" dxfId="994" priority="955" stopIfTrue="1"/>
    <cfRule type="duplicateValues" dxfId="993" priority="956" stopIfTrue="1"/>
    <cfRule type="duplicateValues" dxfId="992" priority="957" stopIfTrue="1"/>
    <cfRule type="duplicateValues" dxfId="991" priority="958" stopIfTrue="1"/>
    <cfRule type="duplicateValues" dxfId="990" priority="959" stopIfTrue="1"/>
    <cfRule type="duplicateValues" dxfId="989" priority="960" stopIfTrue="1"/>
    <cfRule type="duplicateValues" dxfId="988" priority="961" stopIfTrue="1"/>
    <cfRule type="duplicateValues" dxfId="987" priority="964" stopIfTrue="1"/>
    <cfRule type="duplicateValues" dxfId="986" priority="965" stopIfTrue="1"/>
    <cfRule type="duplicateValues" dxfId="985" priority="966" stopIfTrue="1"/>
    <cfRule type="duplicateValues" dxfId="984" priority="967" stopIfTrue="1"/>
    <cfRule type="duplicateValues" dxfId="983" priority="968" stopIfTrue="1"/>
    <cfRule type="duplicateValues" dxfId="982" priority="969" stopIfTrue="1"/>
    <cfRule type="duplicateValues" dxfId="981" priority="970" stopIfTrue="1"/>
    <cfRule type="duplicateValues" dxfId="980" priority="971" stopIfTrue="1"/>
    <cfRule type="duplicateValues" dxfId="979" priority="972" stopIfTrue="1"/>
    <cfRule type="duplicateValues" dxfId="978" priority="973" stopIfTrue="1"/>
    <cfRule type="duplicateValues" dxfId="977" priority="974" stopIfTrue="1"/>
    <cfRule type="duplicateValues" dxfId="976" priority="975" stopIfTrue="1"/>
    <cfRule type="duplicateValues" dxfId="975" priority="1045" stopIfTrue="1"/>
  </conditionalFormatting>
  <conditionalFormatting sqref="D78">
    <cfRule type="duplicateValues" dxfId="974" priority="844" stopIfTrue="1"/>
    <cfRule type="duplicateValues" dxfId="973" priority="845" stopIfTrue="1"/>
    <cfRule type="duplicateValues" dxfId="972" priority="846" stopIfTrue="1"/>
    <cfRule type="duplicateValues" dxfId="971" priority="849" stopIfTrue="1"/>
    <cfRule type="duplicateValues" dxfId="970" priority="850" stopIfTrue="1"/>
    <cfRule type="duplicateValues" dxfId="969" priority="851" stopIfTrue="1"/>
    <cfRule type="duplicateValues" dxfId="968" priority="852" stopIfTrue="1"/>
    <cfRule type="duplicateValues" dxfId="967" priority="853" stopIfTrue="1"/>
    <cfRule type="duplicateValues" dxfId="966" priority="854" stopIfTrue="1"/>
    <cfRule type="duplicateValues" dxfId="965" priority="855" stopIfTrue="1"/>
    <cfRule type="duplicateValues" dxfId="964" priority="856" stopIfTrue="1"/>
    <cfRule type="duplicateValues" dxfId="963" priority="857" stopIfTrue="1"/>
    <cfRule type="duplicateValues" dxfId="962" priority="860" stopIfTrue="1"/>
    <cfRule type="duplicateValues" dxfId="961" priority="861" stopIfTrue="1"/>
    <cfRule type="duplicateValues" dxfId="960" priority="862" stopIfTrue="1"/>
    <cfRule type="duplicateValues" dxfId="959" priority="863" stopIfTrue="1"/>
    <cfRule type="duplicateValues" dxfId="958" priority="864" stopIfTrue="1"/>
    <cfRule type="duplicateValues" dxfId="957" priority="865" stopIfTrue="1"/>
    <cfRule type="duplicateValues" dxfId="956" priority="866" stopIfTrue="1"/>
    <cfRule type="duplicateValues" dxfId="955" priority="867" stopIfTrue="1"/>
    <cfRule type="duplicateValues" dxfId="954" priority="868" stopIfTrue="1"/>
    <cfRule type="duplicateValues" dxfId="953" priority="869" stopIfTrue="1"/>
    <cfRule type="duplicateValues" dxfId="952" priority="870" stopIfTrue="1"/>
    <cfRule type="duplicateValues" dxfId="951" priority="871" stopIfTrue="1"/>
    <cfRule type="duplicateValues" dxfId="950" priority="1006" stopIfTrue="1"/>
  </conditionalFormatting>
  <conditionalFormatting sqref="D79">
    <cfRule type="duplicateValues" dxfId="949" priority="719" stopIfTrue="1"/>
    <cfRule type="duplicateValues" dxfId="948" priority="720" stopIfTrue="1"/>
    <cfRule type="duplicateValues" dxfId="947" priority="721" stopIfTrue="1"/>
    <cfRule type="duplicateValues" dxfId="946" priority="722" stopIfTrue="1"/>
    <cfRule type="duplicateValues" dxfId="945" priority="723" stopIfTrue="1"/>
    <cfRule type="duplicateValues" dxfId="944" priority="724" stopIfTrue="1"/>
    <cfRule type="duplicateValues" dxfId="943" priority="725" stopIfTrue="1"/>
    <cfRule type="duplicateValues" dxfId="942" priority="726" stopIfTrue="1"/>
    <cfRule type="duplicateValues" dxfId="941" priority="727" stopIfTrue="1"/>
    <cfRule type="duplicateValues" dxfId="940" priority="730" stopIfTrue="1"/>
    <cfRule type="duplicateValues" dxfId="939" priority="731" stopIfTrue="1"/>
    <cfRule type="duplicateValues" dxfId="938" priority="732" stopIfTrue="1"/>
    <cfRule type="duplicateValues" dxfId="937" priority="733" stopIfTrue="1"/>
    <cfRule type="duplicateValues" dxfId="936" priority="734" stopIfTrue="1"/>
    <cfRule type="duplicateValues" dxfId="935" priority="735" stopIfTrue="1"/>
    <cfRule type="duplicateValues" dxfId="934" priority="736" stopIfTrue="1"/>
    <cfRule type="duplicateValues" dxfId="933" priority="737" stopIfTrue="1"/>
    <cfRule type="duplicateValues" dxfId="932" priority="738" stopIfTrue="1"/>
    <cfRule type="duplicateValues" dxfId="931" priority="739" stopIfTrue="1"/>
    <cfRule type="duplicateValues" dxfId="930" priority="740" stopIfTrue="1"/>
    <cfRule type="duplicateValues" dxfId="929" priority="741" stopIfTrue="1"/>
    <cfRule type="duplicateValues" dxfId="928" priority="977" stopIfTrue="1"/>
    <cfRule type="duplicateValues" dxfId="927" priority="978" stopIfTrue="1"/>
    <cfRule type="duplicateValues" dxfId="926" priority="979" stopIfTrue="1"/>
    <cfRule type="duplicateValues" dxfId="925" priority="980"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0" stopIfTrue="1"/>
    <cfRule type="duplicateValues" dxfId="920" priority="581" stopIfTrue="1"/>
    <cfRule type="duplicateValues" dxfId="919" priority="582" stopIfTrue="1"/>
    <cfRule type="duplicateValues" dxfId="918" priority="583" stopIfTrue="1"/>
    <cfRule type="duplicateValues" dxfId="917" priority="584" stopIfTrue="1"/>
    <cfRule type="duplicateValues" dxfId="916" priority="585" stopIfTrue="1"/>
    <cfRule type="duplicateValues" dxfId="915" priority="586" stopIfTrue="1"/>
    <cfRule type="duplicateValues" dxfId="914" priority="587" stopIfTrue="1"/>
    <cfRule type="duplicateValues" dxfId="913" priority="588" stopIfTrue="1"/>
    <cfRule type="duplicateValues" dxfId="912" priority="589" stopIfTrue="1"/>
    <cfRule type="duplicateValues" dxfId="911" priority="590" stopIfTrue="1"/>
  </conditionalFormatting>
  <conditionalFormatting sqref="D84">
    <cfRule type="duplicateValues" dxfId="910" priority="567" stopIfTrue="1"/>
    <cfRule type="duplicateValues" dxfId="909" priority="568" stopIfTrue="1"/>
    <cfRule type="duplicateValues" dxfId="908" priority="569" stopIfTrue="1"/>
    <cfRule type="duplicateValues" dxfId="907" priority="570" stopIfTrue="1"/>
    <cfRule type="duplicateValues" dxfId="906" priority="571" stopIfTrue="1"/>
    <cfRule type="duplicateValues" dxfId="905" priority="572" stopIfTrue="1"/>
    <cfRule type="duplicateValues" dxfId="904" priority="573" stopIfTrue="1"/>
    <cfRule type="duplicateValues" dxfId="903" priority="574" stopIfTrue="1"/>
    <cfRule type="duplicateValues" dxfId="902" priority="575" stopIfTrue="1"/>
    <cfRule type="duplicateValues" dxfId="901" priority="576" stopIfTrue="1"/>
    <cfRule type="duplicateValues" dxfId="900" priority="578" stopIfTrue="1"/>
  </conditionalFormatting>
  <conditionalFormatting sqref="D85">
    <cfRule type="duplicateValues" dxfId="899" priority="542" stopIfTrue="1"/>
    <cfRule type="duplicateValues" dxfId="898" priority="543" stopIfTrue="1"/>
    <cfRule type="duplicateValues" dxfId="897" priority="544" stopIfTrue="1"/>
    <cfRule type="duplicateValues" dxfId="896" priority="545" stopIfTrue="1"/>
    <cfRule type="duplicateValues" dxfId="895" priority="546" stopIfTrue="1"/>
    <cfRule type="duplicateValues" dxfId="894" priority="547" stopIfTrue="1"/>
    <cfRule type="duplicateValues" dxfId="893" priority="548" stopIfTrue="1"/>
    <cfRule type="duplicateValues" dxfId="892" priority="549" stopIfTrue="1"/>
    <cfRule type="duplicateValues" dxfId="891" priority="550" stopIfTrue="1"/>
    <cfRule type="duplicateValues" dxfId="890" priority="551" stopIfTrue="1"/>
    <cfRule type="duplicateValues" dxfId="889" priority="564" stopIfTrue="1"/>
  </conditionalFormatting>
  <conditionalFormatting sqref="D86">
    <cfRule type="duplicateValues" dxfId="888" priority="526" stopIfTrue="1"/>
    <cfRule type="duplicateValues" dxfId="887" priority="527" stopIfTrue="1"/>
    <cfRule type="duplicateValues" dxfId="886" priority="528" stopIfTrue="1"/>
    <cfRule type="duplicateValues" dxfId="885" priority="529" stopIfTrue="1"/>
    <cfRule type="duplicateValues" dxfId="884" priority="530" stopIfTrue="1"/>
    <cfRule type="duplicateValues" dxfId="883" priority="531" stopIfTrue="1"/>
    <cfRule type="duplicateValues" dxfId="882" priority="532" stopIfTrue="1"/>
    <cfRule type="duplicateValues" dxfId="881" priority="533" stopIfTrue="1"/>
    <cfRule type="duplicateValues" dxfId="880" priority="534" stopIfTrue="1"/>
    <cfRule type="duplicateValues" dxfId="879" priority="535" stopIfTrue="1"/>
    <cfRule type="duplicateValues" dxfId="878" priority="555" stopIfTrue="1"/>
    <cfRule type="duplicateValues" dxfId="877" priority="556" stopIfTrue="1"/>
    <cfRule type="duplicateValues" dxfId="876" priority="557" stopIfTrue="1"/>
    <cfRule type="duplicateValues" dxfId="875" priority="558" stopIfTrue="1"/>
    <cfRule type="duplicateValues" dxfId="874" priority="559" stopIfTrue="1"/>
    <cfRule type="duplicateValues" dxfId="873" priority="560" stopIfTrue="1"/>
    <cfRule type="duplicateValues" dxfId="872" priority="561" stopIfTrue="1"/>
    <cfRule type="duplicateValues" dxfId="871" priority="562" stopIfTrue="1"/>
  </conditionalFormatting>
  <conditionalFormatting sqref="D87">
    <cfRule type="duplicateValues" dxfId="870" priority="493" stopIfTrue="1"/>
    <cfRule type="duplicateValues" dxfId="869" priority="494" stopIfTrue="1"/>
    <cfRule type="duplicateValues" dxfId="868" priority="495" stopIfTrue="1"/>
    <cfRule type="duplicateValues" dxfId="867" priority="496" stopIfTrue="1"/>
    <cfRule type="duplicateValues" dxfId="866" priority="497" stopIfTrue="1"/>
    <cfRule type="duplicateValues" dxfId="865" priority="498" stopIfTrue="1"/>
    <cfRule type="duplicateValues" dxfId="864" priority="499" stopIfTrue="1"/>
    <cfRule type="duplicateValues" dxfId="863" priority="500" stopIfTrue="1"/>
    <cfRule type="duplicateValues" dxfId="862" priority="501" stopIfTrue="1"/>
    <cfRule type="duplicateValues" dxfId="861" priority="502" stopIfTrue="1"/>
    <cfRule type="duplicateValues" dxfId="860" priority="509" stopIfTrue="1"/>
    <cfRule type="duplicateValues" dxfId="859" priority="510" stopIfTrue="1"/>
    <cfRule type="duplicateValues" dxfId="858" priority="511" stopIfTrue="1"/>
    <cfRule type="duplicateValues" dxfId="857" priority="512" stopIfTrue="1"/>
    <cfRule type="duplicateValues" dxfId="856" priority="513" stopIfTrue="1"/>
    <cfRule type="duplicateValues" dxfId="855" priority="514" stopIfTrue="1"/>
    <cfRule type="duplicateValues" dxfId="854" priority="515" stopIfTrue="1"/>
    <cfRule type="duplicateValues" dxfId="853" priority="523" stopIfTrue="1"/>
  </conditionalFormatting>
  <conditionalFormatting sqref="D88">
    <cfRule type="duplicateValues" dxfId="852" priority="466" stopIfTrue="1"/>
    <cfRule type="duplicateValues" dxfId="851" priority="467" stopIfTrue="1"/>
    <cfRule type="duplicateValues" dxfId="850" priority="468" stopIfTrue="1"/>
    <cfRule type="duplicateValues" dxfId="849" priority="469" stopIfTrue="1"/>
    <cfRule type="duplicateValues" dxfId="848" priority="470" stopIfTrue="1"/>
    <cfRule type="duplicateValues" dxfId="847" priority="471" stopIfTrue="1"/>
    <cfRule type="duplicateValues" dxfId="846" priority="472" stopIfTrue="1"/>
    <cfRule type="duplicateValues" dxfId="845" priority="473" stopIfTrue="1"/>
    <cfRule type="duplicateValues" dxfId="844" priority="474" stopIfTrue="1"/>
    <cfRule type="duplicateValues" dxfId="843" priority="475" stopIfTrue="1"/>
    <cfRule type="duplicateValues" dxfId="842" priority="482" stopIfTrue="1"/>
    <cfRule type="duplicateValues" dxfId="841" priority="483" stopIfTrue="1"/>
    <cfRule type="duplicateValues" dxfId="840" priority="484" stopIfTrue="1"/>
    <cfRule type="duplicateValues" dxfId="839" priority="485" stopIfTrue="1"/>
    <cfRule type="duplicateValues" dxfId="838" priority="486" stopIfTrue="1"/>
    <cfRule type="duplicateValues" dxfId="837" priority="487" stopIfTrue="1"/>
    <cfRule type="duplicateValues" dxfId="836" priority="488" stopIfTrue="1"/>
    <cfRule type="duplicateValues" dxfId="835" priority="517" stopIfTrue="1"/>
    <cfRule type="duplicateValues" dxfId="834" priority="518" stopIfTrue="1"/>
    <cfRule type="duplicateValues" dxfId="833" priority="519" stopIfTrue="1"/>
    <cfRule type="duplicateValues" dxfId="832" priority="520" stopIfTrue="1"/>
    <cfRule type="duplicateValues" dxfId="831" priority="521"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56" stopIfTrue="1"/>
    <cfRule type="duplicateValues" dxfId="825" priority="357" stopIfTrue="1"/>
    <cfRule type="duplicateValues" dxfId="824" priority="358" stopIfTrue="1"/>
    <cfRule type="duplicateValues" dxfId="823" priority="359" stopIfTrue="1"/>
    <cfRule type="duplicateValues" dxfId="822" priority="360" stopIfTrue="1"/>
    <cfRule type="duplicateValues" dxfId="821" priority="361" stopIfTrue="1"/>
    <cfRule type="duplicateValues" dxfId="820" priority="362" stopIfTrue="1"/>
    <cfRule type="duplicateValues" dxfId="819" priority="363" stopIfTrue="1"/>
    <cfRule type="duplicateValues" dxfId="818" priority="364" stopIfTrue="1"/>
    <cfRule type="duplicateValues" dxfId="817" priority="365" stopIfTrue="1"/>
    <cfRule type="duplicateValues" dxfId="816" priority="366" stopIfTrue="1"/>
    <cfRule type="duplicateValues" dxfId="815" priority="367" stopIfTrue="1"/>
    <cfRule type="duplicateValues" dxfId="814" priority="368" stopIfTrue="1"/>
    <cfRule type="duplicateValues" dxfId="813" priority="369" stopIfTrue="1"/>
    <cfRule type="duplicateValues" dxfId="812" priority="370" stopIfTrue="1"/>
    <cfRule type="duplicateValues" dxfId="811" priority="371" stopIfTrue="1"/>
    <cfRule type="duplicateValues" dxfId="810" priority="372" stopIfTrue="1"/>
    <cfRule type="duplicateValues" dxfId="809" priority="373" stopIfTrue="1"/>
    <cfRule type="duplicateValues" dxfId="808" priority="374" stopIfTrue="1"/>
    <cfRule type="duplicateValues" dxfId="807" priority="375" stopIfTrue="1"/>
    <cfRule type="duplicateValues" dxfId="806" priority="376" stopIfTrue="1"/>
    <cfRule type="duplicateValues" dxfId="805" priority="377" stopIfTrue="1"/>
    <cfRule type="duplicateValues" dxfId="804" priority="378" stopIfTrue="1"/>
    <cfRule type="duplicateValues" dxfId="803" priority="379" stopIfTrue="1"/>
    <cfRule type="duplicateValues" dxfId="802" priority="380" stopIfTrue="1"/>
    <cfRule type="duplicateValues" dxfId="801" priority="381" stopIfTrue="1"/>
    <cfRule type="duplicateValues" dxfId="800" priority="382" stopIfTrue="1"/>
    <cfRule type="duplicateValues" dxfId="799" priority="383" stopIfTrue="1"/>
    <cfRule type="duplicateValues" dxfId="798" priority="384" stopIfTrue="1"/>
    <cfRule type="duplicateValues" dxfId="797" priority="385" stopIfTrue="1"/>
    <cfRule type="duplicateValues" dxfId="796" priority="386" stopIfTrue="1"/>
    <cfRule type="duplicateValues" dxfId="795" priority="387" stopIfTrue="1"/>
    <cfRule type="duplicateValues" dxfId="794" priority="388" stopIfTrue="1"/>
    <cfRule type="duplicateValues" dxfId="793" priority="389" stopIfTrue="1"/>
    <cfRule type="duplicateValues" dxfId="792" priority="390" stopIfTrue="1"/>
    <cfRule type="duplicateValues" dxfId="791" priority="391" stopIfTrue="1"/>
    <cfRule type="duplicateValues" dxfId="790" priority="392" stopIfTrue="1"/>
    <cfRule type="duplicateValues" dxfId="789" priority="393" stopIfTrue="1"/>
    <cfRule type="duplicateValues" dxfId="788" priority="394" stopIfTrue="1"/>
    <cfRule type="duplicateValues" dxfId="787" priority="395" stopIfTrue="1"/>
    <cfRule type="duplicateValues" dxfId="786" priority="396" stopIfTrue="1"/>
    <cfRule type="duplicateValues" dxfId="785" priority="397" stopIfTrue="1"/>
    <cfRule type="duplicateValues" dxfId="784" priority="398" stopIfTrue="1"/>
    <cfRule type="duplicateValues" dxfId="783" priority="399" stopIfTrue="1"/>
    <cfRule type="duplicateValues" dxfId="782" priority="400" stopIfTrue="1"/>
    <cfRule type="duplicateValues" dxfId="781" priority="401" stopIfTrue="1"/>
  </conditionalFormatting>
  <conditionalFormatting sqref="D95">
    <cfRule type="duplicateValues" dxfId="780" priority="349" stopIfTrue="1"/>
    <cfRule type="duplicateValues" dxfId="779" priority="350" stopIfTrue="1"/>
    <cfRule type="duplicateValues" dxfId="778" priority="351" stopIfTrue="1"/>
    <cfRule type="duplicateValues" dxfId="777" priority="352" stopIfTrue="1"/>
    <cfRule type="duplicateValues" dxfId="776" priority="353" stopIfTrue="1"/>
    <cfRule type="duplicateValues" dxfId="775" priority="354" stopIfTrue="1"/>
    <cfRule type="duplicateValues" dxfId="774" priority="355" stopIfTrue="1"/>
  </conditionalFormatting>
  <conditionalFormatting sqref="D97">
    <cfRule type="duplicateValues" dxfId="773" priority="346" stopIfTrue="1"/>
    <cfRule type="duplicateValues" dxfId="772" priority="347" stopIfTrue="1"/>
    <cfRule type="duplicateValues" dxfId="771" priority="348" stopIfTrue="1"/>
  </conditionalFormatting>
  <conditionalFormatting sqref="D98">
    <cfRule type="duplicateValues" dxfId="770" priority="343" stopIfTrue="1"/>
    <cfRule type="duplicateValues" dxfId="769" priority="344" stopIfTrue="1"/>
    <cfRule type="duplicateValues" dxfId="768" priority="345" stopIfTrue="1"/>
  </conditionalFormatting>
  <conditionalFormatting sqref="D99">
    <cfRule type="duplicateValues" dxfId="767" priority="340" stopIfTrue="1"/>
    <cfRule type="duplicateValues" dxfId="766" priority="341" stopIfTrue="1"/>
    <cfRule type="duplicateValues" dxfId="765" priority="342" stopIfTrue="1"/>
  </conditionalFormatting>
  <conditionalFormatting sqref="D100">
    <cfRule type="duplicateValues" dxfId="764" priority="286" stopIfTrue="1"/>
    <cfRule type="duplicateValues" dxfId="763" priority="287" stopIfTrue="1"/>
    <cfRule type="duplicateValues" dxfId="762" priority="288" stopIfTrue="1"/>
    <cfRule type="duplicateValues" dxfId="761" priority="289" stopIfTrue="1"/>
    <cfRule type="duplicateValues" dxfId="760" priority="290" stopIfTrue="1"/>
    <cfRule type="duplicateValues" dxfId="759" priority="291" stopIfTrue="1"/>
    <cfRule type="duplicateValues" dxfId="758" priority="292" stopIfTrue="1"/>
    <cfRule type="duplicateValues" dxfId="757" priority="293" stopIfTrue="1"/>
    <cfRule type="duplicateValues" dxfId="756" priority="294" stopIfTrue="1"/>
    <cfRule type="duplicateValues" dxfId="755" priority="295" stopIfTrue="1"/>
    <cfRule type="duplicateValues" dxfId="754" priority="296" stopIfTrue="1"/>
    <cfRule type="duplicateValues" dxfId="753" priority="297" stopIfTrue="1"/>
    <cfRule type="duplicateValues" dxfId="752" priority="298" stopIfTrue="1"/>
    <cfRule type="duplicateValues" dxfId="751" priority="299" stopIfTrue="1"/>
    <cfRule type="duplicateValues" dxfId="750" priority="300" stopIfTrue="1"/>
    <cfRule type="duplicateValues" dxfId="749" priority="301" stopIfTrue="1"/>
    <cfRule type="duplicateValues" dxfId="748" priority="302" stopIfTrue="1"/>
    <cfRule type="duplicateValues" dxfId="747" priority="303" stopIfTrue="1"/>
    <cfRule type="duplicateValues" dxfId="746" priority="304" stopIfTrue="1"/>
    <cfRule type="duplicateValues" dxfId="745" priority="305" stopIfTrue="1"/>
    <cfRule type="duplicateValues" dxfId="744" priority="306" stopIfTrue="1"/>
    <cfRule type="duplicateValues" dxfId="743" priority="307" stopIfTrue="1"/>
    <cfRule type="duplicateValues" dxfId="742" priority="308" stopIfTrue="1"/>
    <cfRule type="duplicateValues" dxfId="741" priority="309" stopIfTrue="1"/>
    <cfRule type="duplicateValues" dxfId="740" priority="310" stopIfTrue="1"/>
    <cfRule type="duplicateValues" dxfId="739" priority="311" stopIfTrue="1"/>
    <cfRule type="duplicateValues" dxfId="738" priority="312" stopIfTrue="1"/>
    <cfRule type="duplicateValues" dxfId="737" priority="313" stopIfTrue="1"/>
    <cfRule type="duplicateValues" dxfId="736" priority="314" stopIfTrue="1"/>
    <cfRule type="duplicateValues" dxfId="735" priority="315" stopIfTrue="1"/>
    <cfRule type="duplicateValues" dxfId="734" priority="316" stopIfTrue="1"/>
    <cfRule type="duplicateValues" dxfId="733" priority="317" stopIfTrue="1"/>
    <cfRule type="duplicateValues" dxfId="732" priority="318" stopIfTrue="1"/>
    <cfRule type="duplicateValues" dxfId="731" priority="319" stopIfTrue="1"/>
    <cfRule type="duplicateValues" dxfId="730" priority="320" stopIfTrue="1"/>
    <cfRule type="duplicateValues" dxfId="729" priority="321" stopIfTrue="1"/>
    <cfRule type="duplicateValues" dxfId="728" priority="322" stopIfTrue="1"/>
    <cfRule type="duplicateValues" dxfId="727" priority="323" stopIfTrue="1"/>
    <cfRule type="duplicateValues" dxfId="726" priority="324" stopIfTrue="1"/>
    <cfRule type="duplicateValues" dxfId="725" priority="325" stopIfTrue="1"/>
    <cfRule type="duplicateValues" dxfId="724" priority="326" stopIfTrue="1"/>
    <cfRule type="duplicateValues" dxfId="723" priority="327" stopIfTrue="1"/>
    <cfRule type="duplicateValues" dxfId="722" priority="328" stopIfTrue="1"/>
    <cfRule type="duplicateValues" dxfId="721" priority="329" stopIfTrue="1"/>
    <cfRule type="duplicateValues" dxfId="720" priority="330" stopIfTrue="1"/>
    <cfRule type="duplicateValues" dxfId="719" priority="331" stopIfTrue="1"/>
    <cfRule type="duplicateValues" dxfId="718" priority="332" stopIfTrue="1"/>
    <cfRule type="duplicateValues" dxfId="717" priority="333" stopIfTrue="1"/>
    <cfRule type="duplicateValues" dxfId="716" priority="334" stopIfTrue="1"/>
    <cfRule type="duplicateValues" dxfId="715" priority="335" stopIfTrue="1"/>
    <cfRule type="duplicateValues" dxfId="714" priority="336" stopIfTrue="1"/>
    <cfRule type="duplicateValues" dxfId="713" priority="337" stopIfTrue="1"/>
    <cfRule type="duplicateValues" dxfId="712" priority="338" stopIfTrue="1"/>
    <cfRule type="duplicateValues" dxfId="711" priority="339" stopIfTrue="1"/>
  </conditionalFormatting>
  <conditionalFormatting sqref="D101">
    <cfRule type="duplicateValues" dxfId="710" priority="283" stopIfTrue="1"/>
    <cfRule type="duplicateValues" dxfId="709" priority="284" stopIfTrue="1"/>
    <cfRule type="duplicateValues" dxfId="708" priority="285" stopIfTrue="1"/>
  </conditionalFormatting>
  <conditionalFormatting sqref="D102">
    <cfRule type="duplicateValues" dxfId="707" priority="232" stopIfTrue="1"/>
    <cfRule type="duplicateValues" dxfId="706" priority="233" stopIfTrue="1"/>
    <cfRule type="duplicateValues" dxfId="705" priority="234" stopIfTrue="1"/>
    <cfRule type="duplicateValues" dxfId="704" priority="235" stopIfTrue="1"/>
    <cfRule type="duplicateValues" dxfId="703" priority="236" stopIfTrue="1"/>
    <cfRule type="duplicateValues" dxfId="702" priority="237" stopIfTrue="1"/>
    <cfRule type="duplicateValues" dxfId="701" priority="238" stopIfTrue="1"/>
    <cfRule type="duplicateValues" dxfId="700" priority="239" stopIfTrue="1"/>
    <cfRule type="duplicateValues" dxfId="699" priority="240" stopIfTrue="1"/>
    <cfRule type="duplicateValues" dxfId="698" priority="241" stopIfTrue="1"/>
    <cfRule type="duplicateValues" dxfId="697" priority="242" stopIfTrue="1"/>
    <cfRule type="duplicateValues" dxfId="696" priority="243" stopIfTrue="1"/>
    <cfRule type="duplicateValues" dxfId="695" priority="244" stopIfTrue="1"/>
    <cfRule type="duplicateValues" dxfId="694" priority="245" stopIfTrue="1"/>
    <cfRule type="duplicateValues" dxfId="693" priority="246" stopIfTrue="1"/>
    <cfRule type="duplicateValues" dxfId="692" priority="247" stopIfTrue="1"/>
    <cfRule type="duplicateValues" dxfId="691" priority="248" stopIfTrue="1"/>
    <cfRule type="duplicateValues" dxfId="690" priority="249" stopIfTrue="1"/>
    <cfRule type="duplicateValues" dxfId="689" priority="250" stopIfTrue="1"/>
    <cfRule type="duplicateValues" dxfId="688" priority="251" stopIfTrue="1"/>
    <cfRule type="duplicateValues" dxfId="687" priority="252" stopIfTrue="1"/>
    <cfRule type="duplicateValues" dxfId="686" priority="253" stopIfTrue="1"/>
    <cfRule type="duplicateValues" dxfId="685" priority="254" stopIfTrue="1"/>
    <cfRule type="duplicateValues" dxfId="684" priority="255" stopIfTrue="1"/>
    <cfRule type="duplicateValues" dxfId="683" priority="256" stopIfTrue="1"/>
    <cfRule type="duplicateValues" dxfId="682" priority="257" stopIfTrue="1"/>
    <cfRule type="duplicateValues" dxfId="681" priority="258" stopIfTrue="1"/>
    <cfRule type="duplicateValues" dxfId="680" priority="259" stopIfTrue="1"/>
    <cfRule type="duplicateValues" dxfId="679" priority="260" stopIfTrue="1"/>
    <cfRule type="duplicateValues" dxfId="678" priority="261" stopIfTrue="1"/>
    <cfRule type="duplicateValues" dxfId="677" priority="262" stopIfTrue="1"/>
    <cfRule type="duplicateValues" dxfId="676" priority="263" stopIfTrue="1"/>
    <cfRule type="duplicateValues" dxfId="675" priority="264" stopIfTrue="1"/>
    <cfRule type="duplicateValues" dxfId="674" priority="265" stopIfTrue="1"/>
    <cfRule type="duplicateValues" dxfId="673" priority="266" stopIfTrue="1"/>
    <cfRule type="duplicateValues" dxfId="672" priority="267" stopIfTrue="1"/>
    <cfRule type="duplicateValues" dxfId="671" priority="268" stopIfTrue="1"/>
    <cfRule type="duplicateValues" dxfId="670" priority="269" stopIfTrue="1"/>
    <cfRule type="duplicateValues" dxfId="669" priority="270" stopIfTrue="1"/>
    <cfRule type="duplicateValues" dxfId="668" priority="271" stopIfTrue="1"/>
    <cfRule type="duplicateValues" dxfId="667" priority="272" stopIfTrue="1"/>
    <cfRule type="duplicateValues" dxfId="666" priority="273" stopIfTrue="1"/>
    <cfRule type="duplicateValues" dxfId="665" priority="274" stopIfTrue="1"/>
    <cfRule type="duplicateValues" dxfId="664" priority="275" stopIfTrue="1"/>
    <cfRule type="duplicateValues" dxfId="663" priority="276" stopIfTrue="1"/>
    <cfRule type="duplicateValues" dxfId="662" priority="277" stopIfTrue="1"/>
    <cfRule type="duplicateValues" dxfId="661" priority="278" stopIfTrue="1"/>
    <cfRule type="duplicateValues" dxfId="660" priority="279" stopIfTrue="1"/>
    <cfRule type="duplicateValues" dxfId="659" priority="280" stopIfTrue="1"/>
    <cfRule type="duplicateValues" dxfId="658" priority="281" stopIfTrue="1"/>
    <cfRule type="duplicateValues" dxfId="657" priority="282" stopIfTrue="1"/>
  </conditionalFormatting>
  <conditionalFormatting sqref="D103">
    <cfRule type="duplicateValues" dxfId="656" priority="229" stopIfTrue="1"/>
    <cfRule type="duplicateValues" dxfId="655" priority="230" stopIfTrue="1"/>
    <cfRule type="duplicateValues" dxfId="654" priority="231" stopIfTrue="1"/>
  </conditionalFormatting>
  <conditionalFormatting sqref="D104">
    <cfRule type="duplicateValues" dxfId="653" priority="226" stopIfTrue="1"/>
    <cfRule type="duplicateValues" dxfId="652" priority="227" stopIfTrue="1"/>
    <cfRule type="duplicateValues" dxfId="651" priority="228" stopIfTrue="1"/>
  </conditionalFormatting>
  <conditionalFormatting sqref="D105">
    <cfRule type="duplicateValues" dxfId="650" priority="222" stopIfTrue="1"/>
    <cfRule type="duplicateValues" dxfId="649" priority="223" stopIfTrue="1"/>
    <cfRule type="duplicateValues" dxfId="648" priority="224" stopIfTrue="1"/>
  </conditionalFormatting>
  <conditionalFormatting sqref="D106">
    <cfRule type="duplicateValues" dxfId="647" priority="170" stopIfTrue="1"/>
    <cfRule type="duplicateValues" dxfId="646" priority="171" stopIfTrue="1"/>
    <cfRule type="duplicateValues" dxfId="645" priority="172" stopIfTrue="1"/>
    <cfRule type="duplicateValues" dxfId="644" priority="173" stopIfTrue="1"/>
    <cfRule type="duplicateValues" dxfId="643" priority="174" stopIfTrue="1"/>
    <cfRule type="duplicateValues" dxfId="642" priority="175" stopIfTrue="1"/>
    <cfRule type="duplicateValues" dxfId="641" priority="176" stopIfTrue="1"/>
    <cfRule type="duplicateValues" dxfId="640" priority="177" stopIfTrue="1"/>
    <cfRule type="duplicateValues" dxfId="639" priority="178" stopIfTrue="1"/>
    <cfRule type="duplicateValues" dxfId="638" priority="179" stopIfTrue="1"/>
    <cfRule type="duplicateValues" dxfId="637" priority="180" stopIfTrue="1"/>
    <cfRule type="duplicateValues" dxfId="636" priority="181" stopIfTrue="1"/>
    <cfRule type="duplicateValues" dxfId="635" priority="182" stopIfTrue="1"/>
    <cfRule type="duplicateValues" dxfId="634" priority="183" stopIfTrue="1"/>
    <cfRule type="duplicateValues" dxfId="633" priority="184" stopIfTrue="1"/>
    <cfRule type="duplicateValues" dxfId="632" priority="185" stopIfTrue="1"/>
    <cfRule type="duplicateValues" dxfId="631" priority="186" stopIfTrue="1"/>
    <cfRule type="duplicateValues" dxfId="630" priority="187" stopIfTrue="1"/>
    <cfRule type="duplicateValues" dxfId="629" priority="188" stopIfTrue="1"/>
    <cfRule type="duplicateValues" dxfId="628" priority="189" stopIfTrue="1"/>
    <cfRule type="duplicateValues" dxfId="627" priority="190" stopIfTrue="1"/>
    <cfRule type="duplicateValues" dxfId="626" priority="191" stopIfTrue="1"/>
    <cfRule type="duplicateValues" dxfId="625" priority="192" stopIfTrue="1"/>
    <cfRule type="duplicateValues" dxfId="624" priority="193" stopIfTrue="1"/>
    <cfRule type="duplicateValues" dxfId="623" priority="194" stopIfTrue="1"/>
    <cfRule type="duplicateValues" dxfId="622" priority="195" stopIfTrue="1"/>
    <cfRule type="duplicateValues" dxfId="621" priority="196" stopIfTrue="1"/>
    <cfRule type="duplicateValues" dxfId="620" priority="197" stopIfTrue="1"/>
    <cfRule type="duplicateValues" dxfId="619" priority="198" stopIfTrue="1"/>
    <cfRule type="duplicateValues" dxfId="618" priority="199" stopIfTrue="1"/>
    <cfRule type="duplicateValues" dxfId="617" priority="200" stopIfTrue="1"/>
    <cfRule type="duplicateValues" dxfId="616" priority="201" stopIfTrue="1"/>
    <cfRule type="duplicateValues" dxfId="615" priority="202" stopIfTrue="1"/>
    <cfRule type="duplicateValues" dxfId="614" priority="203" stopIfTrue="1"/>
    <cfRule type="duplicateValues" dxfId="613" priority="204" stopIfTrue="1"/>
    <cfRule type="duplicateValues" dxfId="612" priority="205" stopIfTrue="1"/>
    <cfRule type="duplicateValues" dxfId="611" priority="206" stopIfTrue="1"/>
    <cfRule type="duplicateValues" dxfId="610" priority="207" stopIfTrue="1"/>
    <cfRule type="duplicateValues" dxfId="609" priority="208" stopIfTrue="1"/>
    <cfRule type="duplicateValues" dxfId="608" priority="209" stopIfTrue="1"/>
    <cfRule type="duplicateValues" dxfId="607" priority="210" stopIfTrue="1"/>
    <cfRule type="duplicateValues" dxfId="606" priority="211" stopIfTrue="1"/>
    <cfRule type="duplicateValues" dxfId="605" priority="212" stopIfTrue="1"/>
    <cfRule type="duplicateValues" dxfId="604" priority="213" stopIfTrue="1"/>
    <cfRule type="duplicateValues" dxfId="603" priority="214" stopIfTrue="1"/>
    <cfRule type="duplicateValues" dxfId="602" priority="215" stopIfTrue="1"/>
    <cfRule type="duplicateValues" dxfId="601" priority="216" stopIfTrue="1"/>
    <cfRule type="duplicateValues" dxfId="600" priority="217" stopIfTrue="1"/>
  </conditionalFormatting>
  <conditionalFormatting sqref="D108">
    <cfRule type="duplicateValues" dxfId="599" priority="168" stopIfTrue="1"/>
    <cfRule type="duplicateValues" dxfId="598" priority="169" stopIfTrue="1"/>
  </conditionalFormatting>
  <conditionalFormatting sqref="D109">
    <cfRule type="duplicateValues" dxfId="597" priority="165" stopIfTrue="1"/>
    <cfRule type="duplicateValues" dxfId="596" priority="166" stopIfTrue="1"/>
    <cfRule type="duplicateValues" dxfId="595" priority="167" stopIfTrue="1"/>
  </conditionalFormatting>
  <conditionalFormatting sqref="D111">
    <cfRule type="duplicateValues" dxfId="594" priority="161" stopIfTrue="1"/>
    <cfRule type="duplicateValues" dxfId="593" priority="162" stopIfTrue="1"/>
    <cfRule type="duplicateValues" dxfId="592" priority="163" stopIfTrue="1"/>
    <cfRule type="duplicateValues" dxfId="591" priority="164" stopIfTrue="1"/>
  </conditionalFormatting>
  <conditionalFormatting sqref="D112">
    <cfRule type="duplicateValues" dxfId="590" priority="157" stopIfTrue="1"/>
    <cfRule type="duplicateValues" dxfId="589" priority="158" stopIfTrue="1"/>
    <cfRule type="duplicateValues" dxfId="588" priority="159" stopIfTrue="1"/>
    <cfRule type="duplicateValues" dxfId="587" priority="160" stopIfTrue="1"/>
  </conditionalFormatting>
  <conditionalFormatting sqref="D113">
    <cfRule type="duplicateValues" dxfId="586" priority="153" stopIfTrue="1"/>
    <cfRule type="duplicateValues" dxfId="585" priority="154" stopIfTrue="1"/>
    <cfRule type="duplicateValues" dxfId="584" priority="155" stopIfTrue="1"/>
    <cfRule type="duplicateValues" dxfId="583" priority="156" stopIfTrue="1"/>
  </conditionalFormatting>
  <conditionalFormatting sqref="D114">
    <cfRule type="duplicateValues" dxfId="582" priority="150" stopIfTrue="1"/>
    <cfRule type="duplicateValues" dxfId="581" priority="151" stopIfTrue="1"/>
    <cfRule type="duplicateValues" dxfId="580" priority="152" stopIfTrue="1"/>
  </conditionalFormatting>
  <conditionalFormatting sqref="D116">
    <cfRule type="duplicateValues" dxfId="579" priority="147" stopIfTrue="1"/>
    <cfRule type="duplicateValues" dxfId="578" priority="148" stopIfTrue="1"/>
    <cfRule type="duplicateValues" dxfId="577" priority="149" stopIfTrue="1"/>
  </conditionalFormatting>
  <conditionalFormatting sqref="D117">
    <cfRule type="duplicateValues" dxfId="576" priority="144" stopIfTrue="1"/>
    <cfRule type="duplicateValues" dxfId="575" priority="145" stopIfTrue="1"/>
    <cfRule type="duplicateValues" dxfId="574" priority="146" stopIfTrue="1"/>
  </conditionalFormatting>
  <conditionalFormatting sqref="D118">
    <cfRule type="duplicateValues" dxfId="573" priority="141" stopIfTrue="1"/>
    <cfRule type="duplicateValues" dxfId="572" priority="142" stopIfTrue="1"/>
    <cfRule type="duplicateValues" dxfId="571" priority="143" stopIfTrue="1"/>
  </conditionalFormatting>
  <conditionalFormatting sqref="D119">
    <cfRule type="duplicateValues" dxfId="570" priority="138" stopIfTrue="1"/>
    <cfRule type="duplicateValues" dxfId="569" priority="139" stopIfTrue="1"/>
    <cfRule type="duplicateValues" dxfId="568" priority="140" stopIfTrue="1"/>
  </conditionalFormatting>
  <conditionalFormatting sqref="D120">
    <cfRule type="duplicateValues" dxfId="567" priority="135" stopIfTrue="1"/>
    <cfRule type="duplicateValues" dxfId="566" priority="136" stopIfTrue="1"/>
    <cfRule type="duplicateValues" dxfId="565" priority="137" stopIfTrue="1"/>
  </conditionalFormatting>
  <conditionalFormatting sqref="D121">
    <cfRule type="duplicateValues" dxfId="564" priority="132" stopIfTrue="1"/>
    <cfRule type="duplicateValues" dxfId="563" priority="133" stopIfTrue="1"/>
    <cfRule type="duplicateValues" dxfId="562" priority="134" stopIfTrue="1"/>
  </conditionalFormatting>
  <conditionalFormatting sqref="D123:D125">
    <cfRule type="duplicateValues" dxfId="561" priority="129" stopIfTrue="1"/>
    <cfRule type="duplicateValues" dxfId="560" priority="130" stopIfTrue="1"/>
    <cfRule type="duplicateValues" dxfId="559" priority="131" stopIfTrue="1"/>
  </conditionalFormatting>
  <conditionalFormatting sqref="D126">
    <cfRule type="duplicateValues" dxfId="558" priority="123" stopIfTrue="1"/>
    <cfRule type="duplicateValues" dxfId="557" priority="124" stopIfTrue="1"/>
    <cfRule type="duplicateValues" dxfId="556" priority="125"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19" stopIfTrue="1"/>
    <cfRule type="duplicateValues" dxfId="552" priority="120" stopIfTrue="1"/>
  </conditionalFormatting>
  <conditionalFormatting sqref="D137">
    <cfRule type="duplicateValues" dxfId="551" priority="115" stopIfTrue="1"/>
    <cfRule type="duplicateValues" dxfId="550" priority="116"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1" stopIfTrue="1"/>
    <cfRule type="duplicateValues" dxfId="544" priority="112"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3" stopIfTrue="1"/>
    <cfRule type="duplicateValues" dxfId="536" priority="104" stopIfTrue="1"/>
  </conditionalFormatting>
  <conditionalFormatting sqref="D155:D157">
    <cfRule type="duplicateValues" dxfId="535" priority="101" stopIfTrue="1"/>
    <cfRule type="duplicateValues" dxfId="534" priority="102" stopIfTrue="1"/>
  </conditionalFormatting>
  <conditionalFormatting sqref="D161">
    <cfRule type="duplicateValues" dxfId="533" priority="93" stopIfTrue="1"/>
    <cfRule type="duplicateValues" dxfId="532" priority="94" stopIfTrue="1"/>
  </conditionalFormatting>
  <conditionalFormatting sqref="D162">
    <cfRule type="duplicateValues" dxfId="531" priority="92" stopIfTrue="1"/>
  </conditionalFormatting>
  <conditionalFormatting sqref="D163">
    <cfRule type="duplicateValues" dxfId="530" priority="89" stopIfTrue="1"/>
    <cfRule type="duplicateValues" dxfId="529" priority="90" stopIfTrue="1"/>
    <cfRule type="duplicateValues" dxfId="528" priority="91"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0" stopIfTrue="1"/>
    <cfRule type="duplicateValues" dxfId="520" priority="81" stopIfTrue="1"/>
    <cfRule type="duplicateValues" dxfId="519" priority="82" stopIfTrue="1"/>
  </conditionalFormatting>
  <conditionalFormatting sqref="D172">
    <cfRule type="duplicateValues" dxfId="518" priority="77" stopIfTrue="1"/>
    <cfRule type="duplicateValues" dxfId="517" priority="78" stopIfTrue="1"/>
    <cfRule type="duplicateValues" dxfId="516" priority="79" stopIfTrue="1"/>
  </conditionalFormatting>
  <conditionalFormatting sqref="D173">
    <cfRule type="duplicateValues" dxfId="515" priority="74" stopIfTrue="1"/>
    <cfRule type="duplicateValues" dxfId="514" priority="75" stopIfTrue="1"/>
    <cfRule type="duplicateValues" dxfId="513" priority="76"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69" stopIfTrue="1"/>
    <cfRule type="duplicateValues" dxfId="509" priority="70" stopIfTrue="1"/>
    <cfRule type="duplicateValues" dxfId="508" priority="71" stopIfTrue="1"/>
  </conditionalFormatting>
  <conditionalFormatting sqref="D179:D180">
    <cfRule type="duplicateValues" dxfId="507" priority="66" stopIfTrue="1"/>
    <cfRule type="duplicateValues" dxfId="506" priority="67" stopIfTrue="1"/>
    <cfRule type="duplicateValues" dxfId="505" priority="68"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2" stopIfTrue="1"/>
    <cfRule type="duplicateValues" dxfId="501" priority="63" stopIfTrue="1"/>
  </conditionalFormatting>
  <conditionalFormatting sqref="D185:D186">
    <cfRule type="duplicateValues" dxfId="500" priority="60" stopIfTrue="1"/>
    <cfRule type="duplicateValues" dxfId="499" priority="61" stopIfTrue="1"/>
  </conditionalFormatting>
  <conditionalFormatting sqref="D187">
    <cfRule type="duplicateValues" dxfId="498" priority="58" stopIfTrue="1"/>
    <cfRule type="duplicateValues" dxfId="497" priority="59" stopIfTrue="1"/>
  </conditionalFormatting>
  <conditionalFormatting sqref="D188">
    <cfRule type="duplicateValues" dxfId="496" priority="51"/>
    <cfRule type="duplicateValues" dxfId="495" priority="52" stopIfTrue="1"/>
    <cfRule type="duplicateValues" dxfId="494" priority="53" stopIfTrue="1"/>
  </conditionalFormatting>
  <conditionalFormatting sqref="D189">
    <cfRule type="duplicateValues" dxfId="493" priority="3075"/>
    <cfRule type="duplicateValues" dxfId="492" priority="3076" stopIfTrue="1"/>
  </conditionalFormatting>
  <conditionalFormatting sqref="D190">
    <cfRule type="duplicateValues" dxfId="491" priority="45"/>
    <cfRule type="duplicateValues" dxfId="490" priority="46" stopIfTrue="1"/>
    <cfRule type="duplicateValues" dxfId="489" priority="47" stopIfTrue="1"/>
  </conditionalFormatting>
  <conditionalFormatting sqref="D191:D193">
    <cfRule type="duplicateValues" dxfId="488" priority="42"/>
    <cfRule type="duplicateValues" dxfId="487" priority="43" stopIfTrue="1"/>
    <cfRule type="duplicateValues" dxfId="486" priority="44" stopIfTrue="1"/>
  </conditionalFormatting>
  <conditionalFormatting sqref="D194">
    <cfRule type="duplicateValues" dxfId="485" priority="36"/>
    <cfRule type="duplicateValues" dxfId="484" priority="37" stopIfTrue="1"/>
    <cfRule type="duplicateValues" dxfId="483" priority="38" stopIfTrue="1"/>
  </conditionalFormatting>
  <conditionalFormatting sqref="D195">
    <cfRule type="duplicateValues" dxfId="482" priority="33"/>
    <cfRule type="duplicateValues" dxfId="481" priority="34" stopIfTrue="1"/>
    <cfRule type="duplicateValues" dxfId="480" priority="35" stopIfTrue="1"/>
  </conditionalFormatting>
  <conditionalFormatting sqref="D196">
    <cfRule type="duplicateValues" dxfId="479" priority="30"/>
    <cfRule type="duplicateValues" dxfId="478" priority="31" stopIfTrue="1"/>
    <cfRule type="duplicateValues" dxfId="477" priority="32" stopIfTrue="1"/>
  </conditionalFormatting>
  <conditionalFormatting sqref="D197">
    <cfRule type="duplicateValues" dxfId="476" priority="28"/>
    <cfRule type="duplicateValues" dxfId="475" priority="29" stopIfTrue="1"/>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2"/>
    <cfRule type="duplicateValues" dxfId="470" priority="23" stopIfTrue="1"/>
    <cfRule type="duplicateValues" dxfId="469" priority="24" stopIfTrue="1"/>
  </conditionalFormatting>
  <conditionalFormatting sqref="D200">
    <cfRule type="duplicateValues" dxfId="468" priority="19"/>
    <cfRule type="duplicateValues" dxfId="467" priority="20" stopIfTrue="1"/>
    <cfRule type="duplicateValues" dxfId="466" priority="21" stopIfTrue="1"/>
  </conditionalFormatting>
  <conditionalFormatting sqref="D201:D203">
    <cfRule type="duplicateValues" dxfId="465" priority="13"/>
    <cfRule type="duplicateValues" dxfId="464" priority="14" stopIfTrue="1"/>
    <cfRule type="duplicateValues" dxfId="463" priority="15" stopIfTrue="1"/>
  </conditionalFormatting>
  <conditionalFormatting sqref="D204">
    <cfRule type="duplicateValues" dxfId="462" priority="10"/>
    <cfRule type="duplicateValues" dxfId="461" priority="11" stopIfTrue="1"/>
    <cfRule type="duplicateValues" dxfId="460" priority="12" stopIfTrue="1"/>
  </conditionalFormatting>
  <conditionalFormatting sqref="D205">
    <cfRule type="duplicateValues" dxfId="459" priority="7"/>
    <cfRule type="duplicateValues" dxfId="458" priority="8" stopIfTrue="1"/>
    <cfRule type="duplicateValues" dxfId="457" priority="9" stopIfTrue="1"/>
  </conditionalFormatting>
  <conditionalFormatting sqref="D206">
    <cfRule type="duplicateValues" dxfId="456" priority="4"/>
    <cfRule type="duplicateValues" dxfId="455" priority="5" stopIfTrue="1"/>
    <cfRule type="duplicateValues" dxfId="454" priority="6" stopIfTrue="1"/>
  </conditionalFormatting>
  <conditionalFormatting sqref="D207">
    <cfRule type="duplicateValues" dxfId="453" priority="1"/>
    <cfRule type="duplicateValues" dxfId="452" priority="2" stopIfTrue="1"/>
    <cfRule type="duplicateValues" dxfId="451" priority="3" stopIfTrue="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404" t="s">
        <v>1255</v>
      </c>
      <c r="B4" s="1404" t="s">
        <v>41</v>
      </c>
      <c r="C4" s="1405" t="s">
        <v>42</v>
      </c>
      <c r="D4" s="1406" t="s">
        <v>43</v>
      </c>
      <c r="E4" s="1406" t="s">
        <v>44</v>
      </c>
      <c r="F4" s="1406" t="s">
        <v>1285</v>
      </c>
      <c r="G4" s="1410" t="s">
        <v>47</v>
      </c>
      <c r="H4" s="1406" t="s">
        <v>1256</v>
      </c>
      <c r="I4" s="1406" t="s">
        <v>1257</v>
      </c>
      <c r="J4" s="1407" t="s">
        <v>49</v>
      </c>
      <c r="K4" s="1407" t="s">
        <v>1258</v>
      </c>
    </row>
    <row r="5" spans="1:11" s="159" customFormat="1" ht="12">
      <c r="A5" s="1404"/>
      <c r="B5" s="1404"/>
      <c r="C5" s="1405"/>
      <c r="D5" s="1406"/>
      <c r="E5" s="1406"/>
      <c r="F5" s="1406"/>
      <c r="G5" s="1410"/>
      <c r="H5" s="1406"/>
      <c r="I5" s="1406"/>
      <c r="J5" s="1407"/>
      <c r="K5" s="1407"/>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41" stopIfTrue="1"/>
    <cfRule type="duplicateValues" dxfId="446" priority="242" stopIfTrue="1"/>
    <cfRule type="duplicateValues" dxfId="445" priority="243" stopIfTrue="1"/>
    <cfRule type="duplicateValues" dxfId="444" priority="244" stopIfTrue="1"/>
    <cfRule type="duplicateValues" dxfId="443" priority="245" stopIfTrue="1"/>
    <cfRule type="duplicateValues" dxfId="442" priority="246" stopIfTrue="1"/>
    <cfRule type="duplicateValues" dxfId="441" priority="247" stopIfTrue="1"/>
    <cfRule type="duplicateValues" dxfId="440" priority="248" stopIfTrue="1"/>
    <cfRule type="duplicateValues" dxfId="439" priority="249" stopIfTrue="1"/>
    <cfRule type="duplicateValues" dxfId="438" priority="250" stopIfTrue="1"/>
    <cfRule type="duplicateValues" dxfId="437" priority="251" stopIfTrue="1"/>
    <cfRule type="duplicateValues" dxfId="436" priority="252" stopIfTrue="1"/>
    <cfRule type="duplicateValues" dxfId="435" priority="253" stopIfTrue="1"/>
    <cfRule type="duplicateValues" dxfId="434" priority="254" stopIfTrue="1"/>
    <cfRule type="duplicateValues" dxfId="433" priority="255" stopIfTrue="1"/>
    <cfRule type="duplicateValues" dxfId="432" priority="256" stopIfTrue="1"/>
    <cfRule type="duplicateValues" dxfId="431" priority="257" stopIfTrue="1"/>
    <cfRule type="duplicateValues" dxfId="430" priority="258" stopIfTrue="1"/>
    <cfRule type="duplicateValues" dxfId="429" priority="259" stopIfTrue="1"/>
    <cfRule type="duplicateValues" dxfId="428" priority="260" stopIfTrue="1"/>
    <cfRule type="duplicateValues" dxfId="427" priority="261" stopIfTrue="1"/>
    <cfRule type="duplicateValues" dxfId="426" priority="262" stopIfTrue="1"/>
    <cfRule type="duplicateValues" dxfId="425" priority="263" stopIfTrue="1"/>
    <cfRule type="duplicateValues" dxfId="424" priority="264" stopIfTrue="1"/>
    <cfRule type="duplicateValues" dxfId="423" priority="265" stopIfTrue="1"/>
    <cfRule type="duplicateValues" dxfId="422" priority="266" stopIfTrue="1"/>
    <cfRule type="duplicateValues" dxfId="421" priority="267" stopIfTrue="1"/>
    <cfRule type="duplicateValues" dxfId="420" priority="268" stopIfTrue="1"/>
    <cfRule type="duplicateValues" dxfId="419" priority="269" stopIfTrue="1"/>
    <cfRule type="duplicateValues" dxfId="418" priority="270" stopIfTrue="1"/>
    <cfRule type="duplicateValues" dxfId="417" priority="271" stopIfTrue="1"/>
    <cfRule type="duplicateValues" dxfId="416" priority="272" stopIfTrue="1"/>
    <cfRule type="duplicateValues" dxfId="415" priority="273" stopIfTrue="1"/>
    <cfRule type="duplicateValues" dxfId="414" priority="274" stopIfTrue="1"/>
    <cfRule type="duplicateValues" dxfId="413" priority="275" stopIfTrue="1"/>
    <cfRule type="duplicateValues" dxfId="412" priority="276" stopIfTrue="1"/>
    <cfRule type="duplicateValues" dxfId="411" priority="277" stopIfTrue="1"/>
    <cfRule type="duplicateValues" dxfId="410" priority="278" stopIfTrue="1"/>
    <cfRule type="duplicateValues" dxfId="409" priority="279" stopIfTrue="1"/>
    <cfRule type="duplicateValues" dxfId="408" priority="280" stopIfTrue="1"/>
    <cfRule type="duplicateValues" dxfId="407" priority="281" stopIfTrue="1"/>
    <cfRule type="duplicateValues" dxfId="406" priority="282" stopIfTrue="1"/>
    <cfRule type="duplicateValues" dxfId="405" priority="283" stopIfTrue="1"/>
    <cfRule type="duplicateValues" dxfId="404" priority="284" stopIfTrue="1"/>
    <cfRule type="duplicateValues" dxfId="403" priority="285" stopIfTrue="1"/>
    <cfRule type="duplicateValues" dxfId="402" priority="286" stopIfTrue="1"/>
    <cfRule type="duplicateValues" dxfId="401" priority="287" stopIfTrue="1"/>
    <cfRule type="duplicateValues" dxfId="400" priority="288" stopIfTrue="1"/>
    <cfRule type="duplicateValues" dxfId="399" priority="289" stopIfTrue="1"/>
    <cfRule type="duplicateValues" dxfId="398" priority="290"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35" stopIfTrue="1"/>
    <cfRule type="duplicateValues" dxfId="394" priority="236" stopIfTrue="1"/>
    <cfRule type="duplicateValues" dxfId="393" priority="237" stopIfTrue="1"/>
    <cfRule type="duplicateValues" dxfId="392" priority="238" stopIfTrue="1"/>
    <cfRule type="duplicateValues" dxfId="391" priority="239" stopIfTrue="1"/>
    <cfRule type="duplicateValues" dxfId="390" priority="240"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3" stopIfTrue="1"/>
    <cfRule type="duplicateValues" dxfId="386" priority="234" stopIfTrue="1"/>
  </conditionalFormatting>
  <conditionalFormatting sqref="D11">
    <cfRule type="duplicateValues" dxfId="385" priority="231" stopIfTrue="1"/>
    <cfRule type="duplicateValues" dxfId="384" priority="232" stopIfTrue="1"/>
  </conditionalFormatting>
  <conditionalFormatting sqref="D12">
    <cfRule type="duplicateValues" dxfId="383" priority="229" stopIfTrue="1"/>
    <cfRule type="duplicateValues" dxfId="382" priority="230" stopIfTrue="1"/>
  </conditionalFormatting>
  <conditionalFormatting sqref="D13">
    <cfRule type="duplicateValues" dxfId="381" priority="227" stopIfTrue="1"/>
    <cfRule type="duplicateValues" dxfId="380" priority="228" stopIfTrue="1"/>
  </conditionalFormatting>
  <conditionalFormatting sqref="D14:D15">
    <cfRule type="duplicateValues" dxfId="379" priority="225" stopIfTrue="1"/>
    <cfRule type="duplicateValues" dxfId="378" priority="226" stopIfTrue="1"/>
  </conditionalFormatting>
  <conditionalFormatting sqref="D16">
    <cfRule type="duplicateValues" dxfId="377" priority="223" stopIfTrue="1"/>
    <cfRule type="duplicateValues" dxfId="376" priority="224" stopIfTrue="1"/>
  </conditionalFormatting>
  <conditionalFormatting sqref="D17">
    <cfRule type="duplicateValues" dxfId="375" priority="221" stopIfTrue="1"/>
    <cfRule type="duplicateValues" dxfId="374" priority="222" stopIfTrue="1"/>
  </conditionalFormatting>
  <conditionalFormatting sqref="D18">
    <cfRule type="duplicateValues" dxfId="373" priority="219" stopIfTrue="1"/>
    <cfRule type="duplicateValues" dxfId="372" priority="220" stopIfTrue="1"/>
  </conditionalFormatting>
  <conditionalFormatting sqref="D19">
    <cfRule type="duplicateValues" dxfId="371" priority="217" stopIfTrue="1"/>
    <cfRule type="duplicateValues" dxfId="370" priority="218" stopIfTrue="1"/>
  </conditionalFormatting>
  <conditionalFormatting sqref="D20">
    <cfRule type="duplicateValues" dxfId="369" priority="215" stopIfTrue="1"/>
    <cfRule type="duplicateValues" dxfId="368" priority="216" stopIfTrue="1"/>
  </conditionalFormatting>
  <conditionalFormatting sqref="D21">
    <cfRule type="duplicateValues" dxfId="367" priority="213" stopIfTrue="1"/>
    <cfRule type="duplicateValues" dxfId="366" priority="214" stopIfTrue="1"/>
  </conditionalFormatting>
  <conditionalFormatting sqref="D22">
    <cfRule type="duplicateValues" dxfId="365" priority="211" stopIfTrue="1"/>
    <cfRule type="duplicateValues" dxfId="364" priority="212" stopIfTrue="1"/>
  </conditionalFormatting>
  <conditionalFormatting sqref="D23">
    <cfRule type="duplicateValues" dxfId="363" priority="209" stopIfTrue="1"/>
    <cfRule type="duplicateValues" dxfId="362" priority="210" stopIfTrue="1"/>
  </conditionalFormatting>
  <conditionalFormatting sqref="D24">
    <cfRule type="duplicateValues" dxfId="361" priority="207" stopIfTrue="1"/>
    <cfRule type="duplicateValues" dxfId="360" priority="208" stopIfTrue="1"/>
  </conditionalFormatting>
  <conditionalFormatting sqref="D25">
    <cfRule type="duplicateValues" dxfId="359" priority="205" stopIfTrue="1"/>
    <cfRule type="duplicateValues" dxfId="358" priority="206" stopIfTrue="1"/>
  </conditionalFormatting>
  <conditionalFormatting sqref="D26">
    <cfRule type="duplicateValues" dxfId="357" priority="203" stopIfTrue="1"/>
    <cfRule type="duplicateValues" dxfId="356" priority="204"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199" stopIfTrue="1"/>
    <cfRule type="duplicateValues" dxfId="352" priority="200" stopIfTrue="1"/>
  </conditionalFormatting>
  <conditionalFormatting sqref="D29">
    <cfRule type="duplicateValues" dxfId="351" priority="197" stopIfTrue="1"/>
    <cfRule type="duplicateValues" dxfId="350" priority="198" stopIfTrue="1"/>
  </conditionalFormatting>
  <conditionalFormatting sqref="D30">
    <cfRule type="duplicateValues" dxfId="349" priority="195" stopIfTrue="1"/>
    <cfRule type="duplicateValues" dxfId="348" priority="196" stopIfTrue="1"/>
  </conditionalFormatting>
  <conditionalFormatting sqref="D31">
    <cfRule type="duplicateValues" dxfId="347" priority="193" stopIfTrue="1"/>
    <cfRule type="duplicateValues" dxfId="346" priority="194" stopIfTrue="1"/>
  </conditionalFormatting>
  <conditionalFormatting sqref="D32">
    <cfRule type="duplicateValues" dxfId="345" priority="152" stopIfTrue="1"/>
    <cfRule type="duplicateValues" dxfId="344" priority="153" stopIfTrue="1"/>
  </conditionalFormatting>
  <conditionalFormatting sqref="D33">
    <cfRule type="duplicateValues" dxfId="343" priority="150" stopIfTrue="1"/>
    <cfRule type="duplicateValues" dxfId="342" priority="151" stopIfTrue="1"/>
  </conditionalFormatting>
  <conditionalFormatting sqref="D34">
    <cfRule type="duplicateValues" dxfId="341" priority="148" stopIfTrue="1"/>
    <cfRule type="duplicateValues" dxfId="340" priority="149"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3" stopIfTrue="1"/>
    <cfRule type="duplicateValues" dxfId="336" priority="144" stopIfTrue="1"/>
  </conditionalFormatting>
  <conditionalFormatting sqref="D38">
    <cfRule type="duplicateValues" dxfId="335" priority="141" stopIfTrue="1"/>
    <cfRule type="duplicateValues" dxfId="334" priority="142" stopIfTrue="1"/>
  </conditionalFormatting>
  <conditionalFormatting sqref="D39">
    <cfRule type="duplicateValues" dxfId="333" priority="139" stopIfTrue="1"/>
    <cfRule type="duplicateValues" dxfId="332" priority="140" stopIfTrue="1"/>
  </conditionalFormatting>
  <conditionalFormatting sqref="D40">
    <cfRule type="duplicateValues" dxfId="331" priority="137" stopIfTrue="1"/>
    <cfRule type="duplicateValues" dxfId="330" priority="138"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29" stopIfTrue="1"/>
    <cfRule type="duplicateValues" dxfId="326" priority="130" stopIfTrue="1"/>
  </conditionalFormatting>
  <conditionalFormatting sqref="D47:D48">
    <cfRule type="duplicateValues" dxfId="325" priority="127" stopIfTrue="1"/>
    <cfRule type="duplicateValues" dxfId="324" priority="128" stopIfTrue="1"/>
  </conditionalFormatting>
  <conditionalFormatting sqref="D49">
    <cfRule type="duplicateValues" dxfId="323" priority="121" stopIfTrue="1"/>
    <cfRule type="duplicateValues" dxfId="322" priority="122" stopIfTrue="1"/>
  </conditionalFormatting>
  <conditionalFormatting sqref="D50">
    <cfRule type="duplicateValues" dxfId="321" priority="119" stopIfTrue="1"/>
    <cfRule type="duplicateValues" dxfId="320" priority="120" stopIfTrue="1"/>
  </conditionalFormatting>
  <conditionalFormatting sqref="D51">
    <cfRule type="duplicateValues" dxfId="319" priority="117" stopIfTrue="1"/>
    <cfRule type="duplicateValues" dxfId="318" priority="118" stopIfTrue="1"/>
  </conditionalFormatting>
  <conditionalFormatting sqref="D52">
    <cfRule type="duplicateValues" dxfId="317" priority="115" stopIfTrue="1"/>
    <cfRule type="duplicateValues" dxfId="316" priority="116" stopIfTrue="1"/>
  </conditionalFormatting>
  <conditionalFormatting sqref="D53">
    <cfRule type="duplicateValues" dxfId="315" priority="113" stopIfTrue="1"/>
    <cfRule type="duplicateValues" dxfId="314" priority="114" stopIfTrue="1"/>
  </conditionalFormatting>
  <conditionalFormatting sqref="D54">
    <cfRule type="duplicateValues" dxfId="313" priority="111" stopIfTrue="1"/>
    <cfRule type="duplicateValues" dxfId="312" priority="112" stopIfTrue="1"/>
  </conditionalFormatting>
  <conditionalFormatting sqref="D55">
    <cfRule type="duplicateValues" dxfId="311" priority="109" stopIfTrue="1"/>
    <cfRule type="duplicateValues" dxfId="310" priority="110" stopIfTrue="1"/>
  </conditionalFormatting>
  <conditionalFormatting sqref="D56">
    <cfRule type="duplicateValues" dxfId="309" priority="107" stopIfTrue="1"/>
    <cfRule type="duplicateValues" dxfId="308" priority="108" stopIfTrue="1"/>
  </conditionalFormatting>
  <conditionalFormatting sqref="D57">
    <cfRule type="duplicateValues" dxfId="307" priority="105" stopIfTrue="1"/>
    <cfRule type="duplicateValues" dxfId="306" priority="106" stopIfTrue="1"/>
  </conditionalFormatting>
  <conditionalFormatting sqref="D58">
    <cfRule type="duplicateValues" dxfId="305" priority="103" stopIfTrue="1"/>
    <cfRule type="duplicateValues" dxfId="304" priority="104" stopIfTrue="1"/>
  </conditionalFormatting>
  <conditionalFormatting sqref="D59">
    <cfRule type="duplicateValues" dxfId="303" priority="101" stopIfTrue="1"/>
    <cfRule type="duplicateValues" dxfId="302" priority="102" stopIfTrue="1"/>
  </conditionalFormatting>
  <conditionalFormatting sqref="D60">
    <cfRule type="duplicateValues" dxfId="301" priority="99" stopIfTrue="1"/>
    <cfRule type="duplicateValues" dxfId="300" priority="100" stopIfTrue="1"/>
  </conditionalFormatting>
  <conditionalFormatting sqref="D61">
    <cfRule type="duplicateValues" dxfId="299" priority="97" stopIfTrue="1"/>
    <cfRule type="duplicateValues" dxfId="298" priority="98" stopIfTrue="1"/>
  </conditionalFormatting>
  <conditionalFormatting sqref="D62">
    <cfRule type="duplicateValues" dxfId="297" priority="95" stopIfTrue="1"/>
    <cfRule type="duplicateValues" dxfId="296" priority="96" stopIfTrue="1"/>
  </conditionalFormatting>
  <conditionalFormatting sqref="D63">
    <cfRule type="duplicateValues" dxfId="295" priority="93" stopIfTrue="1"/>
    <cfRule type="duplicateValues" dxfId="294" priority="94" stopIfTrue="1"/>
  </conditionalFormatting>
  <conditionalFormatting sqref="D65">
    <cfRule type="duplicateValues" dxfId="293" priority="91" stopIfTrue="1"/>
    <cfRule type="duplicateValues" dxfId="292" priority="92" stopIfTrue="1"/>
  </conditionalFormatting>
  <conditionalFormatting sqref="D66">
    <cfRule type="duplicateValues" dxfId="291" priority="89" stopIfTrue="1"/>
    <cfRule type="duplicateValues" dxfId="290" priority="90" stopIfTrue="1"/>
  </conditionalFormatting>
  <conditionalFormatting sqref="D67">
    <cfRule type="duplicateValues" dxfId="289" priority="87" stopIfTrue="1"/>
    <cfRule type="duplicateValues" dxfId="288" priority="88" stopIfTrue="1"/>
  </conditionalFormatting>
  <conditionalFormatting sqref="D68">
    <cfRule type="duplicateValues" dxfId="287" priority="85" stopIfTrue="1"/>
    <cfRule type="duplicateValues" dxfId="286" priority="86" stopIfTrue="1"/>
  </conditionalFormatting>
  <conditionalFormatting sqref="D69">
    <cfRule type="duplicateValues" dxfId="285" priority="83" stopIfTrue="1"/>
    <cfRule type="duplicateValues" dxfId="284" priority="84" stopIfTrue="1"/>
  </conditionalFormatting>
  <conditionalFormatting sqref="D70">
    <cfRule type="duplicateValues" dxfId="283" priority="81" stopIfTrue="1"/>
    <cfRule type="duplicateValues" dxfId="282" priority="82" stopIfTrue="1"/>
  </conditionalFormatting>
  <conditionalFormatting sqref="D71">
    <cfRule type="duplicateValues" dxfId="281" priority="79" stopIfTrue="1"/>
    <cfRule type="duplicateValues" dxfId="280" priority="80" stopIfTrue="1"/>
  </conditionalFormatting>
  <conditionalFormatting sqref="D72">
    <cfRule type="duplicateValues" dxfId="279" priority="77" stopIfTrue="1"/>
    <cfRule type="duplicateValues" dxfId="278" priority="78" stopIfTrue="1"/>
  </conditionalFormatting>
  <conditionalFormatting sqref="D73">
    <cfRule type="duplicateValues" dxfId="277" priority="75" stopIfTrue="1"/>
    <cfRule type="duplicateValues" dxfId="276" priority="76" stopIfTrue="1"/>
  </conditionalFormatting>
  <conditionalFormatting sqref="D74">
    <cfRule type="duplicateValues" dxfId="275" priority="73" stopIfTrue="1"/>
    <cfRule type="duplicateValues" dxfId="274" priority="74"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69" stopIfTrue="1"/>
    <cfRule type="duplicateValues" dxfId="270" priority="70" stopIfTrue="1"/>
  </conditionalFormatting>
  <conditionalFormatting sqref="D77">
    <cfRule type="duplicateValues" dxfId="269" priority="67" stopIfTrue="1"/>
    <cfRule type="duplicateValues" dxfId="268" priority="68" stopIfTrue="1"/>
  </conditionalFormatting>
  <conditionalFormatting sqref="D78">
    <cfRule type="duplicateValues" dxfId="267" priority="65" stopIfTrue="1"/>
    <cfRule type="duplicateValues" dxfId="266" priority="66" stopIfTrue="1"/>
  </conditionalFormatting>
  <conditionalFormatting sqref="D80">
    <cfRule type="duplicateValues" dxfId="265" priority="63" stopIfTrue="1"/>
    <cfRule type="duplicateValues" dxfId="264" priority="64" stopIfTrue="1"/>
  </conditionalFormatting>
  <conditionalFormatting sqref="D81">
    <cfRule type="duplicateValues" dxfId="263" priority="61" stopIfTrue="1"/>
    <cfRule type="duplicateValues" dxfId="262" priority="62" stopIfTrue="1"/>
  </conditionalFormatting>
  <conditionalFormatting sqref="D82">
    <cfRule type="duplicateValues" dxfId="261" priority="59" stopIfTrue="1"/>
    <cfRule type="duplicateValues" dxfId="260" priority="60" stopIfTrue="1"/>
  </conditionalFormatting>
  <conditionalFormatting sqref="D83">
    <cfRule type="duplicateValues" dxfId="259" priority="57" stopIfTrue="1"/>
    <cfRule type="duplicateValues" dxfId="258" priority="58" stopIfTrue="1"/>
  </conditionalFormatting>
  <conditionalFormatting sqref="D84:D85">
    <cfRule type="duplicateValues" dxfId="257" priority="55" stopIfTrue="1"/>
    <cfRule type="duplicateValues" dxfId="256" priority="56" stopIfTrue="1"/>
  </conditionalFormatting>
  <conditionalFormatting sqref="D86">
    <cfRule type="duplicateValues" dxfId="255" priority="53" stopIfTrue="1"/>
    <cfRule type="duplicateValues" dxfId="254" priority="54" stopIfTrue="1"/>
  </conditionalFormatting>
  <conditionalFormatting sqref="D87">
    <cfRule type="duplicateValues" dxfId="253" priority="51" stopIfTrue="1"/>
    <cfRule type="duplicateValues" dxfId="252" priority="52" stopIfTrue="1"/>
  </conditionalFormatting>
  <conditionalFormatting sqref="D97">
    <cfRule type="duplicateValues" dxfId="251" priority="49" stopIfTrue="1"/>
    <cfRule type="duplicateValues" dxfId="250" priority="50" stopIfTrue="1"/>
  </conditionalFormatting>
  <conditionalFormatting sqref="D103">
    <cfRule type="duplicateValues" dxfId="249" priority="44" stopIfTrue="1"/>
    <cfRule type="duplicateValues" dxfId="248" priority="45" stopIfTrue="1"/>
    <cfRule type="duplicateValues" dxfId="247" priority="46"/>
  </conditionalFormatting>
  <conditionalFormatting sqref="D143">
    <cfRule type="duplicateValues" dxfId="246" priority="34"/>
    <cfRule type="duplicateValues" dxfId="245" priority="35" stopIfTrue="1"/>
    <cfRule type="duplicateValues" dxfId="244" priority="36" stopIfTrue="1"/>
  </conditionalFormatting>
  <conditionalFormatting sqref="D144">
    <cfRule type="duplicateValues" dxfId="243" priority="31"/>
    <cfRule type="duplicateValues" dxfId="242" priority="32" stopIfTrue="1"/>
    <cfRule type="duplicateValues" dxfId="241" priority="33" stopIfTrue="1"/>
  </conditionalFormatting>
  <conditionalFormatting sqref="D145">
    <cfRule type="duplicateValues" dxfId="240" priority="28"/>
    <cfRule type="duplicateValues" dxfId="239" priority="29" stopIfTrue="1"/>
    <cfRule type="duplicateValues" dxfId="238" priority="30" stopIfTrue="1"/>
  </conditionalFormatting>
  <conditionalFormatting sqref="D146">
    <cfRule type="duplicateValues" dxfId="237" priority="25"/>
    <cfRule type="duplicateValues" dxfId="236" priority="26" stopIfTrue="1"/>
    <cfRule type="duplicateValues" dxfId="235" priority="27" stopIfTrue="1"/>
  </conditionalFormatting>
  <conditionalFormatting sqref="D147">
    <cfRule type="duplicateValues" dxfId="234" priority="22"/>
    <cfRule type="duplicateValues" dxfId="233" priority="23" stopIfTrue="1"/>
    <cfRule type="duplicateValues" dxfId="232" priority="24" stopIfTrue="1"/>
  </conditionalFormatting>
  <conditionalFormatting sqref="D148">
    <cfRule type="duplicateValues" dxfId="231" priority="19"/>
    <cfRule type="duplicateValues" dxfId="230" priority="20" stopIfTrue="1"/>
    <cfRule type="duplicateValues" dxfId="229" priority="21" stopIfTrue="1"/>
  </conditionalFormatting>
  <conditionalFormatting sqref="D150:D151">
    <cfRule type="duplicateValues" dxfId="228" priority="16"/>
    <cfRule type="duplicateValues" dxfId="227" priority="17" stopIfTrue="1"/>
    <cfRule type="duplicateValues" dxfId="226" priority="18" stopIfTrue="1"/>
  </conditionalFormatting>
  <conditionalFormatting sqref="D152">
    <cfRule type="duplicateValues" dxfId="225" priority="13"/>
    <cfRule type="duplicateValues" dxfId="224" priority="14" stopIfTrue="1"/>
    <cfRule type="duplicateValues" dxfId="223" priority="15" stopIfTrue="1"/>
  </conditionalFormatting>
  <conditionalFormatting sqref="D153">
    <cfRule type="duplicateValues" dxfId="222" priority="10"/>
    <cfRule type="duplicateValues" dxfId="221" priority="11" stopIfTrue="1"/>
    <cfRule type="duplicateValues" dxfId="220" priority="12" stopIfTrue="1"/>
  </conditionalFormatting>
  <conditionalFormatting sqref="D154">
    <cfRule type="duplicateValues" dxfId="219" priority="7"/>
    <cfRule type="duplicateValues" dxfId="218" priority="8" stopIfTrue="1"/>
    <cfRule type="duplicateValues" dxfId="217" priority="9" stopIfTrue="1"/>
  </conditionalFormatting>
  <conditionalFormatting sqref="D155">
    <cfRule type="duplicateValues" dxfId="216" priority="4"/>
    <cfRule type="duplicateValues" dxfId="215" priority="5" stopIfTrue="1"/>
    <cfRule type="duplicateValues" dxfId="214" priority="6" stopIfTrue="1"/>
  </conditionalFormatting>
  <conditionalFormatting sqref="D156">
    <cfRule type="duplicateValues" dxfId="213" priority="1"/>
    <cfRule type="duplicateValues" dxfId="212" priority="2" stopIfTrue="1"/>
    <cfRule type="duplicateValues" dxfId="211" priority="3" stopIfTrue="1"/>
  </conditionalFormatting>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404" t="s">
        <v>1255</v>
      </c>
      <c r="B4" s="1404" t="s">
        <v>41</v>
      </c>
      <c r="C4" s="1405" t="s">
        <v>42</v>
      </c>
      <c r="D4" s="1406" t="s">
        <v>43</v>
      </c>
      <c r="E4" s="1406" t="s">
        <v>44</v>
      </c>
      <c r="F4" s="1406" t="s">
        <v>1285</v>
      </c>
      <c r="G4" s="1410" t="s">
        <v>47</v>
      </c>
      <c r="H4" s="1406" t="s">
        <v>1256</v>
      </c>
      <c r="I4" s="1407" t="s">
        <v>49</v>
      </c>
      <c r="J4" s="1407" t="s">
        <v>1258</v>
      </c>
    </row>
    <row r="5" spans="1:12" s="159" customFormat="1" ht="12.9" customHeight="1">
      <c r="A5" s="1404"/>
      <c r="B5" s="1404"/>
      <c r="C5" s="1405"/>
      <c r="D5" s="1406"/>
      <c r="E5" s="1406"/>
      <c r="F5" s="1406"/>
      <c r="G5" s="1410"/>
      <c r="H5" s="1406"/>
      <c r="I5" s="1407"/>
      <c r="J5" s="1407"/>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69" stopIfTrue="1"/>
    <cfRule type="duplicateValues" dxfId="149" priority="171" stopIfTrue="1"/>
    <cfRule type="duplicateValues" dxfId="148" priority="172" stopIfTrue="1"/>
  </conditionalFormatting>
  <conditionalFormatting sqref="E11">
    <cfRule type="duplicateValues" dxfId="147" priority="103" stopIfTrue="1"/>
    <cfRule type="duplicateValues" dxfId="146" priority="104" stopIfTrue="1"/>
    <cfRule type="duplicateValues" dxfId="145" priority="105"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404" t="s">
        <v>1255</v>
      </c>
      <c r="B4" s="1404" t="s">
        <v>41</v>
      </c>
      <c r="C4" s="1405" t="s">
        <v>42</v>
      </c>
      <c r="D4" s="1406" t="s">
        <v>43</v>
      </c>
      <c r="E4" s="1406" t="s">
        <v>44</v>
      </c>
      <c r="F4" s="1406" t="s">
        <v>1285</v>
      </c>
      <c r="G4" s="1410" t="s">
        <v>47</v>
      </c>
      <c r="H4" s="1406" t="s">
        <v>1256</v>
      </c>
      <c r="I4" s="1407" t="s">
        <v>49</v>
      </c>
      <c r="J4" s="1407" t="s">
        <v>1258</v>
      </c>
    </row>
    <row r="5" spans="1:15" s="159" customFormat="1" ht="14.5">
      <c r="A5" s="1404"/>
      <c r="B5" s="1404"/>
      <c r="C5" s="1405"/>
      <c r="D5" s="1406"/>
      <c r="E5" s="1406"/>
      <c r="F5" s="1406"/>
      <c r="G5" s="1410"/>
      <c r="H5" s="1406"/>
      <c r="I5" s="1407"/>
      <c r="J5" s="1407"/>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04" t="s">
        <v>1255</v>
      </c>
      <c r="B4" s="1404" t="s">
        <v>41</v>
      </c>
      <c r="C4" s="1406" t="s">
        <v>43</v>
      </c>
      <c r="D4" s="1406" t="s">
        <v>44</v>
      </c>
      <c r="E4" s="1410" t="s">
        <v>1419</v>
      </c>
      <c r="F4" s="1407" t="s">
        <v>49</v>
      </c>
      <c r="G4" s="1407" t="s">
        <v>1258</v>
      </c>
    </row>
    <row r="5" spans="1:7">
      <c r="A5" s="1404"/>
      <c r="B5" s="1404"/>
      <c r="C5" s="1406"/>
      <c r="D5" s="1406"/>
      <c r="E5" s="1410"/>
      <c r="F5" s="1407"/>
      <c r="G5" s="1407"/>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04" t="s">
        <v>1255</v>
      </c>
      <c r="B4" s="1404" t="s">
        <v>41</v>
      </c>
      <c r="C4" s="1406" t="s">
        <v>43</v>
      </c>
      <c r="D4" s="1406" t="s">
        <v>44</v>
      </c>
      <c r="E4" s="1410" t="s">
        <v>47</v>
      </c>
      <c r="F4" s="1406" t="s">
        <v>1256</v>
      </c>
      <c r="G4" s="1407" t="s">
        <v>49</v>
      </c>
      <c r="H4" s="1407" t="s">
        <v>1258</v>
      </c>
    </row>
    <row r="5" spans="1:8">
      <c r="A5" s="1404"/>
      <c r="B5" s="1404"/>
      <c r="C5" s="1406"/>
      <c r="D5" s="1406"/>
      <c r="E5" s="1410"/>
      <c r="F5" s="1406"/>
      <c r="G5" s="1407"/>
      <c r="H5" s="1407"/>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404" t="s">
        <v>1255</v>
      </c>
      <c r="B4" s="1404" t="s">
        <v>41</v>
      </c>
      <c r="C4" s="1406" t="s">
        <v>43</v>
      </c>
      <c r="D4" s="1406" t="s">
        <v>44</v>
      </c>
      <c r="E4" s="1410" t="s">
        <v>47</v>
      </c>
      <c r="F4" s="1406" t="s">
        <v>1256</v>
      </c>
      <c r="G4" s="1407" t="s">
        <v>49</v>
      </c>
      <c r="H4" s="1407" t="s">
        <v>1258</v>
      </c>
    </row>
    <row r="5" spans="1:8">
      <c r="A5" s="1404"/>
      <c r="B5" s="1404"/>
      <c r="C5" s="1406"/>
      <c r="D5" s="1406"/>
      <c r="E5" s="1410"/>
      <c r="F5" s="1406"/>
      <c r="G5" s="1407"/>
      <c r="H5" s="1407"/>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28" stopIfTrue="1"/>
    <cfRule type="duplicateValues" dxfId="101" priority="129" stopIfTrue="1"/>
    <cfRule type="duplicateValues" dxfId="100" priority="130"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96" stopIfTrue="1"/>
    <cfRule type="duplicateValues" dxfId="96" priority="97" stopIfTrue="1"/>
    <cfRule type="duplicateValues" dxfId="95" priority="98" stopIfTrue="1"/>
    <cfRule type="duplicateValues" dxfId="94" priority="99" stopIfTrue="1"/>
    <cfRule type="duplicateValues" dxfId="93" priority="100" stopIfTrue="1"/>
  </conditionalFormatting>
  <conditionalFormatting sqref="C16">
    <cfRule type="duplicateValues" dxfId="92" priority="93" stopIfTrue="1"/>
    <cfRule type="duplicateValues" dxfId="91" priority="94" stopIfTrue="1"/>
    <cfRule type="duplicateValues" dxfId="90" priority="95" stopIfTrue="1"/>
  </conditionalFormatting>
  <conditionalFormatting sqref="C17">
    <cfRule type="duplicateValues" dxfId="89" priority="89" stopIfTrue="1"/>
    <cfRule type="duplicateValues" dxfId="88" priority="90" stopIfTrue="1"/>
    <cfRule type="duplicateValues" dxfId="87" priority="91" stopIfTrue="1"/>
    <cfRule type="duplicateValues" dxfId="86" priority="92"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7" stopIfTrue="1"/>
    <cfRule type="duplicateValues" dxfId="82" priority="78" stopIfTrue="1"/>
  </conditionalFormatting>
  <conditionalFormatting sqref="C22">
    <cfRule type="duplicateValues" dxfId="81" priority="72" stopIfTrue="1"/>
    <cfRule type="duplicateValues" dxfId="80" priority="73" stopIfTrue="1"/>
    <cfRule type="duplicateValues" dxfId="79" priority="74" stopIfTrue="1"/>
    <cfRule type="duplicateValues" dxfId="78" priority="75" stopIfTrue="1"/>
  </conditionalFormatting>
  <conditionalFormatting sqref="C23">
    <cfRule type="duplicateValues" dxfId="77" priority="68" stopIfTrue="1"/>
    <cfRule type="duplicateValues" dxfId="76" priority="69" stopIfTrue="1"/>
    <cfRule type="duplicateValues" dxfId="75" priority="70" stopIfTrue="1"/>
    <cfRule type="duplicateValues" dxfId="74" priority="71" stopIfTrue="1"/>
  </conditionalFormatting>
  <conditionalFormatting sqref="C24">
    <cfRule type="duplicateValues" dxfId="73" priority="65" stopIfTrue="1"/>
    <cfRule type="duplicateValues" dxfId="72" priority="66" stopIfTrue="1"/>
    <cfRule type="duplicateValues" dxfId="71" priority="67" stopIfTrue="1"/>
  </conditionalFormatting>
  <conditionalFormatting sqref="C32">
    <cfRule type="duplicateValues" dxfId="70" priority="61" stopIfTrue="1"/>
    <cfRule type="duplicateValues" dxfId="69" priority="62" stopIfTrue="1"/>
    <cfRule type="duplicateValues" dxfId="68" priority="63" stopIfTrue="1"/>
    <cfRule type="duplicateValues" dxfId="67" priority="64" stopIfTrue="1"/>
  </conditionalFormatting>
  <conditionalFormatting sqref="C33">
    <cfRule type="duplicateValues" dxfId="66" priority="57" stopIfTrue="1"/>
    <cfRule type="duplicateValues" dxfId="65" priority="58" stopIfTrue="1"/>
    <cfRule type="duplicateValues" dxfId="64" priority="59" stopIfTrue="1"/>
    <cfRule type="duplicateValues" dxfId="63" priority="60" stopIfTrue="1"/>
  </conditionalFormatting>
  <conditionalFormatting sqref="C34">
    <cfRule type="duplicateValues" dxfId="62" priority="53" stopIfTrue="1"/>
    <cfRule type="duplicateValues" dxfId="61" priority="54" stopIfTrue="1"/>
    <cfRule type="duplicateValues" dxfId="60" priority="55" stopIfTrue="1"/>
    <cfRule type="duplicateValues" dxfId="59" priority="56" stopIfTrue="1"/>
  </conditionalFormatting>
  <conditionalFormatting sqref="C35">
    <cfRule type="duplicateValues" dxfId="58" priority="49" stopIfTrue="1"/>
    <cfRule type="duplicateValues" dxfId="57" priority="50" stopIfTrue="1"/>
    <cfRule type="duplicateValues" dxfId="56" priority="51" stopIfTrue="1"/>
    <cfRule type="duplicateValues" dxfId="55" priority="52" stopIfTrue="1"/>
  </conditionalFormatting>
  <conditionalFormatting sqref="C36">
    <cfRule type="duplicateValues" dxfId="54" priority="46" stopIfTrue="1"/>
    <cfRule type="duplicateValues" dxfId="53" priority="47" stopIfTrue="1"/>
    <cfRule type="duplicateValues" dxfId="52" priority="48" stopIfTrue="1"/>
  </conditionalFormatting>
  <conditionalFormatting sqref="C37">
    <cfRule type="duplicateValues" dxfId="51" priority="43" stopIfTrue="1"/>
    <cfRule type="duplicateValues" dxfId="50" priority="44" stopIfTrue="1"/>
    <cfRule type="duplicateValues" dxfId="49" priority="45" stopIfTrue="1"/>
  </conditionalFormatting>
  <conditionalFormatting sqref="C38">
    <cfRule type="duplicateValues" dxfId="48" priority="39" stopIfTrue="1"/>
    <cfRule type="duplicateValues" dxfId="47" priority="40" stopIfTrue="1"/>
    <cfRule type="duplicateValues" dxfId="46" priority="41" stopIfTrue="1"/>
    <cfRule type="duplicateValues" dxfId="45" priority="42" stopIfTrue="1"/>
  </conditionalFormatting>
  <conditionalFormatting sqref="C39">
    <cfRule type="duplicateValues" dxfId="44" priority="35" stopIfTrue="1"/>
    <cfRule type="duplicateValues" dxfId="43" priority="36" stopIfTrue="1"/>
    <cfRule type="duplicateValues" dxfId="42" priority="37" stopIfTrue="1"/>
    <cfRule type="duplicateValues" dxfId="41" priority="38" stopIfTrue="1"/>
  </conditionalFormatting>
  <conditionalFormatting sqref="C42">
    <cfRule type="duplicateValues" dxfId="40" priority="32" stopIfTrue="1"/>
    <cfRule type="duplicateValues" dxfId="39" priority="33" stopIfTrue="1"/>
    <cfRule type="duplicateValues" dxfId="38" priority="34" stopIfTrue="1"/>
  </conditionalFormatting>
  <conditionalFormatting sqref="C43">
    <cfRule type="duplicateValues" dxfId="37" priority="29" stopIfTrue="1"/>
    <cfRule type="duplicateValues" dxfId="36" priority="30" stopIfTrue="1"/>
    <cfRule type="duplicateValues" dxfId="35" priority="31" stopIfTrue="1"/>
  </conditionalFormatting>
  <conditionalFormatting sqref="C44">
    <cfRule type="duplicateValues" dxfId="34" priority="26" stopIfTrue="1"/>
    <cfRule type="duplicateValues" dxfId="33" priority="27" stopIfTrue="1"/>
    <cfRule type="duplicateValues" dxfId="32" priority="28" stopIfTrue="1"/>
  </conditionalFormatting>
  <conditionalFormatting sqref="C45">
    <cfRule type="duplicateValues" dxfId="31" priority="23" stopIfTrue="1"/>
    <cfRule type="duplicateValues" dxfId="30" priority="24" stopIfTrue="1"/>
    <cfRule type="duplicateValues" dxfId="29" priority="25" stopIfTrue="1"/>
  </conditionalFormatting>
  <conditionalFormatting sqref="C46">
    <cfRule type="duplicateValues" dxfId="28" priority="20" stopIfTrue="1"/>
    <cfRule type="duplicateValues" dxfId="27" priority="21" stopIfTrue="1"/>
    <cfRule type="duplicateValues" dxfId="26" priority="22" stopIfTrue="1"/>
  </conditionalFormatting>
  <conditionalFormatting sqref="C47">
    <cfRule type="duplicateValues" dxfId="25" priority="16" stopIfTrue="1"/>
    <cfRule type="duplicateValues" dxfId="24" priority="17" stopIfTrue="1"/>
    <cfRule type="duplicateValues" dxfId="23" priority="18" stopIfTrue="1"/>
    <cfRule type="duplicateValues" dxfId="22" priority="19" stopIfTrue="1"/>
  </conditionalFormatting>
  <conditionalFormatting sqref="C48">
    <cfRule type="duplicateValues" dxfId="21" priority="12" stopIfTrue="1"/>
    <cfRule type="duplicateValues" dxfId="20" priority="13" stopIfTrue="1"/>
    <cfRule type="duplicateValues" dxfId="19" priority="14" stopIfTrue="1"/>
    <cfRule type="duplicateValues" dxfId="18" priority="15" stopIfTrue="1"/>
  </conditionalFormatting>
  <conditionalFormatting sqref="C50">
    <cfRule type="duplicateValues" dxfId="17" priority="5" stopIfTrue="1"/>
    <cfRule type="duplicateValues" dxfId="16" priority="6" stopIfTrue="1"/>
    <cfRule type="duplicateValues" dxfId="15" priority="7" stopIfTrue="1"/>
    <cfRule type="duplicateValues" dxfId="14" priority="8" stopIfTrue="1"/>
  </conditionalFormatting>
  <conditionalFormatting sqref="C52">
    <cfRule type="duplicateValues" dxfId="13" priority="1" stopIfTrue="1"/>
    <cfRule type="duplicateValues" dxfId="12" priority="2" stopIfTrue="1"/>
    <cfRule type="duplicateValues" dxfId="11" priority="3" stopIfTrue="1"/>
    <cfRule type="duplicateValues" dxfId="10" priority="4" stopIfTrue="1"/>
  </conditionalFormatting>
  <pageMargins left="0.75" right="0.75" top="1" bottom="1" header="0.5" footer="0.5"/>
  <pageSetup paperSize="9"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404" t="s">
        <v>1255</v>
      </c>
      <c r="B4" s="1404" t="s">
        <v>41</v>
      </c>
      <c r="C4" s="1406" t="s">
        <v>43</v>
      </c>
      <c r="D4" s="1406" t="s">
        <v>44</v>
      </c>
      <c r="E4" s="1410" t="s">
        <v>1419</v>
      </c>
      <c r="F4" s="1407" t="s">
        <v>49</v>
      </c>
      <c r="G4" s="1407" t="s">
        <v>1258</v>
      </c>
    </row>
    <row r="5" spans="1:7">
      <c r="A5" s="1404"/>
      <c r="B5" s="1404"/>
      <c r="C5" s="1406"/>
      <c r="D5" s="1406"/>
      <c r="E5" s="1410"/>
      <c r="F5" s="1407"/>
      <c r="G5" s="1407"/>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673" t="s">
        <v>1430</v>
      </c>
      <c r="B3" s="1674"/>
      <c r="C3" s="1674"/>
      <c r="D3" s="1674"/>
      <c r="E3" s="1674"/>
      <c r="F3" s="597"/>
      <c r="G3" s="598"/>
      <c r="H3" s="597"/>
      <c r="I3" s="597"/>
      <c r="J3" s="597"/>
      <c r="K3" s="597"/>
      <c r="L3" s="597"/>
      <c r="M3" s="599"/>
    </row>
    <row r="4" spans="1:19" s="600" customFormat="1">
      <c r="A4" s="1675" t="s">
        <v>1431</v>
      </c>
      <c r="B4" s="1675"/>
      <c r="C4" s="1675"/>
      <c r="D4" s="1675"/>
      <c r="E4" s="1675"/>
      <c r="F4" s="1675"/>
      <c r="G4" s="1675"/>
      <c r="H4" s="1675"/>
      <c r="I4" s="1675"/>
      <c r="J4" s="1675"/>
      <c r="K4" s="1675"/>
      <c r="L4" s="1675"/>
      <c r="M4" s="1675"/>
    </row>
    <row r="5" spans="1:19" s="600" customFormat="1" ht="18" customHeight="1">
      <c r="A5" s="1677" t="s">
        <v>1432</v>
      </c>
      <c r="B5" s="1676" t="s">
        <v>1433</v>
      </c>
      <c r="C5" s="1676"/>
      <c r="D5" s="1676"/>
      <c r="E5" s="1676"/>
      <c r="F5" s="1676" t="s">
        <v>1434</v>
      </c>
      <c r="G5" s="1676"/>
      <c r="H5" s="1676"/>
      <c r="I5" s="1676" t="s">
        <v>1435</v>
      </c>
      <c r="J5" s="1676"/>
      <c r="K5" s="1676"/>
      <c r="L5" s="1677" t="s">
        <v>1436</v>
      </c>
      <c r="M5" s="1678" t="s">
        <v>19</v>
      </c>
    </row>
    <row r="6" spans="1:19" s="600" customFormat="1" ht="18" customHeight="1">
      <c r="A6" s="1677"/>
      <c r="B6" s="601" t="s">
        <v>1437</v>
      </c>
      <c r="C6" s="601" t="s">
        <v>1438</v>
      </c>
      <c r="D6" s="601" t="s">
        <v>1439</v>
      </c>
      <c r="E6" s="601" t="s">
        <v>1440</v>
      </c>
      <c r="F6" s="601" t="s">
        <v>1441</v>
      </c>
      <c r="G6" s="601" t="s">
        <v>1442</v>
      </c>
      <c r="H6" s="601" t="s">
        <v>1443</v>
      </c>
      <c r="I6" s="601" t="s">
        <v>1441</v>
      </c>
      <c r="J6" s="601" t="s">
        <v>1442</v>
      </c>
      <c r="K6" s="601" t="s">
        <v>1443</v>
      </c>
      <c r="L6" s="1677"/>
      <c r="M6" s="1678"/>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679" t="s">
        <v>1448</v>
      </c>
      <c r="B3" s="1680"/>
      <c r="C3" s="1680"/>
      <c r="D3" s="1680"/>
      <c r="E3" s="1680"/>
      <c r="F3" s="1680"/>
      <c r="G3" s="1680"/>
      <c r="H3" s="1680"/>
      <c r="I3" s="1680"/>
      <c r="J3" s="1680"/>
      <c r="K3" s="1680"/>
      <c r="L3" s="1680"/>
    </row>
    <row r="4" spans="1:12" s="112" customFormat="1" ht="16.5" customHeight="1">
      <c r="A4" s="1682" t="s">
        <v>1432</v>
      </c>
      <c r="B4" s="1681" t="s">
        <v>1433</v>
      </c>
      <c r="C4" s="1681"/>
      <c r="D4" s="1681"/>
      <c r="E4" s="1681" t="s">
        <v>1434</v>
      </c>
      <c r="F4" s="1681"/>
      <c r="G4" s="1681"/>
      <c r="H4" s="1681" t="s">
        <v>1435</v>
      </c>
      <c r="I4" s="1681"/>
      <c r="J4" s="1681"/>
      <c r="K4" s="1682" t="s">
        <v>1436</v>
      </c>
      <c r="L4" s="1683" t="s">
        <v>19</v>
      </c>
    </row>
    <row r="5" spans="1:12" s="112" customFormat="1">
      <c r="A5" s="1682"/>
      <c r="B5" s="116" t="s">
        <v>1437</v>
      </c>
      <c r="C5" s="116" t="s">
        <v>1438</v>
      </c>
      <c r="D5" s="117" t="s">
        <v>1439</v>
      </c>
      <c r="E5" s="116" t="s">
        <v>1441</v>
      </c>
      <c r="F5" s="116" t="s">
        <v>1442</v>
      </c>
      <c r="G5" s="116" t="s">
        <v>1443</v>
      </c>
      <c r="H5" s="116" t="s">
        <v>1441</v>
      </c>
      <c r="I5" s="116" t="s">
        <v>1442</v>
      </c>
      <c r="J5" s="116" t="s">
        <v>1443</v>
      </c>
      <c r="K5" s="1682"/>
      <c r="L5" s="1683"/>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686" t="s">
        <v>1461</v>
      </c>
      <c r="B1" s="1686"/>
      <c r="C1" s="1686"/>
      <c r="D1" s="1687"/>
      <c r="E1" s="1687"/>
      <c r="F1" s="1687"/>
      <c r="G1" s="1687"/>
      <c r="H1" s="1687"/>
      <c r="I1" s="1687"/>
      <c r="J1" s="1687"/>
      <c r="K1" s="1687"/>
      <c r="L1" s="1687"/>
    </row>
    <row r="2" spans="1:13" ht="16.25" customHeight="1">
      <c r="A2" s="1688" t="s">
        <v>39</v>
      </c>
      <c r="B2" s="1688"/>
      <c r="C2" s="1688"/>
      <c r="D2" s="1689"/>
      <c r="E2" s="1689"/>
      <c r="F2" s="1689"/>
      <c r="G2" s="1689"/>
      <c r="H2" s="1689"/>
      <c r="I2" s="1689"/>
      <c r="J2" s="1689"/>
      <c r="K2" s="1689"/>
      <c r="L2" s="1689"/>
    </row>
    <row r="3" spans="1:13">
      <c r="A3" s="1690" t="s">
        <v>1671</v>
      </c>
      <c r="B3" s="1690"/>
      <c r="C3" s="1690"/>
      <c r="D3" s="1690"/>
      <c r="E3" s="1690"/>
      <c r="F3" s="1690"/>
      <c r="G3" s="1690"/>
      <c r="H3" s="1690"/>
      <c r="I3" s="1690"/>
      <c r="J3" s="1690"/>
      <c r="K3" s="1690"/>
      <c r="L3" s="1690"/>
    </row>
    <row r="4" spans="1:13" s="552" customFormat="1" ht="61.25" customHeight="1">
      <c r="A4" s="562" t="s">
        <v>1462</v>
      </c>
      <c r="B4" s="1691" t="s">
        <v>1433</v>
      </c>
      <c r="C4" s="169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692" t="s">
        <v>1473</v>
      </c>
      <c r="B14" s="1693"/>
      <c r="C14" s="1693"/>
      <c r="D14" s="585">
        <f>SUM(D5:D13)</f>
        <v>29.576000000000001</v>
      </c>
      <c r="E14" s="585">
        <f>SUM(E5:E13)</f>
        <v>31.869</v>
      </c>
      <c r="F14" s="586"/>
      <c r="G14" s="587"/>
      <c r="H14" s="587"/>
      <c r="I14" s="587"/>
      <c r="J14" s="588"/>
      <c r="K14" s="588"/>
      <c r="L14" s="589"/>
      <c r="M14" s="557"/>
    </row>
    <row r="15" spans="1:13" s="552" customFormat="1" ht="16.75" customHeight="1">
      <c r="A15" s="1684" t="s">
        <v>1474</v>
      </c>
      <c r="B15" s="1685"/>
      <c r="C15" s="1685"/>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686" t="s">
        <v>1461</v>
      </c>
      <c r="B1" s="1686"/>
      <c r="C1" s="1686"/>
      <c r="D1" s="1687"/>
      <c r="E1" s="1687"/>
      <c r="F1" s="1687"/>
      <c r="G1" s="1687"/>
      <c r="H1" s="1687"/>
      <c r="I1" s="1687"/>
      <c r="J1" s="1687"/>
      <c r="K1" s="1687"/>
      <c r="L1" s="1687"/>
    </row>
    <row r="2" spans="1:13" ht="16.25" customHeight="1">
      <c r="A2" s="1688" t="s">
        <v>39</v>
      </c>
      <c r="B2" s="1688"/>
      <c r="C2" s="1688"/>
      <c r="D2" s="1689"/>
      <c r="E2" s="1689"/>
      <c r="F2" s="1689"/>
      <c r="G2" s="1689"/>
      <c r="H2" s="1689"/>
      <c r="I2" s="1689"/>
      <c r="J2" s="1689"/>
      <c r="K2" s="1689"/>
      <c r="L2" s="1689"/>
    </row>
    <row r="3" spans="1:13" ht="15" thickBot="1">
      <c r="A3" s="1690" t="s">
        <v>1672</v>
      </c>
      <c r="B3" s="1690"/>
      <c r="C3" s="1690"/>
      <c r="D3" s="1690"/>
      <c r="E3" s="1690"/>
      <c r="F3" s="1690"/>
      <c r="G3" s="1690"/>
      <c r="H3" s="1690"/>
      <c r="I3" s="1690"/>
      <c r="J3" s="1690"/>
      <c r="K3" s="1690"/>
      <c r="L3" s="1690"/>
    </row>
    <row r="4" spans="1:13" s="552" customFormat="1" ht="61.25" customHeight="1" thickBot="1">
      <c r="A4" s="562" t="s">
        <v>1462</v>
      </c>
      <c r="B4" s="1691" t="s">
        <v>1433</v>
      </c>
      <c r="C4" s="1691"/>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692" t="s">
        <v>1473</v>
      </c>
      <c r="B14" s="1693"/>
      <c r="C14" s="1693"/>
      <c r="D14" s="585">
        <f>SUM(D5:D13)</f>
        <v>30.052</v>
      </c>
      <c r="E14" s="585">
        <f>SUM(E7:E13)</f>
        <v>0</v>
      </c>
      <c r="F14" s="586"/>
      <c r="G14" s="587"/>
      <c r="H14" s="587"/>
      <c r="I14" s="587"/>
      <c r="J14" s="588"/>
      <c r="K14" s="588"/>
      <c r="L14" s="589"/>
      <c r="M14" s="557"/>
    </row>
    <row r="15" spans="1:13" s="552" customFormat="1" ht="16.75" customHeight="1" thickBot="1">
      <c r="A15" s="1684" t="s">
        <v>1474</v>
      </c>
      <c r="B15" s="1685"/>
      <c r="C15" s="1685"/>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694" t="s">
        <v>1475</v>
      </c>
      <c r="B1" s="1695"/>
      <c r="C1" s="1695"/>
      <c r="D1" s="1695"/>
      <c r="E1" s="1695"/>
      <c r="F1" s="1695"/>
      <c r="G1" s="1695"/>
      <c r="H1" s="1695"/>
      <c r="I1" s="1695"/>
      <c r="J1" s="1695"/>
      <c r="K1" s="1695"/>
      <c r="L1" s="1695"/>
      <c r="M1" s="1695"/>
      <c r="N1" s="1695"/>
      <c r="O1" s="1695"/>
      <c r="P1" s="1695"/>
      <c r="Q1" s="1696"/>
    </row>
    <row r="2" spans="1:19" ht="18.5">
      <c r="A2" s="1717" t="s">
        <v>1476</v>
      </c>
      <c r="B2" s="1720" t="s">
        <v>1477</v>
      </c>
      <c r="C2" s="1697" t="s">
        <v>1478</v>
      </c>
      <c r="D2" s="1698"/>
      <c r="E2" s="1698"/>
      <c r="F2" s="1698"/>
      <c r="G2" s="1698"/>
      <c r="H2" s="1698"/>
      <c r="I2" s="1699"/>
      <c r="J2" s="60"/>
      <c r="K2" s="1700" t="s">
        <v>1479</v>
      </c>
      <c r="L2" s="1701"/>
      <c r="M2" s="1701"/>
      <c r="N2" s="1701"/>
      <c r="O2" s="1701"/>
      <c r="P2" s="1701"/>
      <c r="Q2" s="1702"/>
    </row>
    <row r="3" spans="1:19" ht="29.25" customHeight="1">
      <c r="A3" s="1718"/>
      <c r="B3" s="1721"/>
      <c r="C3" s="1703" t="s">
        <v>1433</v>
      </c>
      <c r="D3" s="1622"/>
      <c r="E3" s="1620" t="s">
        <v>1480</v>
      </c>
      <c r="F3" s="1620" t="s">
        <v>1481</v>
      </c>
      <c r="G3" s="1620" t="s">
        <v>1482</v>
      </c>
      <c r="H3" s="1707" t="s">
        <v>1483</v>
      </c>
      <c r="I3" s="1709" t="s">
        <v>19</v>
      </c>
      <c r="J3" s="61"/>
      <c r="K3" s="1704" t="s">
        <v>1433</v>
      </c>
      <c r="L3" s="1705"/>
      <c r="M3" s="1725" t="s">
        <v>1480</v>
      </c>
      <c r="N3" s="1725" t="s">
        <v>1481</v>
      </c>
      <c r="O3" s="1725" t="s">
        <v>1482</v>
      </c>
      <c r="P3" s="1726" t="s">
        <v>1483</v>
      </c>
      <c r="Q3" s="1711" t="s">
        <v>19</v>
      </c>
    </row>
    <row r="4" spans="1:19">
      <c r="A4" s="1719"/>
      <c r="B4" s="1722"/>
      <c r="C4" s="25" t="s">
        <v>1437</v>
      </c>
      <c r="D4" s="26" t="s">
        <v>1438</v>
      </c>
      <c r="E4" s="1706"/>
      <c r="F4" s="1706"/>
      <c r="G4" s="1706"/>
      <c r="H4" s="1708"/>
      <c r="I4" s="1710"/>
      <c r="J4" s="62"/>
      <c r="K4" s="25" t="s">
        <v>1437</v>
      </c>
      <c r="L4" s="26" t="s">
        <v>1438</v>
      </c>
      <c r="M4" s="1706"/>
      <c r="N4" s="1706"/>
      <c r="O4" s="1706"/>
      <c r="P4" s="1708"/>
      <c r="Q4" s="1710"/>
    </row>
    <row r="5" spans="1:19">
      <c r="A5" s="27" t="s">
        <v>1007</v>
      </c>
      <c r="B5" s="28" t="s">
        <v>1484</v>
      </c>
      <c r="C5" s="1712"/>
      <c r="D5" s="1713"/>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714"/>
      <c r="D9" s="1715"/>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714"/>
      <c r="D11" s="1715"/>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714"/>
      <c r="D19" s="1716"/>
      <c r="E19" s="1715"/>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723"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724"/>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727" t="s">
        <v>1544</v>
      </c>
      <c r="D4" s="1727"/>
      <c r="E4" s="1727"/>
      <c r="F4" s="1727"/>
      <c r="G4" s="1727"/>
      <c r="H4" s="1727"/>
      <c r="I4" s="1727"/>
    </row>
    <row r="5" spans="3:13">
      <c r="C5" s="17" t="s">
        <v>1545</v>
      </c>
      <c r="D5" s="17" t="s">
        <v>1546</v>
      </c>
      <c r="E5" s="17" t="s">
        <v>1547</v>
      </c>
      <c r="F5" s="1728"/>
      <c r="G5" s="17" t="s">
        <v>1545</v>
      </c>
      <c r="H5" s="17" t="s">
        <v>1548</v>
      </c>
      <c r="I5" s="17" t="s">
        <v>1547</v>
      </c>
    </row>
    <row r="6" spans="3:13">
      <c r="C6" s="18">
        <v>1</v>
      </c>
      <c r="D6" s="19" t="s">
        <v>1549</v>
      </c>
      <c r="E6" s="19" t="s">
        <v>1550</v>
      </c>
      <c r="F6" s="1728"/>
      <c r="G6" s="18">
        <v>1</v>
      </c>
      <c r="H6" s="19" t="s">
        <v>1551</v>
      </c>
      <c r="I6" s="12" t="s">
        <v>1550</v>
      </c>
      <c r="K6" t="s">
        <v>972</v>
      </c>
    </row>
    <row r="7" spans="3:13">
      <c r="C7" s="18">
        <v>2</v>
      </c>
      <c r="D7" s="19" t="s">
        <v>1552</v>
      </c>
      <c r="E7" s="19" t="s">
        <v>1550</v>
      </c>
      <c r="F7" s="1728"/>
      <c r="G7" s="18">
        <v>2</v>
      </c>
      <c r="H7" s="19" t="s">
        <v>1553</v>
      </c>
      <c r="I7" s="12" t="s">
        <v>1550</v>
      </c>
    </row>
    <row r="8" spans="3:13">
      <c r="C8" s="18">
        <v>3</v>
      </c>
      <c r="D8" s="19" t="s">
        <v>1554</v>
      </c>
      <c r="E8" s="19" t="s">
        <v>1550</v>
      </c>
      <c r="F8" s="1728"/>
      <c r="G8" s="18">
        <v>3</v>
      </c>
      <c r="H8" s="19" t="s">
        <v>1555</v>
      </c>
      <c r="I8" s="12" t="s">
        <v>1550</v>
      </c>
    </row>
    <row r="9" spans="3:13">
      <c r="C9" s="18">
        <v>4</v>
      </c>
      <c r="D9" s="19" t="s">
        <v>1556</v>
      </c>
      <c r="E9" s="19" t="s">
        <v>1550</v>
      </c>
      <c r="F9" s="1728"/>
      <c r="G9" s="18">
        <v>4</v>
      </c>
      <c r="H9" s="19" t="s">
        <v>1557</v>
      </c>
      <c r="I9" s="12" t="s">
        <v>1550</v>
      </c>
    </row>
    <row r="10" spans="3:13">
      <c r="C10" s="18">
        <v>5</v>
      </c>
      <c r="D10" s="19" t="s">
        <v>1558</v>
      </c>
      <c r="E10" s="19" t="s">
        <v>1550</v>
      </c>
      <c r="F10" s="1728"/>
      <c r="G10" s="18">
        <v>5</v>
      </c>
      <c r="H10" s="19" t="s">
        <v>1559</v>
      </c>
      <c r="I10" s="12" t="s">
        <v>1550</v>
      </c>
    </row>
    <row r="11" spans="3:13">
      <c r="C11" s="18">
        <v>6</v>
      </c>
      <c r="D11" s="19" t="s">
        <v>1560</v>
      </c>
      <c r="E11" s="19" t="s">
        <v>1550</v>
      </c>
      <c r="F11" s="1728"/>
      <c r="G11" s="18">
        <v>6</v>
      </c>
      <c r="H11" s="19" t="s">
        <v>1561</v>
      </c>
      <c r="I11" s="12" t="s">
        <v>1550</v>
      </c>
    </row>
    <row r="12" spans="3:13">
      <c r="C12" s="18">
        <v>7</v>
      </c>
      <c r="D12" s="19" t="s">
        <v>1562</v>
      </c>
      <c r="E12" s="19" t="s">
        <v>1550</v>
      </c>
      <c r="F12" s="1728"/>
      <c r="G12" s="18">
        <v>7</v>
      </c>
      <c r="H12" s="19" t="s">
        <v>1563</v>
      </c>
      <c r="I12" s="12" t="s">
        <v>1550</v>
      </c>
      <c r="M12">
        <f>624-487</f>
        <v>137</v>
      </c>
    </row>
    <row r="13" spans="3:13">
      <c r="C13" s="18">
        <v>8</v>
      </c>
      <c r="D13" s="19" t="s">
        <v>1564</v>
      </c>
      <c r="E13" s="19" t="s">
        <v>1550</v>
      </c>
      <c r="F13" s="1728"/>
      <c r="G13" s="18">
        <v>8</v>
      </c>
      <c r="H13" s="19" t="s">
        <v>1565</v>
      </c>
      <c r="I13" s="12" t="s">
        <v>1550</v>
      </c>
    </row>
    <row r="14" spans="3:13">
      <c r="C14" s="18">
        <v>9</v>
      </c>
      <c r="D14" s="19" t="s">
        <v>1566</v>
      </c>
      <c r="E14" s="19" t="s">
        <v>1550</v>
      </c>
      <c r="F14" s="1728"/>
      <c r="G14" s="18">
        <v>9</v>
      </c>
      <c r="H14" s="19" t="s">
        <v>1567</v>
      </c>
      <c r="I14" s="12" t="s">
        <v>1550</v>
      </c>
    </row>
    <row r="15" spans="3:13">
      <c r="C15" s="18">
        <v>10</v>
      </c>
      <c r="D15" s="19" t="s">
        <v>1568</v>
      </c>
      <c r="E15" s="19" t="s">
        <v>1550</v>
      </c>
      <c r="F15" s="1728"/>
      <c r="G15" s="18">
        <v>10</v>
      </c>
      <c r="H15" s="20" t="s">
        <v>1569</v>
      </c>
      <c r="I15" s="22" t="s">
        <v>1570</v>
      </c>
    </row>
    <row r="16" spans="3:13">
      <c r="C16" s="18">
        <v>11</v>
      </c>
      <c r="D16" s="19" t="s">
        <v>1571</v>
      </c>
      <c r="E16" s="19" t="s">
        <v>1550</v>
      </c>
      <c r="F16" s="1728"/>
      <c r="G16" s="18">
        <v>11</v>
      </c>
      <c r="H16" s="19" t="s">
        <v>1572</v>
      </c>
      <c r="I16" s="12" t="s">
        <v>1550</v>
      </c>
    </row>
    <row r="17" spans="3:9">
      <c r="C17" s="18">
        <v>12</v>
      </c>
      <c r="D17" s="19" t="s">
        <v>1573</v>
      </c>
      <c r="E17" s="19" t="s">
        <v>1550</v>
      </c>
      <c r="F17" s="1728"/>
      <c r="G17" s="18">
        <v>12</v>
      </c>
      <c r="H17" s="19" t="s">
        <v>1574</v>
      </c>
      <c r="I17" s="12" t="s">
        <v>1550</v>
      </c>
    </row>
    <row r="18" spans="3:9">
      <c r="C18" s="18">
        <v>13</v>
      </c>
      <c r="D18" s="19" t="s">
        <v>1575</v>
      </c>
      <c r="E18" s="19" t="s">
        <v>1550</v>
      </c>
      <c r="F18" s="1728"/>
      <c r="G18" s="18">
        <v>13</v>
      </c>
      <c r="H18" s="19" t="s">
        <v>1576</v>
      </c>
      <c r="I18" s="12" t="s">
        <v>1550</v>
      </c>
    </row>
    <row r="19" spans="3:9">
      <c r="C19" s="18">
        <v>14</v>
      </c>
      <c r="D19" s="19" t="s">
        <v>1577</v>
      </c>
      <c r="E19" s="19" t="s">
        <v>1550</v>
      </c>
      <c r="F19" s="1728"/>
      <c r="G19" s="18">
        <v>14</v>
      </c>
      <c r="H19" s="19" t="s">
        <v>1578</v>
      </c>
      <c r="I19" s="12" t="s">
        <v>1550</v>
      </c>
    </row>
    <row r="20" spans="3:9">
      <c r="C20" s="18">
        <v>15</v>
      </c>
      <c r="D20" s="19" t="s">
        <v>1579</v>
      </c>
      <c r="E20" s="19" t="s">
        <v>1550</v>
      </c>
      <c r="F20" s="1728"/>
      <c r="G20" s="18">
        <v>15</v>
      </c>
      <c r="H20" s="19" t="s">
        <v>1580</v>
      </c>
      <c r="I20" s="12" t="s">
        <v>1550</v>
      </c>
    </row>
    <row r="21" spans="3:9">
      <c r="C21" s="18">
        <v>16</v>
      </c>
      <c r="D21" s="19" t="s">
        <v>1581</v>
      </c>
      <c r="E21" s="19" t="s">
        <v>1550</v>
      </c>
      <c r="F21" s="1728"/>
      <c r="G21" s="18">
        <v>16</v>
      </c>
      <c r="H21" s="19" t="s">
        <v>1582</v>
      </c>
      <c r="I21" s="12" t="s">
        <v>1550</v>
      </c>
    </row>
    <row r="22" spans="3:9">
      <c r="C22" s="18">
        <v>17</v>
      </c>
      <c r="D22" s="19" t="s">
        <v>1583</v>
      </c>
      <c r="E22" s="19" t="s">
        <v>1550</v>
      </c>
      <c r="F22" s="1728"/>
      <c r="G22" s="18">
        <v>17</v>
      </c>
      <c r="H22" s="19" t="s">
        <v>1584</v>
      </c>
      <c r="I22" s="12" t="s">
        <v>1550</v>
      </c>
    </row>
    <row r="23" spans="3:9">
      <c r="C23" s="18">
        <v>18</v>
      </c>
      <c r="D23" s="19" t="s">
        <v>1585</v>
      </c>
      <c r="E23" s="19" t="s">
        <v>1550</v>
      </c>
      <c r="F23" s="1728"/>
      <c r="G23" s="18">
        <v>18</v>
      </c>
      <c r="H23" s="19" t="s">
        <v>1586</v>
      </c>
      <c r="I23" s="12" t="s">
        <v>1550</v>
      </c>
    </row>
    <row r="24" spans="3:9">
      <c r="C24" s="18">
        <v>19</v>
      </c>
      <c r="D24" s="19" t="s">
        <v>1587</v>
      </c>
      <c r="E24" s="19" t="s">
        <v>1550</v>
      </c>
      <c r="F24" s="1728"/>
      <c r="G24" s="18">
        <v>19</v>
      </c>
      <c r="H24" s="19" t="s">
        <v>1588</v>
      </c>
      <c r="I24" s="12" t="s">
        <v>1550</v>
      </c>
    </row>
    <row r="25" spans="3:9">
      <c r="C25" s="18">
        <v>20</v>
      </c>
      <c r="D25" s="19" t="s">
        <v>1589</v>
      </c>
      <c r="E25" s="19" t="s">
        <v>1550</v>
      </c>
      <c r="F25" s="1728"/>
      <c r="G25" s="18">
        <v>20</v>
      </c>
      <c r="H25" s="19" t="s">
        <v>1590</v>
      </c>
      <c r="I25" s="12" t="s">
        <v>1550</v>
      </c>
    </row>
    <row r="26" spans="3:9">
      <c r="C26" s="18">
        <v>21</v>
      </c>
      <c r="D26" s="19" t="s">
        <v>1591</v>
      </c>
      <c r="E26" s="19" t="s">
        <v>1550</v>
      </c>
      <c r="F26" s="1728"/>
      <c r="G26" s="18">
        <v>21</v>
      </c>
      <c r="H26" s="19" t="s">
        <v>1592</v>
      </c>
      <c r="I26" s="12" t="s">
        <v>1550</v>
      </c>
    </row>
    <row r="27" spans="3:9">
      <c r="C27" s="18">
        <v>22</v>
      </c>
      <c r="D27" s="19" t="s">
        <v>1593</v>
      </c>
      <c r="E27" s="19" t="s">
        <v>1550</v>
      </c>
      <c r="F27" s="1728"/>
      <c r="G27" s="18">
        <v>22</v>
      </c>
      <c r="H27" s="20" t="s">
        <v>1594</v>
      </c>
      <c r="I27" s="22" t="s">
        <v>1595</v>
      </c>
    </row>
    <row r="28" spans="3:9">
      <c r="C28" s="18">
        <v>23</v>
      </c>
      <c r="D28" s="19" t="s">
        <v>1596</v>
      </c>
      <c r="E28" s="19" t="s">
        <v>1550</v>
      </c>
      <c r="F28" s="1728"/>
      <c r="G28" s="18">
        <v>23</v>
      </c>
      <c r="H28" s="19" t="s">
        <v>1597</v>
      </c>
      <c r="I28" s="12" t="s">
        <v>1550</v>
      </c>
    </row>
    <row r="29" spans="3:9">
      <c r="C29" s="18">
        <v>24</v>
      </c>
      <c r="D29" s="19" t="s">
        <v>1598</v>
      </c>
      <c r="E29" s="19" t="s">
        <v>1550</v>
      </c>
      <c r="F29" s="1728"/>
      <c r="G29" s="18">
        <v>24</v>
      </c>
      <c r="H29" s="19" t="s">
        <v>1599</v>
      </c>
      <c r="I29" s="12" t="s">
        <v>1550</v>
      </c>
    </row>
    <row r="30" spans="3:9">
      <c r="C30" s="18">
        <v>25</v>
      </c>
      <c r="D30" s="19" t="s">
        <v>1600</v>
      </c>
      <c r="E30" s="19" t="s">
        <v>1550</v>
      </c>
      <c r="F30" s="1728"/>
      <c r="G30" s="18">
        <v>25</v>
      </c>
      <c r="H30" s="19" t="s">
        <v>1601</v>
      </c>
      <c r="I30" s="12" t="s">
        <v>1550</v>
      </c>
    </row>
    <row r="31" spans="3:9">
      <c r="C31" s="18">
        <v>26</v>
      </c>
      <c r="D31" s="19" t="s">
        <v>1602</v>
      </c>
      <c r="E31" s="19" t="s">
        <v>1550</v>
      </c>
      <c r="F31" s="1728"/>
      <c r="G31" s="18">
        <v>26</v>
      </c>
      <c r="H31" s="19" t="s">
        <v>1603</v>
      </c>
      <c r="I31" s="12" t="s">
        <v>1550</v>
      </c>
    </row>
    <row r="32" spans="3:9">
      <c r="C32" s="18">
        <v>27</v>
      </c>
      <c r="D32" s="19" t="s">
        <v>1604</v>
      </c>
      <c r="E32" s="19" t="s">
        <v>1550</v>
      </c>
      <c r="F32" s="1728"/>
      <c r="G32" s="18">
        <v>27</v>
      </c>
      <c r="H32" s="19" t="s">
        <v>1605</v>
      </c>
      <c r="I32" s="12" t="s">
        <v>1550</v>
      </c>
    </row>
    <row r="33" spans="3:9">
      <c r="C33" s="18">
        <v>28</v>
      </c>
      <c r="D33" s="19" t="s">
        <v>1606</v>
      </c>
      <c r="E33" s="19" t="s">
        <v>1550</v>
      </c>
      <c r="F33" s="1728"/>
      <c r="G33" s="18">
        <v>28</v>
      </c>
      <c r="H33" s="19" t="s">
        <v>1607</v>
      </c>
      <c r="I33" s="12" t="s">
        <v>1550</v>
      </c>
    </row>
    <row r="34" spans="3:9">
      <c r="C34" s="18">
        <v>29</v>
      </c>
      <c r="D34" s="19" t="s">
        <v>1608</v>
      </c>
      <c r="E34" s="19" t="s">
        <v>1550</v>
      </c>
      <c r="F34" s="1728"/>
      <c r="G34" s="18">
        <v>29</v>
      </c>
      <c r="H34" s="19" t="s">
        <v>1609</v>
      </c>
      <c r="I34" s="12" t="s">
        <v>1550</v>
      </c>
    </row>
    <row r="35" spans="3:9">
      <c r="C35" s="18">
        <v>30</v>
      </c>
      <c r="D35" s="19" t="s">
        <v>1610</v>
      </c>
      <c r="E35" s="19" t="s">
        <v>1550</v>
      </c>
      <c r="F35" s="1728"/>
      <c r="G35" s="18">
        <v>30</v>
      </c>
      <c r="H35" s="19" t="s">
        <v>1611</v>
      </c>
      <c r="I35" s="12" t="s">
        <v>1550</v>
      </c>
    </row>
    <row r="36" spans="3:9">
      <c r="C36" s="18">
        <v>31</v>
      </c>
      <c r="D36" s="19" t="s">
        <v>1565</v>
      </c>
      <c r="E36" s="19" t="s">
        <v>1550</v>
      </c>
      <c r="F36" s="1728"/>
      <c r="G36" s="18">
        <v>31</v>
      </c>
      <c r="H36" s="19" t="s">
        <v>1612</v>
      </c>
      <c r="I36" s="12" t="s">
        <v>1550</v>
      </c>
    </row>
    <row r="37" spans="3:9">
      <c r="C37" s="18">
        <v>32</v>
      </c>
      <c r="D37" s="19" t="s">
        <v>1613</v>
      </c>
      <c r="E37" s="19" t="s">
        <v>1550</v>
      </c>
      <c r="F37" s="1728"/>
      <c r="G37" s="18">
        <v>32</v>
      </c>
      <c r="H37" s="19" t="s">
        <v>1614</v>
      </c>
      <c r="I37" s="12" t="s">
        <v>1550</v>
      </c>
    </row>
    <row r="38" spans="3:9">
      <c r="C38" s="18">
        <v>33</v>
      </c>
      <c r="D38" s="19" t="s">
        <v>1615</v>
      </c>
      <c r="E38" s="19" t="s">
        <v>1550</v>
      </c>
      <c r="F38" s="1728"/>
      <c r="G38" s="21"/>
      <c r="H38" s="21"/>
      <c r="I38" s="12"/>
    </row>
    <row r="39" spans="3:9">
      <c r="C39" s="18">
        <v>34</v>
      </c>
      <c r="D39" s="19" t="s">
        <v>1616</v>
      </c>
      <c r="E39" s="19" t="s">
        <v>1550</v>
      </c>
      <c r="F39" s="1728"/>
      <c r="G39" s="21"/>
      <c r="H39" s="21"/>
      <c r="I39" s="12"/>
    </row>
    <row r="40" spans="3:9">
      <c r="C40" s="18">
        <v>35</v>
      </c>
      <c r="D40" s="19" t="s">
        <v>1617</v>
      </c>
      <c r="E40" s="19" t="s">
        <v>1550</v>
      </c>
      <c r="F40" s="1728"/>
      <c r="G40" s="21"/>
      <c r="H40" s="21"/>
      <c r="I40" s="12"/>
    </row>
    <row r="41" spans="3:9">
      <c r="C41" s="18">
        <v>36</v>
      </c>
      <c r="D41" s="19" t="s">
        <v>1618</v>
      </c>
      <c r="E41" s="19" t="s">
        <v>1550</v>
      </c>
      <c r="F41" s="1728"/>
      <c r="G41" s="21"/>
      <c r="H41" s="21"/>
      <c r="I41" s="12"/>
    </row>
    <row r="42" spans="3:9">
      <c r="C42" s="18">
        <v>37</v>
      </c>
      <c r="D42" s="19" t="s">
        <v>1619</v>
      </c>
      <c r="E42" s="19" t="s">
        <v>1550</v>
      </c>
      <c r="F42" s="1728"/>
      <c r="G42" s="21"/>
      <c r="H42" s="21"/>
      <c r="I42" s="12"/>
    </row>
    <row r="43" spans="3:9">
      <c r="C43" s="18">
        <v>38</v>
      </c>
      <c r="D43" s="19" t="s">
        <v>1620</v>
      </c>
      <c r="E43" s="19" t="s">
        <v>1550</v>
      </c>
      <c r="F43" s="1728"/>
      <c r="G43" s="21"/>
      <c r="H43" s="21"/>
      <c r="I43" s="12"/>
    </row>
    <row r="44" spans="3:9">
      <c r="C44" s="18">
        <v>39</v>
      </c>
      <c r="D44" s="19" t="s">
        <v>1621</v>
      </c>
      <c r="E44" s="19" t="s">
        <v>1550</v>
      </c>
      <c r="F44" s="1728"/>
      <c r="G44" s="21"/>
      <c r="H44" s="21"/>
      <c r="I44" s="12"/>
    </row>
    <row r="45" spans="3:9">
      <c r="C45" s="18">
        <v>40</v>
      </c>
      <c r="D45" s="19" t="s">
        <v>1622</v>
      </c>
      <c r="E45" s="19" t="s">
        <v>1550</v>
      </c>
      <c r="F45" s="1728"/>
      <c r="G45" s="21"/>
      <c r="H45" s="21"/>
      <c r="I45" s="12"/>
    </row>
    <row r="46" spans="3:9">
      <c r="C46" s="18">
        <v>41</v>
      </c>
      <c r="D46" s="19" t="s">
        <v>1597</v>
      </c>
      <c r="E46" s="19" t="s">
        <v>1550</v>
      </c>
      <c r="F46" s="1728"/>
      <c r="G46" s="21"/>
      <c r="H46" s="21"/>
      <c r="I46" s="12"/>
    </row>
    <row r="47" spans="3:9">
      <c r="C47" s="18">
        <v>42</v>
      </c>
      <c r="D47" s="19" t="s">
        <v>1623</v>
      </c>
      <c r="E47" s="19" t="s">
        <v>1624</v>
      </c>
      <c r="F47" s="1728"/>
      <c r="G47" s="21"/>
      <c r="H47" s="21"/>
      <c r="I47" s="12"/>
    </row>
    <row r="48" spans="3:9">
      <c r="C48" s="18">
        <v>43</v>
      </c>
      <c r="D48" s="19" t="s">
        <v>1625</v>
      </c>
      <c r="E48" s="19"/>
      <c r="F48" s="1728"/>
      <c r="G48" s="21"/>
      <c r="H48" s="21"/>
      <c r="I48" s="12"/>
    </row>
    <row r="49" spans="3:9">
      <c r="C49" s="18">
        <v>44</v>
      </c>
      <c r="D49" s="20" t="s">
        <v>1599</v>
      </c>
      <c r="E49" s="20" t="s">
        <v>1626</v>
      </c>
      <c r="F49" s="1728"/>
      <c r="G49" s="21"/>
      <c r="H49" s="21"/>
      <c r="I49" s="12"/>
    </row>
    <row r="50" spans="3:9">
      <c r="C50" s="18">
        <v>45</v>
      </c>
      <c r="D50" s="20" t="s">
        <v>1627</v>
      </c>
      <c r="E50" s="20" t="s">
        <v>1628</v>
      </c>
      <c r="F50" s="1728"/>
      <c r="G50" s="21"/>
      <c r="H50" s="21"/>
      <c r="I50" s="12"/>
    </row>
    <row r="51" spans="3:9">
      <c r="C51" s="18">
        <v>46</v>
      </c>
      <c r="D51" s="19" t="s">
        <v>1629</v>
      </c>
      <c r="E51" s="19"/>
      <c r="F51" s="1728"/>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82</vt:i4>
      </vt:variant>
      <vt:variant>
        <vt:lpstr>Named Ranges</vt:lpstr>
      </vt:variant>
      <vt:variant>
        <vt:i4>13</vt:i4>
      </vt:variant>
    </vt:vector>
  </HeadingPairs>
  <TitlesOfParts>
    <vt:vector size="95" baseType="lpstr">
      <vt:lpstr>TB401 DPR.....</vt:lpstr>
      <vt:lpstr>Eng.</vt:lpstr>
      <vt:lpstr>Fdn (Pkg -G Section -I)</vt:lpstr>
      <vt:lpstr>Sheet2</vt:lpstr>
      <vt:lpstr>Sheet3</vt:lpstr>
      <vt:lpstr>Sheet4</vt:lpstr>
      <vt:lpstr>Sheet5</vt:lpstr>
      <vt:lpstr>ROW</vt:lpstr>
      <vt:lpstr>Sheet13 (2)</vt:lpstr>
      <vt:lpstr>TB-605</vt:lpstr>
      <vt:lpstr>Sheet19</vt:lpstr>
      <vt:lpstr>Sheet16</vt:lpstr>
      <vt:lpstr>Sheet14</vt:lpstr>
      <vt:lpstr>Sheet12</vt:lpstr>
      <vt:lpstr>Sheet13</vt:lpstr>
      <vt:lpstr>Sheet15</vt:lpstr>
      <vt:lpstr>TB401 DPR</vt:lpstr>
      <vt:lpstr>Survey-Summary</vt:lpstr>
      <vt:lpstr>Sheet6</vt:lpstr>
      <vt:lpstr>Approved Survey</vt:lpstr>
      <vt:lpstr>Approved CS J-S Line</vt:lpstr>
      <vt:lpstr>Approved CS K-S Line</vt:lpstr>
      <vt:lpstr>Foundation JS-Line -Jammu</vt:lpstr>
      <vt:lpstr>Sheet10</vt:lpstr>
      <vt:lpstr>Erection -Jammu</vt:lpstr>
      <vt:lpstr>Vertical Chart -JS Line Jammu </vt:lpstr>
      <vt:lpstr>Sheet17</vt:lpstr>
      <vt:lpstr>Stringing JS-Jammu</vt:lpstr>
      <vt:lpstr>Erection -SK</vt:lpstr>
      <vt:lpstr>Sheet7</vt:lpstr>
      <vt:lpstr>Sheet8</vt:lpstr>
      <vt:lpstr>LILO</vt:lpstr>
      <vt:lpstr>Erection-Punjab</vt:lpstr>
      <vt:lpstr>Vertical Chart -JS Line Punjab</vt:lpstr>
      <vt:lpstr>Sheet9</vt:lpstr>
      <vt:lpstr>ROW Front vs Progress</vt:lpstr>
      <vt:lpstr>Foundation -JS Line- Punjab</vt:lpstr>
      <vt:lpstr>Pile FDN</vt:lpstr>
      <vt:lpstr>Hindrance</vt:lpstr>
      <vt:lpstr>Foundation -KS Line</vt:lpstr>
      <vt:lpstr>Manpower</vt:lpstr>
      <vt:lpstr>Final Checking</vt:lpstr>
      <vt:lpstr>Stubs JS</vt:lpstr>
      <vt:lpstr>Stubs SK</vt:lpstr>
      <vt:lpstr>Towers JS</vt:lpstr>
      <vt:lpstr>Towers SK</vt:lpstr>
      <vt:lpstr>Sum</vt:lpstr>
      <vt:lpstr>Sheet18</vt:lpstr>
      <vt:lpstr>JS-Supply Stubs</vt:lpstr>
      <vt:lpstr>JS Supply Towers</vt:lpstr>
      <vt:lpstr>SK Supply Stubs</vt:lpstr>
      <vt:lpstr>SK Supply Towers</vt:lpstr>
      <vt:lpstr>Sheet11</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'JS Supply Towers'!Print_Area</vt:lpstr>
      <vt:lpstr>Manpower!Print_Area</vt:lpstr>
      <vt:lpstr>ROW!Print_Area</vt:lpstr>
      <vt:lpstr>'SK Supply Towers'!Print_Area</vt:lpstr>
      <vt:lpstr>'Survey-Summary'!Print_Area</vt:lpstr>
      <vt:lpstr>'TB-605'!Print_Area</vt:lpstr>
      <vt:lpstr>'Towers JS'!Print_Area</vt:lpstr>
      <vt:lpstr>'Towers SK'!Print_Area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2026-07-17T04:44:05Z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