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r'26/"/>
    </mc:Choice>
  </mc:AlternateContent>
  <xr:revisionPtr revIDLastSave="2525" documentId="13_ncr:1_{08470EFF-A529-4D8D-999C-CB2D0B24C89A}" xr6:coauthVersionLast="47" xr6:coauthVersionMax="47" xr10:uidLastSave="{83FDE62F-03B6-4316-B80C-B28D76720351}"/>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Erection -Jammu" sheetId="69" r:id="rId17"/>
    <sheet name="Erection-Punjab" sheetId="72" r:id="rId18"/>
    <sheet name="Vertical Chart -JS Line Punjab" sheetId="64" r:id="rId19"/>
    <sheet name="Sheet7" sheetId="71" state="hidden" r:id="rId20"/>
    <sheet name="Sheet8" sheetId="73" state="hidden" r:id="rId21"/>
    <sheet name="Foundation -LILO" sheetId="70" state="hidden" r:id="rId22"/>
    <sheet name="Foundation -JS Line- Punjab" sheetId="59" r:id="rId23"/>
    <sheet name="ROW Front vs Progress" sheetId="63" r:id="rId24"/>
    <sheet name="Foundation -KS Line" sheetId="60" r:id="rId25"/>
    <sheet name="Manpower" sheetId="52" r:id="rId26"/>
    <sheet name="Hindrance" sheetId="49" r:id="rId27"/>
    <sheet name="Planned Vs Actual -FDN" sheetId="51" state="hidden" r:id="rId28"/>
    <sheet name="Supply Status" sheetId="66" r:id="rId29"/>
    <sheet name="Material Status-Jammu-Punjab" sheetId="45" state="hidden"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16" hidden="1">'Erection -Jammu'!$A$6:$N$34</definedName>
    <definedName name="_xlnm._FilterDatabase" localSheetId="17" hidden="1">'Erection-Punjab'!$A$6:$N$35</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22" hidden="1">'Foundation -JS Line- Punjab'!$A$5:$Q$151</definedName>
    <definedName name="_xlnm._FilterDatabase" localSheetId="15" hidden="1">'Foundation JS-Line -Jammu'!$A$6:$T$81</definedName>
    <definedName name="_xlnm._FilterDatabase" localSheetId="24" hidden="1">'Foundation -KS Line'!$A$6:$P$45</definedName>
    <definedName name="_xlnm._FilterDatabase" localSheetId="21"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9"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8"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Manpower!$B$1:$CK$30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8">'Vertical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8">'Vertical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2" i="59" l="1"/>
  <c r="A42" i="72"/>
  <c r="A41" i="72"/>
  <c r="A37" i="69"/>
  <c r="D5" i="63"/>
  <c r="A46" i="60"/>
  <c r="S22" i="42"/>
  <c r="S21" i="42"/>
  <c r="R21" i="42"/>
  <c r="Q21" i="42"/>
  <c r="A36" i="69"/>
  <c r="A35" i="69"/>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H15" i="52"/>
  <c r="H14" i="52"/>
  <c r="H13" i="52"/>
  <c r="J29" i="69"/>
  <c r="O49" i="45" l="1"/>
  <c r="S49" i="45" s="1"/>
  <c r="I51" i="45"/>
  <c r="F51" i="45"/>
  <c r="M51" i="45"/>
  <c r="O51" i="45" s="1"/>
  <c r="S15" i="54"/>
  <c r="S14" i="54"/>
  <c r="P16" i="54"/>
  <c r="P17" i="54"/>
  <c r="P18" i="54"/>
  <c r="P19" i="54"/>
  <c r="P20" i="54"/>
  <c r="P21" i="54"/>
  <c r="P22" i="54"/>
  <c r="P23" i="54"/>
  <c r="P15" i="54"/>
  <c r="H12" i="52"/>
  <c r="H9" i="52"/>
  <c r="H10" i="52" s="1"/>
  <c r="H11" i="52" s="1"/>
  <c r="D25" i="69"/>
  <c r="K30" i="52" l="1"/>
  <c r="H8" i="52"/>
  <c r="H7" i="52"/>
  <c r="H6" i="52"/>
  <c r="A35" i="49"/>
  <c r="E34" i="49"/>
  <c r="A34" i="49"/>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3" i="42"/>
  <c r="J1" i="72"/>
  <c r="J9" i="42" l="1"/>
  <c r="E33" i="49"/>
  <c r="A33" i="49"/>
  <c r="G30" i="52"/>
  <c r="L7" i="66"/>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0" i="49"/>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35"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O5" i="64"/>
  <c r="N5" i="64"/>
  <c r="P4" i="64"/>
  <c r="O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M8" i="52"/>
  <c r="M30"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alcChain>
</file>

<file path=xl/sharedStrings.xml><?xml version="1.0" encoding="utf-8"?>
<sst xmlns="http://schemas.openxmlformats.org/spreadsheetml/2006/main" count="19287" uniqueCount="3409">
  <si>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</si>
  <si>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</si>
  <si>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</si>
  <si>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</si>
  <si>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</si>
  <si>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</si>
  <si>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</si>
  <si>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</si>
  <si>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</si>
  <si>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</si>
  <si>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</si>
  <si>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</si>
  <si>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</si>
  <si>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</si>
  <si>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</si>
  <si>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</si>
  <si>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</si>
  <si>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</si>
  <si>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</si>
  <si>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</si>
  <si>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</si>
  <si>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</si>
  <si>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</si>
  <si>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</si>
  <si>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</si>
  <si>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</si>
  <si>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</si>
  <si>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</si>
  <si>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</si>
  <si>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</si>
  <si>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</si>
  <si>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</si>
  <si>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</si>
  <si>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</si>
  <si>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</si>
  <si>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</si>
  <si>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</si>
  <si>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</si>
  <si>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</si>
  <si>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</si>
  <si>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</si>
  <si>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</si>
  <si>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</si>
  <si>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</si>
  <si>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</si>
  <si>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</si>
  <si>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</si>
  <si>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</si>
  <si>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</si>
  <si>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</si>
  <si>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</si>
  <si>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</si>
  <si>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</si>
  <si>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</si>
  <si>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</si>
  <si>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</si>
  <si>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</si>
  <si>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</si>
  <si>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</si>
  <si>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</si>
  <si>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</si>
  <si>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</si>
  <si>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</si>
  <si>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</si>
  <si>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</si>
  <si>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</si>
  <si>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</si>
  <si>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</si>
  <si>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</si>
  <si>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</si>
  <si>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</si>
  <si>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</si>
  <si>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</si>
  <si>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</si>
  <si>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</si>
  <si>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</si>
  <si>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</si>
  <si>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</si>
  <si>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</si>
  <si>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</si>
  <si>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</si>
  <si>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</si>
  <si>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</si>
  <si>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</si>
  <si>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</si>
  <si>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</si>
  <si>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</si>
  <si>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</si>
  <si>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</si>
  <si>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</si>
  <si>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</si>
  <si>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</si>
  <si>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</si>
  <si>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</si>
  <si>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</si>
  <si>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</si>
  <si>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</si>
  <si>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</si>
  <si>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</si>
  <si>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</si>
  <si>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</si>
  <si>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</si>
  <si>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</si>
  <si>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</si>
  <si>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</si>
  <si>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</si>
  <si>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</si>
  <si>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</si>
  <si>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</si>
  <si>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</si>
  <si>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</si>
  <si>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</si>
  <si>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</si>
  <si>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</si>
  <si>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</si>
  <si>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</si>
  <si>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</si>
  <si>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</si>
  <si>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</si>
  <si>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</si>
  <si>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</si>
  <si>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</si>
  <si>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</si>
  <si>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</si>
  <si>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</si>
  <si>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</si>
  <si>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</si>
  <si>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</si>
  <si>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</si>
  <si>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</si>
  <si>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</si>
  <si>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</si>
  <si>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</si>
  <si>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</si>
  <si>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</si>
  <si>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</si>
  <si>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</si>
  <si>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</si>
  <si>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</si>
  <si>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</si>
  <si>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</si>
  <si>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</si>
  <si>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</si>
  <si>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</si>
  <si>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</si>
  <si>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</si>
  <si>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</si>
  <si>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</si>
  <si>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</si>
  <si>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</si>
  <si>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</si>
  <si>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</si>
  <si>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</si>
  <si>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</si>
  <si>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</si>
  <si>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</si>
  <si>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</si>
  <si>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</si>
  <si>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</si>
  <si>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</si>
  <si>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</si>
  <si>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</si>
  <si>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</si>
  <si>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</si>
  <si>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</si>
  <si>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</si>
  <si>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</si>
  <si>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</si>
  <si>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</si>
  <si>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</si>
  <si>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</si>
  <si>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</si>
  <si>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</si>
  <si>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</si>
  <si>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</si>
  <si>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</si>
  <si>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</si>
  <si>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</si>
  <si>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</si>
  <si>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</si>
  <si>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</si>
  <si>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</si>
  <si>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</si>
  <si>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</si>
  <si>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</si>
  <si>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</si>
  <si>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</si>
  <si>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</si>
  <si>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</si>
  <si>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</si>
  <si>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</si>
  <si>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</si>
  <si>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</si>
  <si>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</si>
  <si>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</si>
  <si>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</si>
  <si>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</si>
  <si>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</si>
  <si>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</si>
  <si>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</si>
  <si>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</si>
  <si>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</si>
  <si>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</si>
  <si>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</si>
  <si>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</si>
  <si>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</si>
  <si>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</si>
  <si>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</si>
  <si>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</si>
  <si>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</si>
  <si>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</si>
  <si>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</si>
  <si>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</si>
  <si>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</si>
  <si>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</si>
  <si>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</si>
  <si>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</si>
  <si>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</si>
  <si>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</si>
  <si>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</si>
  <si>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</si>
  <si>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</si>
  <si>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</si>
  <si>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</si>
  <si>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</si>
  <si>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</si>
  <si>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</si>
  <si>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</si>
  <si>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</si>
  <si>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</si>
  <si>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</si>
  <si>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</si>
  <si>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</si>
  <si>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</si>
  <si>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</si>
  <si>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</si>
  <si>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</si>
  <si>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</si>
  <si>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</si>
  <si>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</si>
  <si>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</si>
  <si>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</si>
  <si>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</si>
  <si>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</si>
  <si>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</si>
  <si>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</si>
  <si>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</si>
  <si>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</si>
  <si>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</si>
  <si>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</si>
  <si>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</si>
  <si>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</si>
  <si>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</si>
  <si>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</si>
  <si>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</si>
  <si>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</si>
  <si>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</si>
  <si>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</si>
  <si>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</si>
  <si>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</si>
  <si>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</si>
  <si>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</si>
  <si>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</si>
  <si>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</si>
  <si>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</si>
  <si>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</si>
  <si>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</si>
  <si>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</si>
  <si>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</si>
  <si>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</si>
  <si>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</si>
  <si>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</si>
  <si>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</si>
  <si>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</si>
  <si>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</si>
  <si>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</si>
  <si>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</si>
  <si>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</si>
  <si>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</si>
  <si>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</si>
  <si>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</si>
  <si>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</si>
  <si>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</si>
  <si>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</si>
  <si>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</si>
  <si>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</si>
  <si>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</si>
  <si>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</si>
  <si>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</si>
  <si>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</si>
  <si>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</si>
  <si>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</si>
  <si>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</si>
  <si>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</si>
  <si>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</si>
  <si>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</si>
  <si>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</si>
  <si>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</si>
  <si>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</si>
  <si>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</si>
  <si>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</si>
  <si>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</si>
  <si>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</si>
  <si>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</si>
  <si>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</si>
  <si>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</si>
  <si>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</si>
  <si>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</si>
  <si>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</si>
  <si>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</si>
  <si>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</si>
  <si>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</si>
  <si>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</si>
  <si>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</si>
  <si>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</si>
  <si>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</si>
  <si>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</si>
  <si>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</si>
  <si>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</si>
  <si>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</si>
  <si>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</si>
  <si>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</si>
  <si>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</si>
  <si>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</si>
  <si>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</si>
  <si>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</si>
  <si>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</si>
  <si>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</si>
  <si>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</si>
  <si>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</si>
  <si>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</si>
  <si>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</si>
  <si>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</si>
  <si>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</si>
  <si>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</si>
  <si>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</si>
  <si>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</si>
  <si>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</si>
  <si>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</si>
  <si>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</si>
  <si>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</si>
  <si>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</si>
  <si>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</si>
  <si>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</si>
  <si>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</si>
  <si>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</si>
  <si>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</si>
  <si>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</si>
  <si>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</si>
  <si>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</si>
  <si>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</si>
  <si>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</si>
  <si>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</si>
  <si>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</si>
  <si>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</si>
  <si>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</si>
  <si>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</si>
  <si>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</si>
  <si>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</si>
  <si>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</si>
  <si>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</si>
  <si>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</si>
  <si>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</si>
  <si>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</si>
  <si>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</si>
  <si>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</si>
  <si>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</si>
  <si>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</si>
  <si>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</si>
  <si>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</si>
  <si>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</si>
  <si>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</si>
  <si>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</si>
  <si>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</si>
  <si>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</si>
  <si>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</si>
  <si>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</si>
  <si>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</si>
  <si>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</si>
  <si>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</si>
  <si>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</si>
  <si>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</si>
  <si>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</si>
  <si>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</si>
  <si>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</si>
  <si>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</si>
  <si>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</si>
  <si>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</si>
  <si>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</si>
  <si>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</si>
  <si>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</si>
  <si>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</si>
  <si>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</si>
  <si>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</si>
  <si>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</si>
  <si>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</si>
  <si>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</si>
  <si>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</si>
  <si>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</si>
  <si>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</si>
  <si>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</si>
  <si>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</si>
  <si>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</si>
  <si>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</si>
  <si>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</si>
  <si>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</si>
  <si>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</si>
  <si>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</si>
  <si>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</si>
  <si>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</si>
  <si>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</si>
  <si>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</si>
  <si>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</si>
  <si>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</si>
  <si>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</si>
  <si>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</si>
  <si>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</si>
  <si>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</si>
  <si>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</si>
  <si>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</si>
  <si>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</si>
  <si>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</si>
  <si>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</si>
  <si>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</si>
  <si>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</si>
  <si>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</si>
  <si>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</si>
  <si>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</si>
  <si>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</si>
  <si>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</si>
  <si>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</si>
  <si>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</si>
  <si>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</si>
  <si>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</si>
  <si>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</si>
  <si>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</si>
  <si>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</si>
  <si>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</si>
  <si>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</si>
  <si>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</si>
  <si>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</si>
  <si>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</si>
  <si>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</si>
  <si>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</si>
  <si>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</si>
  <si>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</si>
  <si>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</si>
  <si>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</si>
  <si>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</si>
  <si>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</si>
  <si>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</si>
  <si>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</si>
  <si>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</si>
  <si>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</si>
  <si>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</si>
  <si>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</si>
  <si>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</si>
  <si>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</si>
  <si>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</si>
  <si>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</si>
  <si>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</si>
  <si>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</si>
  <si>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</si>
  <si>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</si>
  <si>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</si>
  <si>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</si>
  <si>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</si>
  <si>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</si>
  <si>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</si>
  <si>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</si>
  <si>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</si>
  <si>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</si>
  <si>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</si>
  <si>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</si>
  <si>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</si>
  <si>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</si>
  <si>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</si>
  <si>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</si>
  <si>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</si>
  <si>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</si>
  <si>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</si>
  <si>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</si>
  <si>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</si>
  <si>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</si>
  <si>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</si>
  <si>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</si>
  <si>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</si>
  <si>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</si>
  <si>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</si>
  <si>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</si>
  <si>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</si>
  <si>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</si>
  <si>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</si>
  <si>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</si>
  <si>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</si>
  <si>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</si>
  <si>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</si>
  <si>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</si>
  <si>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</si>
  <si>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</si>
  <si>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</si>
  <si>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</si>
  <si>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</si>
  <si>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</si>
  <si>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</si>
  <si>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</si>
  <si>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</si>
  <si>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</si>
  <si>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</si>
  <si>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</si>
  <si>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</si>
  <si>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</si>
  <si>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</si>
  <si>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</si>
  <si>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</si>
  <si>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</si>
  <si>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</si>
  <si>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</si>
  <si>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</si>
  <si>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</si>
  <si>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</si>
  <si>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</si>
  <si>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</si>
  <si>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</si>
  <si>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</si>
  <si>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</si>
  <si>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</si>
  <si>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</si>
  <si>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</si>
  <si>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</si>
  <si>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</si>
  <si>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</si>
  <si>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</si>
  <si>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</si>
  <si>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</si>
  <si>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</si>
  <si>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</si>
  <si>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</si>
  <si>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</si>
  <si>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</si>
  <si>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</si>
  <si>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</si>
  <si>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</si>
  <si>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</si>
  <si>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</si>
  <si>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</si>
  <si>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</si>
  <si>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</si>
  <si>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</si>
  <si>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</si>
  <si>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</si>
  <si>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</si>
  <si>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</si>
  <si>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</si>
  <si>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</si>
  <si>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</si>
  <si>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</si>
  <si>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</si>
  <si>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</si>
  <si>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</si>
  <si>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</si>
  <si>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</si>
  <si>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</si>
  <si>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</si>
  <si>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</si>
  <si>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</si>
  <si>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</si>
  <si>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</si>
  <si>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</si>
  <si>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</si>
  <si>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</si>
  <si>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</si>
  <si>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</si>
  <si>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</si>
  <si>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</si>
  <si>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</si>
  <si>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</si>
  <si>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</si>
  <si>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</si>
  <si>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</si>
  <si>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</si>
  <si>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</si>
  <si>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</si>
  <si>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</si>
  <si>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</si>
  <si>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</si>
  <si>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</si>
  <si>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</si>
  <si>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</si>
  <si>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</si>
  <si>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</si>
  <si>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</si>
  <si>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</si>
  <si>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</si>
  <si>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</si>
  <si>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</si>
  <si>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</si>
  <si>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</si>
  <si>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</si>
  <si>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</si>
  <si>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</si>
  <si>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</si>
  <si>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</si>
  <si>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</si>
  <si>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</si>
  <si>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</si>
  <si>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</si>
  <si>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</si>
  <si>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</si>
  <si>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</si>
  <si>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</si>
  <si>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</si>
  <si>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</si>
  <si>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</si>
  <si>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</si>
  <si>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</si>
  <si>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</si>
  <si>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</si>
  <si>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</si>
  <si>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</si>
  <si>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</si>
  <si>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</si>
  <si>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</si>
  <si>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</si>
  <si>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</si>
  <si>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</si>
  <si>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</si>
  <si>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</si>
  <si>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</si>
  <si>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</si>
  <si>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</si>
  <si>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</si>
  <si>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</si>
  <si>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</si>
  <si>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</si>
  <si>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</si>
  <si>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</si>
  <si>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</si>
  <si>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</si>
  <si>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</si>
  <si>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</si>
  <si>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</si>
  <si>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</si>
  <si>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</si>
  <si>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</si>
  <si>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</si>
  <si>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</si>
  <si>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</si>
  <si>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</si>
  <si>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</si>
  <si>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</si>
  <si>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</si>
  <si>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</si>
  <si>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</si>
  <si>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</si>
  <si>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</si>
  <si>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</si>
  <si>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</si>
  <si>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</si>
  <si>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</si>
  <si>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</si>
  <si>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</si>
  <si>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</si>
  <si>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</si>
  <si>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</si>
  <si>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</si>
  <si>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</si>
  <si>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</si>
  <si>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</si>
  <si>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</si>
  <si>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</si>
  <si>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</si>
  <si>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</si>
  <si>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</si>
  <si>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</si>
  <si>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</si>
  <si>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</si>
  <si>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</si>
  <si>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</si>
  <si>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</si>
  <si>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</si>
  <si>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</si>
  <si>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</si>
  <si>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</si>
  <si>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</si>
  <si>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</si>
  <si>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</si>
  <si>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</si>
  <si>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</si>
  <si>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</si>
  <si>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</si>
  <si>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</si>
  <si>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</si>
  <si>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</si>
  <si>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</si>
  <si>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</si>
  <si>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</si>
  <si>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</si>
  <si>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</si>
  <si>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</si>
  <si>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</si>
  <si>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</si>
  <si>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</si>
  <si>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</si>
  <si>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</si>
  <si>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</si>
  <si>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</si>
  <si>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</si>
  <si>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</si>
  <si>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</si>
  <si>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</si>
  <si>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</si>
  <si>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</si>
  <si>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</si>
  <si>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</si>
  <si>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</si>
  <si>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</si>
  <si>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</si>
  <si>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</si>
  <si>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</si>
  <si>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</si>
  <si>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</si>
  <si>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</si>
  <si>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</si>
  <si>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</si>
  <si>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</si>
  <si>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</si>
  <si>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</si>
  <si>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</si>
  <si>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</si>
  <si>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</si>
  <si>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</si>
  <si>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</si>
  <si>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</si>
  <si>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</si>
  <si>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</si>
  <si>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</si>
  <si>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</si>
  <si>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</si>
  <si>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</si>
  <si>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</si>
  <si>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</si>
  <si>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</si>
  <si>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</si>
  <si>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</si>
  <si>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</si>
  <si>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</si>
  <si>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</si>
  <si>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</si>
  <si>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</si>
  <si>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</si>
  <si>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</si>
  <si>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</si>
  <si>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</si>
  <si>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</si>
  <si>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</si>
  <si>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</si>
  <si>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</si>
  <si>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</si>
  <si>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</si>
  <si>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</si>
  <si>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</si>
  <si>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</si>
  <si>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</si>
  <si>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</si>
  <si>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</si>
  <si>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</si>
  <si>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</si>
  <si>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</si>
  <si>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</si>
  <si>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</si>
  <si>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</si>
  <si>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</si>
  <si>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</si>
  <si>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</si>
  <si>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</si>
  <si>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</si>
  <si>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</si>
  <si>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</si>
  <si>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</si>
  <si>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</si>
  <si>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</si>
  <si>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</si>
  <si>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</si>
  <si>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</si>
  <si>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</si>
  <si>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</si>
  <si>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</si>
  <si>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</si>
  <si>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</si>
  <si>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</si>
  <si>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</si>
  <si>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</si>
  <si>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</si>
  <si>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</si>
  <si>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</si>
  <si>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</si>
  <si>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</si>
  <si>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</si>
  <si>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</si>
  <si>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</si>
  <si>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</si>
  <si>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</si>
  <si>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</si>
  <si>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</si>
  <si>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</si>
  <si>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</si>
  <si>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</si>
  <si>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</si>
  <si>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</si>
  <si>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</si>
  <si>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</si>
  <si>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</si>
  <si>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</si>
  <si>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</si>
  <si>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</si>
  <si>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</si>
  <si>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</si>
  <si>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</si>
  <si>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</si>
  <si>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</si>
  <si>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</si>
  <si>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</si>
  <si>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</si>
  <si>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</si>
  <si>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</si>
  <si>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</si>
  <si>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</si>
  <si>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</si>
  <si>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</si>
  <si>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</si>
  <si>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</si>
  <si>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</si>
  <si>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</si>
  <si>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</si>
  <si>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</si>
  <si>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</si>
  <si>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</si>
  <si>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</si>
  <si>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</si>
  <si>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</si>
  <si>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</si>
  <si>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</si>
  <si>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</si>
  <si>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</si>
  <si>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</si>
  <si>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</si>
  <si>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</si>
  <si>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</si>
  <si>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</si>
  <si>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</si>
  <si>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</si>
  <si>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</si>
  <si>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</si>
  <si>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</si>
  <si>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</si>
  <si>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</si>
  <si>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</si>
  <si>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</si>
  <si>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</si>
  <si>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</si>
  <si>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</si>
  <si>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</si>
  <si>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</si>
  <si>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</si>
  <si>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</si>
  <si>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</si>
  <si>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</si>
  <si>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</si>
  <si>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</si>
  <si>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</si>
  <si>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</si>
  <si>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</si>
  <si>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</si>
  <si>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</si>
  <si>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</si>
  <si>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</si>
  <si>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</si>
  <si>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</si>
  <si>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</si>
  <si>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</si>
  <si>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</si>
  <si>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</si>
  <si>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</si>
  <si>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</si>
  <si>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</si>
  <si>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</si>
  <si>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</si>
  <si>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</si>
  <si>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</si>
  <si>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</si>
  <si>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</si>
  <si>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</si>
  <si>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</si>
  <si>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</si>
  <si>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</si>
  <si>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</si>
  <si>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</si>
  <si>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</si>
  <si>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</si>
  <si>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</si>
  <si>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</si>
  <si>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</si>
  <si>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</si>
  <si>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</si>
  <si>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</si>
  <si>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</si>
  <si>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</si>
  <si>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</si>
  <si>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</si>
  <si>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</si>
  <si>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</si>
  <si>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</si>
  <si>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</si>
  <si>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</si>
  <si>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</si>
  <si>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</si>
  <si>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</si>
  <si>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</si>
  <si>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</si>
  <si>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</si>
  <si>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</si>
  <si>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</si>
  <si>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</si>
  <si>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</si>
  <si>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</si>
  <si>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</si>
  <si>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</si>
  <si>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</si>
  <si>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</si>
  <si>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</si>
  <si>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</si>
  <si>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</si>
  <si>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</si>
  <si>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</si>
  <si>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</si>
  <si>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</si>
  <si>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</si>
  <si>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</si>
  <si>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</si>
  <si>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</si>
  <si>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</si>
  <si>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</si>
  <si>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</si>
  <si>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</si>
  <si>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</si>
  <si>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</si>
  <si>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</si>
  <si>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</si>
  <si>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</si>
  <si>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</si>
  <si>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</si>
  <si>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</si>
  <si>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</si>
  <si>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</si>
  <si>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</si>
  <si>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</si>
  <si>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</si>
  <si>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</si>
  <si>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</si>
  <si>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</si>
  <si>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</si>
  <si>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</si>
  <si>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</si>
  <si>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</si>
  <si>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</si>
  <si>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</si>
  <si>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</si>
  <si>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</si>
  <si>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</si>
  <si>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</si>
  <si>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</si>
  <si>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</si>
  <si>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</si>
  <si>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</si>
  <si>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</si>
  <si>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</si>
  <si>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</si>
  <si>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</si>
  <si>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</si>
  <si>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</si>
  <si>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</si>
  <si>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</si>
  <si>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</si>
  <si>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</si>
  <si>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</si>
  <si>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</si>
  <si>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</si>
  <si>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</si>
  <si>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</si>
  <si>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</si>
  <si>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</si>
  <si>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</si>
  <si>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</si>
  <si>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</si>
  <si>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</si>
  <si>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</si>
  <si>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</si>
  <si>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</si>
  <si>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</si>
  <si>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</si>
  <si>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</si>
  <si>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</si>
  <si>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</si>
  <si>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</si>
  <si>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</si>
  <si>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</si>
  <si>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</si>
  <si>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</si>
  <si>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</si>
  <si>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</si>
  <si>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</si>
  <si>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</si>
  <si>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</si>
  <si>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</si>
  <si>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</si>
  <si>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</si>
  <si>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</si>
  <si>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</si>
  <si>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</si>
  <si>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</si>
  <si>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</si>
  <si>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</si>
  <si>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</si>
  <si>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</si>
  <si>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</si>
  <si>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</si>
  <si>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</si>
  <si>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</si>
  <si>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</si>
  <si>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</si>
  <si>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</si>
  <si>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</si>
  <si>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</si>
  <si>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</si>
  <si>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</si>
  <si>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</si>
  <si>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</si>
  <si>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</si>
  <si>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</si>
  <si>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</si>
  <si>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</si>
  <si>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</si>
  <si>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</si>
  <si>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</si>
  <si>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</si>
  <si>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</si>
  <si>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</si>
  <si>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</si>
  <si>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</si>
  <si>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</si>
  <si>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</si>
  <si>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</si>
  <si>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</si>
  <si>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</si>
  <si>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</si>
  <si>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</si>
  <si>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</si>
  <si>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</si>
  <si>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</si>
  <si>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</si>
  <si>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</si>
  <si>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</si>
  <si>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</si>
  <si>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</si>
  <si>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</si>
  <si>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</si>
  <si>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</si>
  <si>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</si>
  <si>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</si>
  <si>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</si>
  <si>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</si>
  <si>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</si>
  <si>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</si>
  <si>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</si>
  <si>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</si>
  <si>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</si>
  <si>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</si>
  <si>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</si>
  <si>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</si>
  <si>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</si>
  <si>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</si>
  <si>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</si>
  <si>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</si>
  <si>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</si>
  <si>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</si>
  <si>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</si>
  <si>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</si>
  <si>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</si>
  <si>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</si>
  <si>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</si>
  <si>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</si>
  <si>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</si>
  <si>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</si>
  <si>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</si>
  <si>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</si>
  <si>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</si>
  <si>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</si>
  <si>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</si>
  <si>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</si>
  <si>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</si>
  <si>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</si>
  <si>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</si>
  <si>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</si>
  <si>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</si>
  <si>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</si>
  <si>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</si>
  <si>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</si>
  <si>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</si>
  <si>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</si>
  <si>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</si>
  <si>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</si>
  <si>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</si>
  <si>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</si>
  <si>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</si>
  <si>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</si>
  <si>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</si>
  <si>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</si>
  <si>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</si>
  <si>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</si>
  <si>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</si>
  <si>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</si>
  <si>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</si>
  <si>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</si>
  <si>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</si>
  <si>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</si>
  <si>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</si>
  <si>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</si>
  <si>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</si>
  <si>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</si>
  <si>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</si>
  <si>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</si>
  <si>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</si>
  <si>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</si>
  <si>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</si>
  <si>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</si>
  <si>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</si>
  <si>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</si>
  <si>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</si>
  <si>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</si>
  <si>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</si>
  <si>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</si>
  <si>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</si>
  <si>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</si>
  <si>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</si>
  <si>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</si>
  <si>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</si>
  <si>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</si>
  <si>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</si>
  <si>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</si>
  <si>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</si>
  <si>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</si>
  <si>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</si>
  <si>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</si>
  <si>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</si>
  <si>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</si>
  <si>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</si>
  <si>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</si>
  <si>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</si>
  <si>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</si>
  <si>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</si>
  <si>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</si>
  <si>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</si>
  <si>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</si>
  <si>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</si>
  <si>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</si>
  <si>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</si>
  <si>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</si>
  <si>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</si>
  <si>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</si>
  <si>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</si>
  <si>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</si>
  <si>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</si>
  <si>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</si>
  <si>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</si>
  <si>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</si>
  <si>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</si>
  <si>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</si>
  <si>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</si>
  <si>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</si>
  <si>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</si>
  <si>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</si>
  <si>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</si>
  <si>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</si>
  <si>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</si>
  <si>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</si>
  <si>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</si>
  <si>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</si>
  <si>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</si>
  <si>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</si>
  <si>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</si>
  <si>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</si>
  <si>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</si>
  <si>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</si>
  <si>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</si>
  <si>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</si>
  <si>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</si>
  <si>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</si>
  <si>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</si>
  <si>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</si>
  <si>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</si>
  <si>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</si>
  <si>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</si>
  <si>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</si>
  <si>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</si>
  <si>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</si>
  <si>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</si>
  <si>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</si>
  <si>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</si>
  <si>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</si>
  <si>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</si>
  <si>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</si>
  <si>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</si>
  <si>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</si>
  <si>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</si>
  <si>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</si>
  <si>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</si>
  <si>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</si>
  <si>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</si>
  <si>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</si>
  <si>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</si>
  <si>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</si>
  <si>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</si>
  <si>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</si>
  <si>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</si>
  <si>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</si>
  <si>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</si>
  <si>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</si>
  <si>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</si>
  <si>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</si>
  <si>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</si>
  <si>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</si>
  <si>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</si>
  <si>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</si>
  <si>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</si>
  <si>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</si>
  <si>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</si>
  <si>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</si>
  <si>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</si>
  <si>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</si>
  <si>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</si>
  <si>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</si>
  <si>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</si>
  <si>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</si>
  <si>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</si>
  <si>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</si>
  <si>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</si>
  <si>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</si>
  <si>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</si>
  <si>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</si>
  <si>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</si>
  <si>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</si>
  <si>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</si>
  <si>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</si>
  <si>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</si>
  <si>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</si>
  <si>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</si>
  <si>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</si>
  <si>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</si>
  <si>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</si>
  <si>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</si>
  <si>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</si>
  <si>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</si>
  <si>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</si>
  <si>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</si>
  <si>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</si>
  <si>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</si>
  <si>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</si>
  <si>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</si>
  <si>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</si>
  <si>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</si>
  <si>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</si>
  <si>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</si>
  <si>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</si>
  <si>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</si>
  <si>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</si>
  <si>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</si>
  <si>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</si>
  <si>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</si>
  <si>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</si>
  <si>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</si>
  <si>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</si>
  <si>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</si>
  <si>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</si>
  <si>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</si>
  <si>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</si>
  <si>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</si>
  <si>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</si>
  <si>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</si>
  <si>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</si>
  <si>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</si>
  <si>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</si>
  <si>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</si>
  <si>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</si>
  <si>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</si>
  <si>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</si>
  <si>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</si>
  <si>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</si>
  <si>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</si>
  <si>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</si>
  <si>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</si>
  <si>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</si>
  <si>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</si>
  <si>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</si>
  <si>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</si>
  <si>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</si>
  <si>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</si>
  <si>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</si>
  <si>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</si>
  <si>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</si>
  <si>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</si>
  <si>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</si>
  <si>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</si>
  <si>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</si>
  <si>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</si>
  <si>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</si>
  <si>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</si>
  <si>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</si>
  <si>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</si>
  <si>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</si>
  <si>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</si>
  <si>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</si>
  <si>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</si>
  <si>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</si>
  <si>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</si>
  <si>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</si>
  <si>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</si>
  <si>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</si>
  <si>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</si>
  <si>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</si>
  <si>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</si>
  <si>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</si>
  <si>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</si>
  <si>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</si>
  <si>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</si>
  <si>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</si>
  <si>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</si>
  <si>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</si>
  <si>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</si>
  <si>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</si>
  <si>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</si>
  <si>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</si>
  <si>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</si>
  <si>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</si>
  <si>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</si>
  <si>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</si>
  <si>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</si>
  <si>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</si>
  <si>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</si>
  <si>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</si>
  <si>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</si>
  <si>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</si>
  <si>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</si>
  <si>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</si>
  <si>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</si>
  <si>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</si>
  <si>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</si>
  <si>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</si>
  <si>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</si>
  <si>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</si>
  <si>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</si>
  <si>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</si>
  <si>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</si>
  <si>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</si>
  <si>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</si>
  <si>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</si>
  <si>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</si>
  <si>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</si>
  <si>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</si>
  <si>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</si>
  <si>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</si>
  <si>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</si>
  <si>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</si>
  <si>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</si>
  <si>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</si>
  <si>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</si>
  <si>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</si>
  <si>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</si>
  <si>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</si>
  <si>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</si>
  <si>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</si>
  <si>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</si>
  <si>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</si>
  <si>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</si>
  <si>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</si>
  <si>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</si>
  <si>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</si>
  <si>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</si>
  <si>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</si>
  <si>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</si>
  <si>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</si>
  <si>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</si>
  <si>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</si>
  <si>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</si>
  <si>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</si>
  <si>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</si>
  <si>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</si>
  <si>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</si>
  <si>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</si>
  <si>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</si>
  <si>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</si>
  <si>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</si>
  <si>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</si>
  <si>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</si>
  <si>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</si>
  <si>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</si>
  <si>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</si>
  <si>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</si>
  <si>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</si>
  <si>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</si>
  <si>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</si>
  <si>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</si>
  <si>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</si>
  <si>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</si>
  <si>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</si>
  <si>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</si>
  <si>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</si>
  <si>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</si>
  <si>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</si>
  <si>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</si>
  <si>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</si>
  <si>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</si>
  <si>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</si>
  <si>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</si>
  <si>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</si>
  <si>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</si>
  <si>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</si>
  <si>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</si>
  <si>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</si>
  <si>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</si>
  <si>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</si>
  <si>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</si>
  <si>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</si>
  <si>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</si>
  <si>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</si>
  <si>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</si>
  <si>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</si>
  <si>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</si>
  <si>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</si>
  <si>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</si>
  <si>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</si>
  <si>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</si>
  <si>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</si>
  <si>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</si>
  <si>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</si>
  <si>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</si>
  <si>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</si>
  <si>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</si>
  <si>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</si>
  <si>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</si>
  <si>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</si>
  <si>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</si>
  <si>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</si>
  <si>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</si>
  <si>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</si>
  <si>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</si>
  <si>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</si>
  <si>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</si>
  <si>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</si>
  <si>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</si>
  <si>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</si>
  <si>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</si>
  <si>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</si>
  <si>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</si>
  <si>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</si>
  <si>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</si>
  <si>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</si>
  <si>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</si>
  <si>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</si>
  <si>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</si>
  <si>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</si>
  <si>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</si>
  <si>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</si>
  <si>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</si>
  <si>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</si>
  <si>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</si>
  <si>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</si>
  <si>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</si>
  <si>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</si>
  <si>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</si>
  <si>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</si>
  <si>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</si>
  <si>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</si>
  <si>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</si>
  <si>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</si>
  <si>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</si>
  <si>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</si>
  <si>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</si>
  <si>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</si>
  <si>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</si>
  <si>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</si>
  <si>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</si>
  <si>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</si>
  <si>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</si>
  <si>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</si>
  <si>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</si>
  <si>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</si>
  <si>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</si>
  <si>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</si>
  <si>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</si>
  <si>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</si>
  <si>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</si>
  <si>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</si>
  <si>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</si>
  <si>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</si>
  <si>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</si>
  <si>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</si>
  <si>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</si>
  <si>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</si>
  <si>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</si>
  <si>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</si>
  <si>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</si>
  <si>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</si>
  <si>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</si>
  <si>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</si>
  <si>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</si>
  <si>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</si>
  <si>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</si>
  <si>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</si>
  <si>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</si>
  <si>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</si>
  <si>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</si>
  <si>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</si>
  <si>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</si>
  <si>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</si>
  <si>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</si>
  <si>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</si>
  <si>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</si>
  <si>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</si>
  <si>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</si>
  <si>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</si>
  <si>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</si>
  <si>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</si>
  <si>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</si>
  <si>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</si>
  <si>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</si>
  <si>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</si>
  <si>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</si>
  <si>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</si>
  <si>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</si>
  <si>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</si>
  <si>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</si>
  <si>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</si>
  <si>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</si>
  <si>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</si>
  <si>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</si>
  <si>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</si>
  <si>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</si>
  <si>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</si>
  <si>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</si>
  <si>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</si>
  <si>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</si>
  <si>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</si>
  <si>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</si>
  <si>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</si>
  <si>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</si>
  <si>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</si>
  <si>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</si>
  <si>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</si>
  <si>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</si>
  <si>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</si>
  <si>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</si>
  <si>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</si>
  <si>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</si>
  <si>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</si>
  <si>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</si>
  <si>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</si>
  <si>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</si>
  <si>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</si>
  <si>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</si>
  <si>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</si>
  <si>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</si>
  <si>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</si>
  <si>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</si>
  <si>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</si>
  <si>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</si>
  <si>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</si>
  <si>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</si>
  <si>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</si>
  <si>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</si>
  <si>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</si>
  <si>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</si>
  <si>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</si>
  <si>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</si>
  <si>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</si>
  <si>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</si>
  <si>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</si>
  <si>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</si>
  <si>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</si>
  <si>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</si>
  <si>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</si>
  <si>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</si>
  <si>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</si>
  <si>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</si>
  <si>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</si>
  <si>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</si>
  <si>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</si>
  <si>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</si>
  <si>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</si>
  <si>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</si>
  <si>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</si>
  <si>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</si>
  <si>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</si>
  <si>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</si>
  <si>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</si>
  <si>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</si>
  <si>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</si>
  <si>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</si>
  <si>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</si>
  <si>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</si>
  <si>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</si>
  <si>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</si>
  <si>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</si>
  <si>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</si>
  <si>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</si>
  <si>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</si>
  <si>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</si>
  <si>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</si>
  <si>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</si>
  <si>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</si>
  <si>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</si>
  <si>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</si>
  <si>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</si>
  <si>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</si>
  <si>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</si>
  <si>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</si>
  <si>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</si>
  <si>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</si>
  <si>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</si>
  <si>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</si>
  <si>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</si>
  <si>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</si>
  <si>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</si>
  <si>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</si>
  <si>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</si>
  <si>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</si>
  <si>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</si>
  <si>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</si>
  <si>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</si>
  <si>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</si>
  <si>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</si>
  <si>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</si>
  <si>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</si>
  <si>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</si>
  <si>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</si>
  <si>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</si>
  <si>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</si>
  <si>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</si>
  <si>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</si>
  <si>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</si>
  <si>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</si>
  <si>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</si>
  <si>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</si>
  <si>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</si>
  <si>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</si>
  <si>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</si>
  <si>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</si>
  <si>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</si>
  <si>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</si>
  <si>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</si>
  <si>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</si>
  <si>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</si>
  <si>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</si>
  <si>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</si>
  <si>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</si>
  <si>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</si>
  <si>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</si>
  <si>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</si>
  <si>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</si>
  <si>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</si>
  <si>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</si>
  <si>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</si>
  <si>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</si>
  <si>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</si>
  <si>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</si>
  <si>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</si>
  <si>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</si>
  <si>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</si>
  <si>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</si>
  <si>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</si>
  <si>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</si>
  <si>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</si>
  <si>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</si>
  <si>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</si>
  <si>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</si>
  <si>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</si>
  <si>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</si>
  <si>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</si>
  <si>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</si>
  <si>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</si>
  <si>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</si>
  <si>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</si>
  <si>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</si>
  <si>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</si>
  <si>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</si>
  <si>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</si>
  <si>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</si>
  <si>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</si>
  <si>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</si>
  <si>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</si>
  <si>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</si>
  <si>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</si>
  <si>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</si>
  <si>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</si>
  <si>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</si>
  <si>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</si>
  <si>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</si>
  <si>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</si>
  <si>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</si>
  <si>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</si>
  <si>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</si>
  <si>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</si>
  <si>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</si>
  <si>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</si>
  <si>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</si>
  <si>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</si>
  <si>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</si>
  <si>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</si>
  <si>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</si>
  <si>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</si>
  <si>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</si>
  <si>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</si>
  <si>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</si>
  <si>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</si>
  <si>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</si>
  <si>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</si>
  <si>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</si>
  <si>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</si>
  <si>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</si>
  <si>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</si>
  <si>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</si>
  <si>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</si>
  <si>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</si>
  <si>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</si>
  <si>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</si>
  <si>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</si>
  <si>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</si>
  <si>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</si>
  <si>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</si>
  <si>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</si>
  <si>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</si>
  <si>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</si>
  <si>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</si>
  <si>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</si>
  <si>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</si>
  <si>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</si>
  <si>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</si>
  <si>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</si>
  <si>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</si>
  <si>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</si>
  <si>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</si>
  <si>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</si>
  <si>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</si>
  <si>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</si>
  <si>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</si>
  <si>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</si>
  <si>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</si>
  <si>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</si>
  <si>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</si>
  <si>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</si>
  <si>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</si>
  <si>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</si>
  <si>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</si>
  <si>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</si>
  <si>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</si>
  <si>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</si>
  <si>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</si>
  <si>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</si>
  <si>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</si>
  <si>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</si>
  <si>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</si>
  <si>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</si>
  <si>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</si>
  <si>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</si>
  <si>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</si>
  <si>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</si>
  <si>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</si>
  <si>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</si>
  <si>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</si>
  <si>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</si>
  <si>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</si>
  <si>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</si>
  <si>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</si>
  <si>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</si>
  <si>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</si>
  <si>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</si>
  <si>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</si>
  <si>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</si>
  <si>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</si>
  <si>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</si>
  <si>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</si>
  <si>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</si>
  <si>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</si>
  <si>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</si>
  <si>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</si>
  <si>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</si>
  <si>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</si>
  <si>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</si>
  <si>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</si>
  <si>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</si>
  <si>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</si>
  <si>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</si>
  <si>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</si>
  <si>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</si>
  <si>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</si>
  <si>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</si>
  <si>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</si>
  <si>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</si>
  <si>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</si>
  <si>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</si>
  <si>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</si>
  <si>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</si>
  <si>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</si>
  <si>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</si>
  <si>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</si>
  <si>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</si>
  <si>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</si>
  <si>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</si>
  <si>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</si>
  <si>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</si>
  <si>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</si>
  <si>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</si>
  <si>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</si>
  <si>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</si>
  <si>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</si>
  <si>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</si>
  <si>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</si>
  <si>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</si>
  <si>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</si>
  <si>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</si>
  <si>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</si>
  <si>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</si>
  <si>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</si>
  <si>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</si>
  <si>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</si>
  <si>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</si>
  <si>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</si>
  <si>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</si>
  <si>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</si>
  <si>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</si>
  <si>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</si>
  <si>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</si>
  <si>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</si>
  <si>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</si>
  <si>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</si>
  <si>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</si>
  <si>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</si>
  <si>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</si>
  <si>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</si>
  <si>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</si>
  <si>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</si>
  <si>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</si>
  <si>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</si>
  <si>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</si>
  <si>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</si>
  <si>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</si>
  <si>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</si>
  <si>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</si>
  <si>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</si>
  <si>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</si>
  <si>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</si>
  <si>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</si>
  <si>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</si>
  <si>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</si>
  <si>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</si>
  <si>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</si>
  <si>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</si>
  <si>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</si>
  <si>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</si>
  <si>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</si>
  <si>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</si>
  <si>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</si>
  <si>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</si>
  <si>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</si>
  <si>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</si>
  <si>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</si>
  <si>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</si>
  <si>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</si>
  <si>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</si>
  <si>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</si>
  <si>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</si>
  <si>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</si>
  <si>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</si>
  <si>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</si>
  <si>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</si>
  <si>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</si>
  <si>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</si>
  <si>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</si>
  <si>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</si>
  <si>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</si>
  <si>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</si>
  <si>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</si>
  <si>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</si>
  <si>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</si>
  <si>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</si>
  <si>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</si>
  <si>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</si>
  <si>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</si>
  <si>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</si>
  <si>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</si>
  <si>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</si>
  <si>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</si>
  <si>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</si>
  <si>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</si>
  <si>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</si>
  <si>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</si>
  <si>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</si>
  <si>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</si>
  <si>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</si>
  <si>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</si>
  <si>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</si>
  <si>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</si>
  <si>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</si>
  <si>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</si>
  <si>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</si>
  <si>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</si>
  <si>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</si>
  <si>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</si>
  <si>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</si>
  <si>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</si>
  <si>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</si>
  <si>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</si>
  <si>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</si>
  <si>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</si>
  <si>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</si>
  <si>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</si>
  <si>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</si>
  <si>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</si>
  <si>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</si>
  <si>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</si>
  <si>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</si>
  <si>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</si>
  <si>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</si>
  <si>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</si>
  <si>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</si>
  <si>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</si>
  <si>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</si>
  <si>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</si>
  <si>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</si>
  <si>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</si>
  <si>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</si>
  <si>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</si>
  <si>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</si>
  <si>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</si>
  <si>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</si>
  <si>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</si>
  <si>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</si>
  <si>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</si>
  <si>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</si>
  <si>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</si>
  <si>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</si>
  <si>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</si>
  <si>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</si>
  <si>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</si>
  <si>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</si>
  <si>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</si>
  <si>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</si>
  <si>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</si>
  <si>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</si>
  <si>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</si>
  <si>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</si>
  <si>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</si>
  <si>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</si>
  <si>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</si>
  <si>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</si>
  <si>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</si>
  <si>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</si>
  <si>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</si>
  <si>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</si>
  <si>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</si>
  <si>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</si>
  <si>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</si>
  <si>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</si>
  <si>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</si>
  <si>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</si>
  <si>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</si>
  <si>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</si>
  <si>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</si>
  <si>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</si>
  <si>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</si>
  <si>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</si>
  <si>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</si>
  <si>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</si>
  <si>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</si>
  <si>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</si>
  <si>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</si>
  <si>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</si>
  <si>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</si>
  <si>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</si>
  <si>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</si>
  <si>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</si>
  <si>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</si>
  <si>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</si>
  <si>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</si>
  <si>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</si>
  <si>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</si>
  <si>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</si>
  <si>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</si>
  <si>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</si>
  <si>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</si>
  <si>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</si>
  <si>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</si>
  <si>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</si>
  <si>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</si>
  <si>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</si>
  <si>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</si>
  <si>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</si>
  <si>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</si>
  <si>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</si>
  <si>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</si>
  <si>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</si>
  <si>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</si>
  <si>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</si>
  <si>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</si>
  <si>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</si>
  <si>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</si>
  <si>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</si>
  <si>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</si>
  <si>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</si>
  <si>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</si>
  <si>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</si>
  <si>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</si>
  <si>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</si>
  <si>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</si>
  <si>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</si>
  <si>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</si>
  <si>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</si>
  <si>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</si>
  <si>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</si>
  <si>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</si>
  <si>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</si>
  <si>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</si>
  <si>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</si>
  <si>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</si>
  <si>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</si>
  <si>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</si>
  <si>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</si>
  <si>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</si>
  <si>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</si>
  <si>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</si>
  <si>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</si>
  <si>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</si>
  <si>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</si>
  <si>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</si>
  <si>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</si>
  <si>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</si>
  <si>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</si>
  <si>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</si>
  <si>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</si>
  <si>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</si>
  <si>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</si>
  <si>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</si>
  <si>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</si>
  <si>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</si>
  <si>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</si>
  <si>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</si>
  <si>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</si>
  <si>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</si>
  <si>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</si>
  <si>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</si>
  <si>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</si>
  <si>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</si>
  <si>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</si>
  <si>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</si>
  <si>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</si>
  <si>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</si>
  <si>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</si>
  <si>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</si>
  <si>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</si>
  <si>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</si>
  <si>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</si>
  <si>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</si>
  <si>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</si>
  <si>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</si>
  <si>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</si>
  <si>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</si>
  <si>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</si>
  <si>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</si>
  <si>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</si>
  <si>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</si>
  <si>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</si>
  <si>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</si>
  <si>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</si>
  <si>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</si>
  <si>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</si>
  <si>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</si>
  <si>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</si>
  <si>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</si>
  <si>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</si>
  <si>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</si>
  <si>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</si>
  <si>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</si>
  <si>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</si>
  <si>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</si>
  <si>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</si>
  <si>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</si>
  <si>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</si>
  <si>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</si>
  <si>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</si>
  <si>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</si>
  <si>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</si>
  <si>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</si>
  <si>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</si>
  <si>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</si>
  <si>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</si>
  <si>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</si>
  <si>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</si>
  <si>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</si>
  <si>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</si>
  <si>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</si>
  <si>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</si>
  <si>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</si>
  <si>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</si>
  <si>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</si>
  <si>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</si>
  <si>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</si>
  <si>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</si>
  <si>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</si>
  <si>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</si>
  <si>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</si>
  <si>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</si>
  <si>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</si>
  <si>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</si>
  <si>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</si>
  <si>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</si>
  <si>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</si>
  <si>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</si>
  <si>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</si>
  <si>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</si>
  <si>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</si>
  <si>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</si>
  <si>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</si>
  <si>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</si>
  <si>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</si>
  <si>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</si>
  <si>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</si>
  <si>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</si>
  <si>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</si>
  <si>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</si>
  <si>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</si>
  <si>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</si>
  <si>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</si>
  <si>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</si>
  <si>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</si>
  <si>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</si>
  <si>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</si>
  <si>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</si>
  <si>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</si>
  <si>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</si>
  <si>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</si>
  <si>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</si>
  <si>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</si>
  <si>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</si>
  <si>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</si>
  <si>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</si>
  <si>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</si>
  <si>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</si>
  <si>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</si>
  <si>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</si>
  <si>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</si>
  <si>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</si>
  <si>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</si>
  <si>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</si>
  <si>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</si>
  <si>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</si>
  <si>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</si>
  <si>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</si>
  <si>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</si>
  <si>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</si>
  <si>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</si>
  <si>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</si>
  <si>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</si>
  <si>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</si>
  <si>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</si>
  <si>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</si>
  <si>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</si>
  <si>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</si>
  <si>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</si>
  <si>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</si>
  <si>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</si>
  <si>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</si>
  <si>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</si>
  <si>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</si>
  <si>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</si>
  <si>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</si>
  <si>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</si>
  <si>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</si>
  <si>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</si>
  <si>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</si>
  <si>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</si>
  <si>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</si>
  <si>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</si>
  <si>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</si>
  <si>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</si>
  <si>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</si>
  <si>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</si>
  <si>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</si>
  <si>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</si>
  <si>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</si>
  <si>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</si>
  <si>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</si>
  <si>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</si>
  <si>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</si>
  <si>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</si>
  <si>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</si>
  <si>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</si>
  <si>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</si>
  <si>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</si>
  <si>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</si>
  <si>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</si>
  <si>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</si>
  <si>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</si>
  <si>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</si>
  <si>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</si>
  <si>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</si>
  <si>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</si>
  <si>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</si>
  <si>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</si>
  <si>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</si>
  <si>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</si>
  <si>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</si>
  <si>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</si>
  <si>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</si>
  <si>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</si>
  <si>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</si>
  <si>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</si>
  <si>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</si>
  <si>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</si>
  <si>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</si>
  <si>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</si>
  <si>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</si>
  <si>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</si>
  <si>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</si>
  <si>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</si>
  <si>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</si>
  <si>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</si>
  <si>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</si>
  <si>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</si>
  <si>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</si>
  <si>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</si>
  <si>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</si>
  <si>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</si>
  <si>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</si>
  <si>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</si>
  <si>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</si>
  <si>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</si>
  <si>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</si>
  <si>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</si>
  <si>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</si>
  <si>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</si>
  <si>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</si>
  <si>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</si>
  <si>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</si>
  <si>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</si>
  <si>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</si>
  <si>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</si>
  <si>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</si>
  <si>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</si>
  <si>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</si>
  <si>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</si>
  <si>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</si>
  <si>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</si>
  <si>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</si>
  <si>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</si>
  <si>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</si>
  <si>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</si>
  <si>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</si>
  <si>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</si>
  <si>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</si>
  <si>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</si>
  <si>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</si>
  <si>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</si>
  <si>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</si>
  <si>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</si>
  <si>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</si>
  <si>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</si>
  <si>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</si>
  <si>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</si>
  <si>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</si>
  <si>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</si>
  <si>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</si>
  <si>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</si>
  <si>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</si>
  <si>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</si>
  <si>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</si>
  <si>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</si>
  <si>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</si>
  <si>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</si>
  <si>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</si>
  <si>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</si>
  <si>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</si>
  <si>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</si>
  <si>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</si>
  <si>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</si>
  <si>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</si>
  <si>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</si>
  <si>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</si>
  <si>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</si>
  <si>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</si>
  <si>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</si>
  <si>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</si>
  <si>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</si>
  <si>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</si>
  <si>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</si>
  <si>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</si>
  <si>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</si>
  <si>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</si>
  <si>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</si>
  <si>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</si>
  <si>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</si>
  <si>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</si>
  <si>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</si>
  <si>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</si>
  <si>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</si>
  <si>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</si>
  <si>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</si>
  <si>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</si>
  <si>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</si>
  <si>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</si>
  <si>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</si>
  <si>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</si>
  <si>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</si>
  <si>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</si>
  <si>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</si>
  <si>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</si>
  <si>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</si>
  <si>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</si>
  <si>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</si>
  <si>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</si>
  <si>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</si>
  <si>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</si>
  <si>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</si>
  <si>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</si>
  <si>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</si>
  <si>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</si>
  <si>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</si>
  <si>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</si>
  <si>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</si>
  <si>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</si>
  <si>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</si>
  <si>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</si>
  <si>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</si>
  <si>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</si>
  <si>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</si>
  <si>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</si>
  <si>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</si>
  <si>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</si>
  <si>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</si>
  <si>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</si>
  <si>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</si>
  <si>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</si>
  <si>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</si>
  <si>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</si>
  <si>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</si>
  <si>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</si>
  <si>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</si>
  <si>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</si>
  <si>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</si>
  <si>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</si>
  <si>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</si>
  <si>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</si>
  <si>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</si>
  <si>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</si>
  <si>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</si>
  <si>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</si>
  <si>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</si>
  <si>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</si>
  <si>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</si>
  <si>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</si>
  <si>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</si>
  <si>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</si>
  <si>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</si>
  <si>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</si>
  <si>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</si>
  <si>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</si>
  <si>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</si>
  <si>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</si>
  <si>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</si>
  <si>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</si>
  <si>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</si>
  <si>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</si>
  <si>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</si>
  <si>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</si>
  <si>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</si>
  <si>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</si>
  <si>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</si>
  <si>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</si>
  <si>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</si>
  <si>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</si>
  <si>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</si>
  <si>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</si>
  <si>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</si>
  <si>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</si>
  <si>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</si>
  <si>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</si>
  <si>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</si>
  <si>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</si>
  <si>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</si>
  <si>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</si>
  <si>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</si>
  <si>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</si>
  <si>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</si>
  <si>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</si>
  <si>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</si>
  <si>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</si>
  <si>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</si>
  <si>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</si>
  <si>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</si>
  <si>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</si>
  <si>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</si>
  <si>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</si>
  <si>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</si>
  <si>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</si>
  <si>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</si>
  <si>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</si>
  <si>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</si>
  <si>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</si>
  <si>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</si>
  <si>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</si>
  <si>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</si>
  <si>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</si>
  <si>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</si>
  <si>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</si>
  <si>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</si>
  <si>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</si>
  <si>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</si>
  <si>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</si>
  <si>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</si>
  <si>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</si>
  <si>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</si>
  <si>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</si>
  <si>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</si>
  <si>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</si>
  <si>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</si>
  <si>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</si>
  <si>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</si>
  <si>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</si>
  <si>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</si>
  <si>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</si>
  <si>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</si>
  <si>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</si>
  <si>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</si>
  <si>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</si>
  <si>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</si>
  <si>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</si>
  <si>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</si>
  <si>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</si>
  <si>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</si>
  <si>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</si>
  <si>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</si>
  <si>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</si>
  <si>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</si>
  <si>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</si>
  <si>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</si>
  <si>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</si>
  <si>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</si>
  <si>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</si>
  <si>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</si>
  <si>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</si>
  <si>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</si>
  <si>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</si>
  <si>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</si>
  <si>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</si>
  <si>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</si>
  <si>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</si>
  <si>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</si>
  <si>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</si>
  <si>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</si>
  <si>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</si>
  <si>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</si>
  <si>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</si>
  <si>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</si>
  <si>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</si>
  <si>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</si>
  <si>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</si>
  <si>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</si>
  <si>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</si>
  <si>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</si>
  <si>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</si>
  <si>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</si>
  <si>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</si>
  <si>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</si>
  <si>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</si>
  <si>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</si>
  <si>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</si>
  <si>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</si>
  <si>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</si>
  <si>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</si>
  <si>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</si>
  <si>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</si>
  <si>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</si>
  <si>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</si>
  <si>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</si>
  <si>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</si>
  <si>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</si>
  <si>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</si>
  <si>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</si>
  <si>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</si>
  <si>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</si>
  <si>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</si>
  <si>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</si>
  <si>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</si>
  <si>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</si>
  <si>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</si>
  <si>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</si>
  <si>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</si>
  <si>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</si>
  <si>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</si>
  <si>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</si>
  <si>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</si>
  <si>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</si>
  <si>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</si>
  <si>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</si>
  <si>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</si>
  <si>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</si>
  <si>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</si>
  <si>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</si>
  <si>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</si>
  <si>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</si>
  <si>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</si>
  <si>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</si>
  <si>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</si>
  <si>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</si>
  <si>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</si>
  <si>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</si>
  <si>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</si>
  <si>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</si>
  <si>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</si>
  <si>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</si>
  <si>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</si>
  <si>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</si>
  <si>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</si>
  <si>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</si>
  <si>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</si>
  <si>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</si>
  <si>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</si>
  <si>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</si>
  <si>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</si>
  <si>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</si>
  <si>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</si>
  <si>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</si>
  <si>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</si>
  <si>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</si>
  <si>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</si>
  <si>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</si>
  <si>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</si>
  <si>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</si>
  <si>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</si>
  <si>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</si>
  <si>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</si>
  <si>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</si>
  <si>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</si>
  <si>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</si>
  <si>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</si>
  <si>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</si>
  <si>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</si>
  <si>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</si>
  <si>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</si>
  <si>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</si>
  <si>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</si>
  <si>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</si>
  <si>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</si>
  <si>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</si>
  <si>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</si>
  <si>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</si>
  <si>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</si>
  <si>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</si>
  <si>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</si>
  <si>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</si>
  <si>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</si>
  <si>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</si>
  <si>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</si>
  <si>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</si>
  <si>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</si>
  <si>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</si>
  <si>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</si>
  <si>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</si>
  <si>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</si>
  <si>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</si>
  <si>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</si>
  <si>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</si>
  <si>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</si>
  <si>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</si>
  <si>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</si>
  <si>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</si>
  <si>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</si>
  <si>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</si>
  <si>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</si>
  <si>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</si>
  <si>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</si>
  <si>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</si>
  <si>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</si>
  <si>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</si>
  <si>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</si>
  <si>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</si>
  <si>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</si>
  <si>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</si>
  <si>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</si>
  <si>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</si>
  <si>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</si>
  <si>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</si>
  <si>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</si>
  <si>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</si>
  <si>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</si>
  <si>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</si>
  <si>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</si>
  <si>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</si>
  <si>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</si>
  <si>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</si>
  <si>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</si>
  <si>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</si>
  <si>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</si>
  <si>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</si>
  <si>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</si>
  <si>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</si>
  <si>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</si>
  <si>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</si>
  <si>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</si>
  <si>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</si>
  <si>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</si>
  <si>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</si>
  <si>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</si>
  <si>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</si>
  <si>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</si>
  <si>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</si>
  <si>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</si>
  <si>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</si>
  <si>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</si>
  <si>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</si>
  <si>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</si>
  <si>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</si>
  <si>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</si>
  <si>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</si>
  <si>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</si>
  <si>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</si>
  <si>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</si>
  <si>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</si>
  <si>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</si>
  <si>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</si>
  <si>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</si>
  <si>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</si>
  <si>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</si>
  <si>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</si>
  <si>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</si>
  <si>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</si>
  <si>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</si>
  <si>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</si>
  <si>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</si>
  <si>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</si>
  <si>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</si>
  <si>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</si>
  <si>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</si>
  <si>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</si>
  <si>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</si>
  <si>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</si>
  <si>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</si>
  <si>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</si>
  <si>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</si>
  <si>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</si>
  <si>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</si>
  <si>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</si>
  <si>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</si>
  <si>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</si>
  <si>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</si>
  <si>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</si>
  <si>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</si>
  <si>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</si>
  <si>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</si>
  <si>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</si>
  <si>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</si>
  <si>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</si>
  <si>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</si>
  <si>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</si>
  <si>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</si>
  <si>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</si>
  <si>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</si>
  <si>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</si>
  <si>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</si>
  <si>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</si>
  <si>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</si>
  <si>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</si>
  <si>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</si>
  <si>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</si>
  <si>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</si>
  <si>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</si>
  <si>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</si>
  <si>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</si>
  <si>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</si>
  <si>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</si>
  <si>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</si>
  <si>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</si>
  <si>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</si>
  <si>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</si>
  <si>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</si>
  <si>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</si>
  <si>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</si>
  <si>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</si>
  <si>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</si>
  <si>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</si>
  <si>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</si>
  <si>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</si>
  <si>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</si>
  <si>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</si>
  <si>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</si>
  <si>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</si>
  <si>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</si>
  <si>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</si>
  <si>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</si>
  <si>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</si>
  <si>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</si>
  <si>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</si>
  <si>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</si>
  <si>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</si>
  <si>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</si>
  <si>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</si>
  <si>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</si>
  <si>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</si>
  <si>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</si>
  <si>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</si>
  <si>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</si>
  <si>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</si>
  <si>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</si>
  <si>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</si>
  <si>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</si>
  <si>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</si>
  <si>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</si>
  <si>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</si>
  <si>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</si>
  <si>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</si>
  <si>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</si>
  <si>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</si>
  <si>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</si>
  <si>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</si>
  <si>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</si>
  <si>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</si>
  <si>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</si>
  <si>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</si>
  <si>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</si>
  <si>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</si>
  <si>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</si>
  <si>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</si>
  <si>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</si>
  <si>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</si>
  <si>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</si>
  <si>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</si>
  <si>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</si>
  <si>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</si>
  <si>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</si>
  <si>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</si>
  <si>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</si>
  <si>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</si>
  <si>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</si>
  <si>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</si>
  <si>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</si>
  <si>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</si>
  <si>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</si>
  <si>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</si>
  <si>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</si>
  <si>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</si>
  <si>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</si>
  <si>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</si>
  <si>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</si>
  <si>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</si>
  <si>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</si>
  <si>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</si>
  <si>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</si>
  <si>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</si>
  <si>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</si>
  <si>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</si>
  <si>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</si>
  <si>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</si>
  <si>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</si>
  <si>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</si>
  <si>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</si>
  <si>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</si>
  <si>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</si>
  <si>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</si>
  <si>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</si>
  <si>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</si>
  <si>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</si>
  <si>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</si>
  <si>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</si>
  <si>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</si>
  <si>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</si>
  <si>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</si>
  <si>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</si>
  <si>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</si>
  <si>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</si>
  <si>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</si>
  <si>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</si>
  <si>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</si>
  <si>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</si>
  <si>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</si>
  <si>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</si>
  <si>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</si>
  <si>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</si>
  <si>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</si>
  <si>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</si>
  <si>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</si>
  <si>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</si>
  <si>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</si>
  <si>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</si>
  <si>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</si>
  <si>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</si>
  <si>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</si>
  <si>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</si>
  <si>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</si>
  <si>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</si>
  <si>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</si>
  <si>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</si>
  <si>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</si>
  <si>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</si>
  <si>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</si>
  <si>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</si>
  <si>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</si>
  <si>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</si>
  <si>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</si>
  <si>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</si>
  <si>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</si>
  <si>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</si>
  <si>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</si>
  <si>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</si>
  <si>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</si>
  <si>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</si>
  <si>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</si>
  <si>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</si>
  <si>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</si>
  <si>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</si>
  <si>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</si>
  <si>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</si>
  <si>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</si>
  <si>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</si>
  <si>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</si>
  <si>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</si>
  <si>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</si>
  <si>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</si>
  <si>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</si>
  <si>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</si>
  <si>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</si>
  <si>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</si>
  <si>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</si>
  <si>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</si>
  <si>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</si>
  <si>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</si>
  <si>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</si>
  <si>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</si>
  <si>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</si>
  <si>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</si>
  <si>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</si>
  <si>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</si>
  <si>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</si>
  <si>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</si>
  <si>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</si>
  <si>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</si>
  <si>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</si>
  <si>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</si>
  <si>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</si>
  <si>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</si>
  <si>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</si>
  <si>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</si>
  <si>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</si>
  <si>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</si>
  <si>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</si>
  <si>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</si>
  <si>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</si>
  <si>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</si>
  <si>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</si>
  <si>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</si>
  <si>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</si>
  <si>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</si>
  <si>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</si>
  <si>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</si>
  <si>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</si>
  <si>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</si>
  <si>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</si>
  <si>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</si>
  <si>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</si>
  <si>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</si>
  <si>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</si>
  <si>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</si>
  <si>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</si>
  <si>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</si>
  <si>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</si>
  <si>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</si>
  <si>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</si>
  <si>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</si>
  <si>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</si>
  <si>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</si>
  <si>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</si>
  <si>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</si>
  <si>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</si>
  <si>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</si>
  <si>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</si>
  <si>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</si>
  <si>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</si>
  <si>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</si>
  <si>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</si>
  <si>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</si>
  <si>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</si>
  <si>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</si>
  <si>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</si>
  <si>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</si>
  <si>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</si>
  <si>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</si>
  <si>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</si>
  <si>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</si>
  <si>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</si>
  <si>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</si>
  <si>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</si>
  <si>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</si>
  <si>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</si>
  <si>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</si>
  <si>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</si>
  <si>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</si>
  <si>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</si>
  <si>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</si>
  <si>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</si>
  <si>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</si>
  <si>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</si>
  <si>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</si>
  <si>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</si>
  <si>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</si>
  <si>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</si>
  <si>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</si>
  <si>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</si>
  <si>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</si>
  <si>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</si>
  <si>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</si>
  <si>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</si>
  <si>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</si>
  <si>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</si>
  <si>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</si>
  <si>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</si>
  <si>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</si>
  <si>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</si>
  <si>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</si>
  <si>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</si>
  <si>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</si>
  <si>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</si>
  <si>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</si>
  <si>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</si>
  <si>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</si>
  <si>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</si>
  <si>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</si>
  <si>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</si>
  <si>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</si>
  <si>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</si>
  <si>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</si>
  <si>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</si>
  <si>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</si>
  <si>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</si>
  <si>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</si>
  <si>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</si>
  <si>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</si>
  <si>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</si>
  <si>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</si>
  <si>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</si>
  <si>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</si>
  <si>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</si>
  <si>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</si>
  <si>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</si>
  <si>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</si>
  <si>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</si>
  <si>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</si>
  <si>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</si>
  <si>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</si>
  <si>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</si>
  <si>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</si>
  <si>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</si>
  <si>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</si>
  <si>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</si>
  <si>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</si>
  <si>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</si>
  <si>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</si>
  <si>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</si>
  <si>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</si>
  <si>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</si>
  <si>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</si>
  <si>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</si>
  <si>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</si>
  <si>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</si>
  <si>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</si>
  <si>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</si>
  <si>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</si>
  <si>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</si>
  <si>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</si>
  <si>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</si>
  <si>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</si>
  <si>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</si>
  <si>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</si>
  <si>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</si>
  <si>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</si>
  <si>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</si>
  <si>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</si>
  <si>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</si>
  <si>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</si>
  <si>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</si>
  <si>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</si>
  <si>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</si>
  <si>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</si>
  <si>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</si>
  <si>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</si>
  <si>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</si>
  <si>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</si>
  <si>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</si>
  <si>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</si>
  <si>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</si>
  <si>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</si>
  <si>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</si>
  <si>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</si>
  <si>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</si>
  <si>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</si>
  <si>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</si>
  <si>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</si>
  <si>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</si>
  <si>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</si>
  <si>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</si>
  <si>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</si>
  <si>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</si>
  <si>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</si>
  <si>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</si>
  <si>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</si>
  <si>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</si>
  <si>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</si>
  <si>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</si>
  <si>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</si>
  <si>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</si>
  <si>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</si>
  <si>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</si>
  <si>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</si>
  <si>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</si>
  <si>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</si>
  <si>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</si>
  <si>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</si>
  <si>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</si>
  <si>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</si>
  <si>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</si>
  <si>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</si>
  <si>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</si>
  <si>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</si>
  <si>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</si>
  <si>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</si>
  <si>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</si>
  <si>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</si>
  <si>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</si>
  <si>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</si>
  <si>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</si>
  <si>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</si>
  <si>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</si>
  <si>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</si>
  <si>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</si>
  <si>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</si>
  <si>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</si>
  <si>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</si>
  <si>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</si>
  <si>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</si>
  <si>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</si>
  <si>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</si>
  <si>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</si>
  <si>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</si>
  <si>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</si>
  <si>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</si>
  <si>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</si>
  <si>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</si>
  <si>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</si>
  <si>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</si>
  <si>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</si>
  <si>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</si>
  <si>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</si>
  <si>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</si>
  <si>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</si>
  <si>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</si>
  <si>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</si>
  <si>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</si>
  <si>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</si>
  <si>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</si>
  <si>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</si>
  <si>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</si>
  <si>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</si>
  <si>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</si>
  <si>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</si>
  <si>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</si>
  <si>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</si>
  <si>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</si>
  <si>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</si>
  <si>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</si>
  <si>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</si>
  <si>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</si>
  <si>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</si>
  <si>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</si>
  <si>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</si>
  <si>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</si>
  <si>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</si>
  <si>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</si>
  <si>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</si>
  <si>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</si>
  <si>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</si>
  <si>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</si>
  <si>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</si>
  <si>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</si>
  <si>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</si>
  <si>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</si>
  <si>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</si>
  <si>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</si>
  <si>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</si>
  <si>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</si>
  <si>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</si>
  <si>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</si>
  <si>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</si>
  <si>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</si>
  <si>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</si>
  <si>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</si>
  <si>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</si>
  <si>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</si>
  <si>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</si>
  <si>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</si>
  <si>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</si>
  <si>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</si>
  <si>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</si>
  <si>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</si>
  <si>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</si>
  <si>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</si>
  <si>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</si>
  <si>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</si>
  <si>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</si>
  <si>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</si>
  <si>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</si>
  <si>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</si>
  <si>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</si>
  <si>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</si>
  <si>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</si>
  <si>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</si>
  <si>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</si>
  <si>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</si>
  <si>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</si>
  <si>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</si>
  <si>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</si>
  <si>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</si>
  <si>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</si>
  <si>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</si>
  <si>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</si>
  <si>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</si>
  <si>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</si>
  <si>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</si>
  <si>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</si>
  <si>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</si>
  <si>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</si>
  <si>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</si>
  <si>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</si>
  <si>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</si>
  <si>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</si>
  <si>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</si>
  <si>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</si>
  <si>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</si>
  <si>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</si>
  <si>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</si>
  <si>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</si>
  <si>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</si>
  <si>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</si>
  <si>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</si>
  <si>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</si>
  <si>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</si>
  <si>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</si>
  <si>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</si>
  <si>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</si>
  <si>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</si>
  <si>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</si>
  <si>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</si>
  <si>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</si>
  <si>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</si>
  <si>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</si>
  <si>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</si>
  <si>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</si>
  <si>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</si>
  <si>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</si>
  <si>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</si>
  <si>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</si>
  <si>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</si>
  <si>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</si>
  <si>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</si>
  <si>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</si>
  <si>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</si>
  <si>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</si>
  <si>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</si>
  <si>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</si>
  <si>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</si>
  <si>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</si>
  <si>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</si>
  <si>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</si>
  <si>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</si>
  <si>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</si>
  <si>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</si>
  <si>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</si>
  <si>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</si>
  <si>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</si>
  <si>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</si>
  <si>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</si>
  <si>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</si>
  <si>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</si>
  <si>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</si>
  <si>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</si>
  <si>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</si>
  <si>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</si>
  <si>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</si>
  <si>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</si>
  <si>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</si>
  <si>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</si>
  <si>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</si>
  <si>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</si>
  <si>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</si>
  <si>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</si>
  <si>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</si>
  <si>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</si>
  <si>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</si>
  <si>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</si>
  <si>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</si>
  <si>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</si>
  <si>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</si>
  <si>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</si>
  <si>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</si>
  <si>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</si>
  <si>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</si>
  <si>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</si>
  <si>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</si>
  <si>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</si>
  <si>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</si>
  <si>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</si>
  <si>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</si>
  <si>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</si>
  <si>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</si>
  <si>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</si>
  <si>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</si>
  <si>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</si>
  <si>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</si>
  <si>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</si>
  <si>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</si>
  <si>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</si>
  <si>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</si>
  <si>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</si>
  <si>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</si>
  <si>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</si>
  <si>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</si>
  <si>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</si>
  <si>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</si>
  <si>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</si>
  <si>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</si>
  <si>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</si>
  <si>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</si>
  <si>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</si>
  <si>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</si>
  <si>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</si>
  <si>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</si>
  <si>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</si>
  <si>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</si>
  <si>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</si>
  <si>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</si>
  <si>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</si>
  <si>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</si>
  <si>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</si>
  <si>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</si>
  <si>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</si>
  <si>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</si>
  <si>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</si>
  <si>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</si>
  <si>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</si>
  <si>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</si>
  <si>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</si>
  <si>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</si>
  <si>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</si>
  <si>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</si>
  <si>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</si>
  <si>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</si>
  <si>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</si>
  <si>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</si>
  <si>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</si>
  <si>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</si>
  <si>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</si>
  <si>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</si>
  <si>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</si>
  <si>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</si>
  <si>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</si>
  <si>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</si>
  <si>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</si>
  <si>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</si>
  <si>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</si>
  <si>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</si>
  <si>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</si>
  <si>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</si>
  <si>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</si>
  <si>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</si>
  <si>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</si>
  <si>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</si>
  <si>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</si>
  <si>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</si>
  <si>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</si>
  <si>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</si>
  <si>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</si>
  <si>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</si>
  <si>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</si>
  <si>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</si>
  <si>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</si>
  <si>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</si>
  <si>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</si>
  <si>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</si>
  <si>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</si>
  <si>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</si>
  <si>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</si>
  <si>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</si>
  <si>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</si>
  <si>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</si>
  <si>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</si>
  <si>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</si>
  <si>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</si>
  <si>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</si>
  <si>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</si>
  <si>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</si>
  <si>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</si>
  <si>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</si>
  <si>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</si>
  <si>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</si>
  <si>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</si>
  <si>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</si>
  <si>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</si>
  <si>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</si>
  <si>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</si>
  <si>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</si>
  <si>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</si>
  <si>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</si>
  <si>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</si>
  <si>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</si>
  <si>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</si>
  <si>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</si>
  <si>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</si>
  <si>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</si>
  <si>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</si>
  <si>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</si>
  <si>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</si>
  <si>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</si>
  <si>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</si>
  <si>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</si>
  <si>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</si>
  <si>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</si>
  <si>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</si>
  <si>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</si>
  <si>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</si>
  <si>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</si>
  <si>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</si>
  <si>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</si>
  <si>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</si>
  <si>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</si>
  <si>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</si>
  <si>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</si>
  <si>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</si>
  <si>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</si>
  <si>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</si>
  <si>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</si>
  <si>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Punam Kumari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</si>
  <si>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</si>
  <si>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</si>
  <si>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</si>
  <si>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</si>
  <si>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</si>
  <si>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</si>
  <si>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</si>
  <si>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</si>
  <si>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</si>
  <si>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</si>
  <si>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</si>
  <si>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</si>
  <si>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</si>
  <si>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Punam Kumari-2</t>
  </si>
  <si>
    <t>Sufiyan Ali-3</t>
  </si>
  <si>
    <t>Ram Sadotra-1</t>
  </si>
  <si>
    <t>Ram Sadotra-2</t>
  </si>
  <si>
    <t>DC+9
1.5m RC</t>
  </si>
  <si>
    <t>Submitted -30.26 Km
Approved - 30.26 Km</t>
  </si>
  <si>
    <t>Raju Kumar</t>
  </si>
  <si>
    <t>DD+25
2MRC</t>
  </si>
  <si>
    <t>67/3</t>
  </si>
  <si>
    <t>KEC International Ltd</t>
  </si>
  <si>
    <t>WET/PS</t>
  </si>
  <si>
    <t>ASC Infra Pvt Ltd</t>
  </si>
  <si>
    <t>Ground Assembly</t>
  </si>
  <si>
    <t>Pit Marking</t>
  </si>
  <si>
    <t>Submitted - 85 Km
Approved -  85 Km
AP168-Jalandhar Tapping point survey done. Clearence required from RKPTL</t>
  </si>
  <si>
    <t>Material Shifting</t>
  </si>
  <si>
    <t>Pit A - Excavation</t>
  </si>
  <si>
    <t>Cage2</t>
  </si>
  <si>
    <t>Work on hold due to holi festival</t>
  </si>
  <si>
    <t>DD+30
2MRC</t>
  </si>
  <si>
    <t>Pit A - Steel Binding
Pit D- Prop Setting</t>
  </si>
  <si>
    <t>Excavation- Trail pit</t>
  </si>
  <si>
    <t>L2 till 
Mar'26</t>
  </si>
  <si>
    <t>Qty Supplied till Mar'26</t>
  </si>
  <si>
    <t>Middle Section</t>
  </si>
  <si>
    <t>Pit A - Casting upto 1st part chimney
Pit B - Casting upto frustrum
Pit C - Casting upto pyramid
Pit D -Prop Setting</t>
  </si>
  <si>
    <t>Pit B,C - Casting Completed
Pit A - Excavation WIP</t>
  </si>
  <si>
    <t>Pit B - Excavation</t>
  </si>
  <si>
    <t>Pit A,B - Casting Completed
Pit C - Block Level</t>
  </si>
  <si>
    <t>Pit B,D - Casting Completed
Pit A - Casting upto frustrum</t>
  </si>
  <si>
    <t>Pit C,D - Casting Completed</t>
  </si>
  <si>
    <t>Pit C,D- Casting Complete</t>
  </si>
  <si>
    <t>Pit A - Casting upto frustrum</t>
  </si>
  <si>
    <t>Pit B,D- Excavation</t>
  </si>
  <si>
    <t>Pit C - Block Level</t>
  </si>
  <si>
    <t>Pit C ,D -Prop Setting</t>
  </si>
  <si>
    <t>Body Completed</t>
  </si>
  <si>
    <t>1st section</t>
  </si>
  <si>
    <t>Due to holi festival 2 gangs work on 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</si>
</sst>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1" fillId="0" borderId="0" applyFont="0" applyFill="0" applyBorder="0" applyAlignment="0" applyProtection="0"/>
    <xf numFmtId="0" fontId="151" fillId="0" borderId="0"/>
    <xf numFmtId="164" fontId="151" fillId="0" borderId="0"/>
    <xf numFmtId="164" fontId="151" fillId="0" borderId="0"/>
    <xf numFmtId="164" fontId="151" fillId="0" borderId="0"/>
    <xf numFmtId="164" fontId="151" fillId="0" borderId="0"/>
    <xf numFmtId="0" fontId="120" fillId="0" borderId="0"/>
    <xf numFmtId="0" fontId="151" fillId="0" borderId="0"/>
    <xf numFmtId="0" fontId="150" fillId="0" borderId="0" applyProtection="0"/>
    <xf numFmtId="0" fontId="120" fillId="0" borderId="0"/>
    <xf numFmtId="0" fontId="120" fillId="0" borderId="0"/>
    <xf numFmtId="0" fontId="151" fillId="0" borderId="0"/>
    <xf numFmtId="0" fontId="9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9" fontId="151" fillId="0" borderId="0" applyFont="0" applyFill="0" applyBorder="0" applyAlignment="0" applyProtection="0"/>
    <xf numFmtId="9" fontId="151" fillId="0" borderId="0" applyFont="0" applyFill="0" applyBorder="0" applyAlignment="0" applyProtection="0"/>
    <xf numFmtId="9" fontId="151" fillId="0" borderId="0" applyFont="0" applyFill="0" applyBorder="0" applyAlignment="0" applyProtection="0"/>
    <xf numFmtId="0" fontId="61" fillId="0" borderId="0"/>
    <xf numFmtId="0" fontId="60" fillId="0" borderId="0"/>
    <xf numFmtId="176" fontId="60" fillId="0" borderId="0" applyFont="0" applyFill="0" applyBorder="0" applyAlignment="0" applyProtection="0"/>
    <xf numFmtId="0" fontId="120" fillId="0" borderId="0"/>
    <xf numFmtId="0" fontId="59" fillId="0" borderId="0"/>
    <xf numFmtId="43" fontId="120" fillId="0" borderId="0" applyFont="0" applyFill="0" applyBorder="0" applyAlignment="0" applyProtection="0"/>
    <xf numFmtId="43" fontId="180" fillId="0" borderId="0" applyFont="0" applyFill="0" applyBorder="0" applyAlignment="0" applyProtection="0"/>
    <xf numFmtId="0" fontId="58" fillId="0" borderId="0"/>
    <xf numFmtId="0" fontId="57" fillId="0" borderId="0"/>
    <xf numFmtId="0" fontId="56" fillId="0" borderId="0"/>
    <xf numFmtId="0" fontId="52" fillId="0" borderId="0"/>
    <xf numFmtId="0" fontId="183" fillId="41" borderId="0" applyNumberFormat="0" applyBorder="0" applyAlignment="0" applyProtection="0"/>
    <xf numFmtId="43" fontId="37" fillId="0" borderId="0" applyFont="0" applyFill="0" applyBorder="0" applyAlignment="0" applyProtection="0"/>
    <xf numFmtId="0" fontId="36" fillId="0" borderId="0"/>
    <xf numFmtId="0" fontId="28" fillId="0" borderId="0"/>
    <xf numFmtId="176" fontId="28" fillId="0" borderId="0" applyFont="0" applyFill="0" applyBorder="0" applyAlignment="0" applyProtection="0"/>
    <xf numFmtId="9" fontId="28" fillId="0" borderId="0" applyFont="0" applyFill="0" applyBorder="0" applyAlignment="0" applyProtection="0"/>
  </cellStyleXfs>
  <cellXfs count="1531">
    <xf numFmtId="0" fontId="0" fillId="0" borderId="0" xfId="0"/>
    <xf numFmtId="0" fontId="85" fillId="0" borderId="0" xfId="0" applyFont="1"/>
    <xf numFmtId="0" fontId="0" fillId="0" borderId="0" xfId="0" applyAlignment="1">
      <alignment horizontal="center"/>
    </xf>
    <xf numFmtId="0" fontId="92" fillId="2" borderId="0" xfId="18" applyFont="1" applyFill="1" applyAlignment="1">
      <alignment horizontal="center" vertical="center" wrapText="1"/>
    </xf>
    <xf numFmtId="0" fontId="92" fillId="2" borderId="0" xfId="18" applyFont="1" applyFill="1" applyAlignment="1">
      <alignment horizontal="center" vertical="center"/>
    </xf>
    <xf numFmtId="0" fontId="85" fillId="2" borderId="8" xfId="0" applyFont="1" applyFill="1" applyBorder="1" applyAlignment="1">
      <alignment horizontal="center" vertical="center"/>
    </xf>
    <xf numFmtId="0" fontId="92" fillId="2" borderId="0" xfId="18" applyFont="1" applyFill="1"/>
    <xf numFmtId="0" fontId="93" fillId="2" borderId="0" xfId="18" applyFont="1" applyFill="1" applyAlignment="1">
      <alignment horizontal="center"/>
    </xf>
    <xf numFmtId="0" fontId="92" fillId="2" borderId="0" xfId="18" applyFont="1" applyFill="1" applyAlignment="1">
      <alignment horizontal="center"/>
    </xf>
    <xf numFmtId="0" fontId="94" fillId="0" borderId="8" xfId="0" applyFont="1" applyBorder="1" applyAlignment="1">
      <alignment horizontal="center"/>
    </xf>
    <xf numFmtId="0" fontId="94" fillId="0" borderId="8" xfId="0" applyFont="1" applyBorder="1" applyAlignment="1">
      <alignment horizontal="center" vertical="center"/>
    </xf>
    <xf numFmtId="2" fontId="9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5" fillId="0" borderId="8" xfId="0" applyFont="1" applyBorder="1" applyAlignment="1">
      <alignment horizontal="center"/>
    </xf>
    <xf numFmtId="0" fontId="92" fillId="2" borderId="0" xfId="0" applyFont="1" applyFill="1" applyAlignment="1">
      <alignment horizontal="center" vertical="center"/>
    </xf>
    <xf numFmtId="0" fontId="92" fillId="2" borderId="8" xfId="0" applyFont="1" applyFill="1" applyBorder="1" applyAlignment="1">
      <alignment horizontal="center" vertical="center"/>
    </xf>
    <xf numFmtId="0" fontId="96" fillId="8" borderId="8" xfId="13" applyFont="1" applyFill="1" applyBorder="1" applyAlignment="1">
      <alignment horizontal="center" vertical="top" wrapText="1"/>
    </xf>
    <xf numFmtId="1" fontId="98" fillId="0" borderId="8" xfId="13" applyNumberFormat="1" applyFont="1" applyBorder="1" applyAlignment="1">
      <alignment horizontal="center" vertical="top" shrinkToFit="1"/>
    </xf>
    <xf numFmtId="0" fontId="96" fillId="0" borderId="8" xfId="13" applyFont="1" applyBorder="1" applyAlignment="1">
      <alignment horizontal="center" vertical="top" wrapText="1"/>
    </xf>
    <xf numFmtId="0" fontId="96" fillId="6" borderId="8" xfId="13" applyFont="1" applyFill="1" applyBorder="1" applyAlignment="1">
      <alignment horizontal="center" vertical="top" wrapText="1"/>
    </xf>
    <xf numFmtId="0" fontId="97" fillId="0" borderId="8" xfId="13" applyBorder="1" applyAlignment="1">
      <alignment horizontal="left" wrapText="1"/>
    </xf>
    <xf numFmtId="0" fontId="0" fillId="6" borderId="8" xfId="0" applyFill="1" applyBorder="1"/>
    <xf numFmtId="0" fontId="92" fillId="0" borderId="0" xfId="18" applyFont="1" applyAlignment="1">
      <alignment horizontal="center" vertical="center" wrapText="1"/>
    </xf>
    <xf numFmtId="0" fontId="0" fillId="0" borderId="7" xfId="0" applyBorder="1" applyAlignment="1">
      <alignment horizontal="center"/>
    </xf>
    <xf numFmtId="0" fontId="94" fillId="0" borderId="38" xfId="0" applyFont="1" applyBorder="1" applyAlignment="1">
      <alignment horizontal="center" vertical="center"/>
    </xf>
    <xf numFmtId="0" fontId="94" fillId="0" borderId="16" xfId="0" applyFont="1" applyBorder="1" applyAlignment="1">
      <alignment horizontal="center" vertical="center"/>
    </xf>
    <xf numFmtId="0" fontId="94" fillId="6" borderId="39" xfId="0" applyFont="1" applyFill="1" applyBorder="1" applyAlignment="1">
      <alignment horizontal="center" vertical="center"/>
    </xf>
    <xf numFmtId="0" fontId="94" fillId="6" borderId="28" xfId="0" applyFont="1" applyFill="1" applyBorder="1" applyAlignment="1">
      <alignment horizontal="left" vertical="center"/>
    </xf>
    <xf numFmtId="0" fontId="0" fillId="6" borderId="40" xfId="0" applyFill="1" applyBorder="1" applyAlignment="1">
      <alignment horizontal="center" vertical="center"/>
    </xf>
    <xf numFmtId="0" fontId="9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9" fillId="0" borderId="41" xfId="0" applyFont="1" applyBorder="1" applyAlignment="1">
      <alignment vertical="center" wrapText="1"/>
    </xf>
    <xf numFmtId="14" fontId="10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0" fillId="0" borderId="7" xfId="0" applyNumberFormat="1" applyFont="1" applyBorder="1" applyAlignment="1">
      <alignment horizontal="center" vertical="center" wrapText="1"/>
    </xf>
    <xf numFmtId="0" fontId="99" fillId="12" borderId="41" xfId="0" applyFont="1" applyFill="1" applyBorder="1" applyAlignment="1">
      <alignment vertical="center" wrapText="1"/>
    </xf>
    <xf numFmtId="0" fontId="94" fillId="6" borderId="35" xfId="0" applyFont="1" applyFill="1" applyBorder="1" applyAlignment="1">
      <alignment horizontal="center" vertical="center"/>
    </xf>
    <xf numFmtId="0" fontId="9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1" fillId="12" borderId="19" xfId="0" applyFont="1" applyFill="1" applyBorder="1" applyAlignment="1">
      <alignment vertical="center" wrapText="1"/>
    </xf>
    <xf numFmtId="14" fontId="0" fillId="0" borderId="7" xfId="0" applyNumberFormat="1" applyBorder="1" applyAlignment="1">
      <alignment horizontal="center" vertical="center"/>
    </xf>
    <xf numFmtId="0" fontId="95" fillId="6" borderId="36" xfId="0" applyFont="1" applyFill="1" applyBorder="1" applyAlignment="1">
      <alignment horizontal="center" vertical="center"/>
    </xf>
    <xf numFmtId="0" fontId="9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5" fillId="0" borderId="16" xfId="0" applyFont="1" applyBorder="1" applyAlignment="1">
      <alignment horizontal="center" vertical="center"/>
    </xf>
    <xf numFmtId="0" fontId="86" fillId="13" borderId="10" xfId="0" applyFont="1" applyFill="1" applyBorder="1" applyAlignment="1">
      <alignment horizontal="center" vertical="center"/>
    </xf>
    <xf numFmtId="0" fontId="94" fillId="13" borderId="32" xfId="0" applyFont="1" applyFill="1" applyBorder="1" applyAlignment="1">
      <alignment horizontal="center" vertical="center"/>
    </xf>
    <xf numFmtId="0" fontId="9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0" fillId="0" borderId="19" xfId="0" applyFont="1" applyBorder="1" applyAlignment="1">
      <alignment vertical="center" wrapText="1"/>
    </xf>
    <xf numFmtId="0" fontId="10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2" fillId="0" borderId="37" xfId="0" applyFont="1" applyBorder="1" applyAlignment="1">
      <alignment horizontal="center" vertical="center"/>
    </xf>
    <xf numFmtId="0" fontId="10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2" fillId="0" borderId="38" xfId="0" applyFont="1" applyBorder="1" applyAlignment="1">
      <alignment horizontal="center" vertical="center"/>
    </xf>
    <xf numFmtId="0" fontId="10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2" fillId="0" borderId="30" xfId="0" applyFont="1" applyBorder="1" applyAlignment="1">
      <alignment horizontal="center" vertical="center"/>
    </xf>
    <xf numFmtId="0" fontId="102" fillId="0" borderId="8" xfId="0" applyFont="1" applyBorder="1" applyAlignment="1">
      <alignment horizontal="center" vertical="center"/>
    </xf>
    <xf numFmtId="14" fontId="10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2" fillId="0" borderId="42" xfId="0" applyFont="1" applyBorder="1" applyAlignment="1">
      <alignment horizontal="center" vertical="center"/>
    </xf>
    <xf numFmtId="0" fontId="102" fillId="0" borderId="7" xfId="0" applyFont="1" applyBorder="1" applyAlignment="1">
      <alignment horizontal="center" vertical="center"/>
    </xf>
    <xf numFmtId="0" fontId="0" fillId="0" borderId="30" xfId="0" applyBorder="1"/>
    <xf numFmtId="14" fontId="10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3" fillId="0" borderId="0" xfId="0" applyFont="1" applyAlignment="1">
      <alignment horizontal="center" vertical="center"/>
    </xf>
    <xf numFmtId="0" fontId="103" fillId="0" borderId="3" xfId="0" applyFont="1" applyBorder="1"/>
    <xf numFmtId="0" fontId="103" fillId="0" borderId="0" xfId="0" applyFont="1"/>
    <xf numFmtId="0" fontId="87" fillId="0" borderId="0" xfId="0" applyFont="1" applyAlignment="1">
      <alignment horizontal="left"/>
    </xf>
    <xf numFmtId="0" fontId="87" fillId="15" borderId="8" xfId="0" applyFont="1" applyFill="1" applyBorder="1" applyAlignment="1">
      <alignment horizontal="center" vertical="center" wrapText="1"/>
    </xf>
    <xf numFmtId="0" fontId="87" fillId="15" borderId="8" xfId="0" applyFont="1" applyFill="1" applyBorder="1" applyAlignment="1">
      <alignment vertical="center" wrapText="1"/>
    </xf>
    <xf numFmtId="0" fontId="103" fillId="0" borderId="8" xfId="0" applyFont="1" applyBorder="1" applyAlignment="1">
      <alignment horizontal="center"/>
    </xf>
    <xf numFmtId="16" fontId="0" fillId="16" borderId="8" xfId="0" applyNumberFormat="1" applyFill="1" applyBorder="1" applyAlignment="1">
      <alignment horizontal="center"/>
    </xf>
    <xf numFmtId="16" fontId="103" fillId="16" borderId="8" xfId="0" applyNumberFormat="1" applyFont="1" applyFill="1" applyBorder="1" applyAlignment="1">
      <alignment horizontal="center"/>
    </xf>
    <xf numFmtId="166" fontId="0" fillId="0" borderId="8" xfId="0" applyNumberFormat="1" applyBorder="1" applyAlignment="1">
      <alignment horizontal="center"/>
    </xf>
    <xf numFmtId="166" fontId="103" fillId="0" borderId="8" xfId="0" applyNumberFormat="1" applyFont="1" applyBorder="1" applyAlignment="1">
      <alignment horizontal="center"/>
    </xf>
    <xf numFmtId="0" fontId="0" fillId="5" borderId="8" xfId="0" applyFill="1" applyBorder="1" applyAlignment="1">
      <alignment horizontal="center"/>
    </xf>
    <xf numFmtId="0" fontId="103" fillId="5" borderId="8" xfId="0" applyFont="1" applyFill="1" applyBorder="1" applyAlignment="1">
      <alignment horizontal="center"/>
    </xf>
    <xf numFmtId="16" fontId="103" fillId="17" borderId="8" xfId="0" applyNumberFormat="1" applyFont="1" applyFill="1" applyBorder="1" applyAlignment="1">
      <alignment horizontal="center"/>
    </xf>
    <xf numFmtId="0" fontId="103" fillId="0" borderId="8" xfId="0" applyFont="1" applyBorder="1"/>
    <xf numFmtId="0" fontId="104" fillId="0" borderId="0" xfId="0" applyFont="1"/>
    <xf numFmtId="1" fontId="91" fillId="0" borderId="8" xfId="10" applyNumberFormat="1" applyFont="1" applyBorder="1" applyAlignment="1">
      <alignment horizontal="center" vertical="center" wrapText="1"/>
    </xf>
    <xf numFmtId="167" fontId="91" fillId="0" borderId="8" xfId="10" applyNumberFormat="1" applyFont="1" applyBorder="1" applyAlignment="1">
      <alignment horizontal="center" vertical="center" wrapText="1"/>
    </xf>
    <xf numFmtId="168" fontId="91" fillId="0" borderId="8" xfId="10" applyNumberFormat="1" applyFont="1" applyBorder="1" applyAlignment="1">
      <alignment horizontal="center" vertical="center" wrapText="1"/>
    </xf>
    <xf numFmtId="0" fontId="105" fillId="0" borderId="8" xfId="10" applyFont="1" applyBorder="1" applyAlignment="1">
      <alignment horizontal="center" vertical="center" wrapText="1"/>
    </xf>
    <xf numFmtId="0" fontId="91" fillId="5" borderId="8" xfId="10" applyFont="1" applyFill="1" applyBorder="1" applyAlignment="1">
      <alignment horizontal="center" vertical="center"/>
    </xf>
    <xf numFmtId="168" fontId="91" fillId="0" borderId="8" xfId="10" applyNumberFormat="1" applyFont="1" applyBorder="1" applyAlignment="1">
      <alignment horizontal="center" vertical="center"/>
    </xf>
    <xf numFmtId="0" fontId="91" fillId="0" borderId="8" xfId="10" applyFont="1" applyBorder="1" applyAlignment="1">
      <alignment horizontal="center" vertical="center"/>
    </xf>
    <xf numFmtId="0" fontId="91" fillId="2" borderId="8" xfId="10" applyFont="1" applyFill="1" applyBorder="1" applyAlignment="1">
      <alignment horizontal="center" vertical="center"/>
    </xf>
    <xf numFmtId="0" fontId="91" fillId="5" borderId="44" xfId="10" applyFont="1" applyFill="1" applyBorder="1" applyAlignment="1">
      <alignment horizontal="center" vertical="center"/>
    </xf>
    <xf numFmtId="0" fontId="9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2" fillId="2" borderId="8" xfId="18" applyFont="1" applyFill="1" applyBorder="1" applyAlignment="1">
      <alignment horizontal="center"/>
    </xf>
    <xf numFmtId="0" fontId="0" fillId="6" borderId="7" xfId="0" applyFill="1" applyBorder="1" applyAlignment="1">
      <alignment horizontal="center"/>
    </xf>
    <xf numFmtId="0" fontId="92" fillId="2" borderId="8" xfId="18" applyFont="1" applyFill="1" applyBorder="1" applyAlignment="1">
      <alignment horizontal="center" vertical="center"/>
    </xf>
    <xf numFmtId="0" fontId="0" fillId="5" borderId="8" xfId="0" applyFill="1" applyBorder="1" applyAlignment="1">
      <alignment horizontal="center" vertical="center"/>
    </xf>
    <xf numFmtId="167" fontId="91" fillId="6" borderId="15" xfId="10" applyNumberFormat="1" applyFont="1" applyFill="1" applyBorder="1" applyAlignment="1">
      <alignment horizontal="center" vertical="center" wrapText="1"/>
    </xf>
    <xf numFmtId="167" fontId="91" fillId="6" borderId="8" xfId="10" applyNumberFormat="1" applyFont="1" applyFill="1" applyBorder="1" applyAlignment="1">
      <alignment horizontal="center" vertical="center" wrapText="1"/>
    </xf>
    <xf numFmtId="168" fontId="91" fillId="6" borderId="8" xfId="10" applyNumberFormat="1" applyFont="1" applyFill="1" applyBorder="1" applyAlignment="1">
      <alignment horizontal="center" vertical="center"/>
    </xf>
    <xf numFmtId="168" fontId="91" fillId="6" borderId="15" xfId="10" applyNumberFormat="1" applyFont="1" applyFill="1" applyBorder="1" applyAlignment="1">
      <alignment horizontal="center" vertical="center"/>
    </xf>
    <xf numFmtId="0" fontId="91" fillId="6" borderId="15" xfId="10" applyFont="1" applyFill="1" applyBorder="1" applyAlignment="1">
      <alignment horizontal="center" vertical="center"/>
    </xf>
    <xf numFmtId="1" fontId="106" fillId="0" borderId="8" xfId="10" applyNumberFormat="1" applyFont="1" applyBorder="1" applyAlignment="1">
      <alignment horizontal="center" vertical="center" wrapText="1"/>
    </xf>
    <xf numFmtId="0" fontId="106" fillId="0" borderId="8" xfId="10" applyFont="1" applyBorder="1" applyAlignment="1">
      <alignment horizontal="center" vertical="center"/>
    </xf>
    <xf numFmtId="167" fontId="106" fillId="0" borderId="8" xfId="10" applyNumberFormat="1" applyFont="1" applyBorder="1" applyAlignment="1">
      <alignment horizontal="center" vertical="center" wrapText="1"/>
    </xf>
    <xf numFmtId="168" fontId="106" fillId="0" borderId="8" xfId="10" applyNumberFormat="1" applyFont="1" applyBorder="1" applyAlignment="1">
      <alignment horizontal="center" vertical="center"/>
    </xf>
    <xf numFmtId="0" fontId="105" fillId="6" borderId="8" xfId="10" applyFont="1" applyFill="1" applyBorder="1" applyAlignment="1">
      <alignment horizontal="center" vertical="center" wrapText="1"/>
    </xf>
    <xf numFmtId="0" fontId="91" fillId="6" borderId="8" xfId="10" applyFont="1" applyFill="1" applyBorder="1" applyAlignment="1">
      <alignment horizontal="center" vertical="center"/>
    </xf>
    <xf numFmtId="0" fontId="91" fillId="0" borderId="44" xfId="10" applyFont="1" applyBorder="1" applyAlignment="1">
      <alignment horizontal="center" vertical="center"/>
    </xf>
    <xf numFmtId="0" fontId="106" fillId="0" borderId="8" xfId="10" applyFont="1" applyBorder="1" applyAlignment="1">
      <alignment horizontal="center" vertical="center" wrapText="1"/>
    </xf>
    <xf numFmtId="49" fontId="91" fillId="0" borderId="8" xfId="10" applyNumberFormat="1" applyFont="1" applyBorder="1" applyAlignment="1">
      <alignment horizontal="center" vertical="center" wrapText="1"/>
    </xf>
    <xf numFmtId="49" fontId="91" fillId="0" borderId="8" xfId="10" applyNumberFormat="1" applyFont="1" applyBorder="1" applyAlignment="1">
      <alignment horizontal="center" vertical="center"/>
    </xf>
    <xf numFmtId="0" fontId="105" fillId="0" borderId="0" xfId="10" applyFont="1" applyAlignment="1">
      <alignment vertical="center" wrapText="1"/>
    </xf>
    <xf numFmtId="0" fontId="91" fillId="0" borderId="0" xfId="10" applyFont="1" applyAlignment="1">
      <alignment vertical="center"/>
    </xf>
    <xf numFmtId="168" fontId="91" fillId="0" borderId="0" xfId="10" applyNumberFormat="1" applyFont="1" applyAlignment="1">
      <alignment horizontal="center" vertical="center"/>
    </xf>
    <xf numFmtId="0" fontId="91" fillId="0" borderId="0" xfId="10" applyFont="1" applyAlignment="1">
      <alignment horizontal="center" vertical="center"/>
    </xf>
    <xf numFmtId="0" fontId="90" fillId="0" borderId="0" xfId="10" applyFont="1" applyAlignment="1">
      <alignment horizontal="left" vertical="center"/>
    </xf>
    <xf numFmtId="0" fontId="90" fillId="0" borderId="0" xfId="10" applyFont="1" applyAlignment="1">
      <alignment vertical="center"/>
    </xf>
    <xf numFmtId="0" fontId="107" fillId="0" borderId="0" xfId="10" applyFont="1" applyAlignment="1">
      <alignment vertical="center"/>
    </xf>
    <xf numFmtId="168" fontId="107" fillId="0" borderId="0" xfId="10" applyNumberFormat="1" applyFont="1" applyAlignment="1">
      <alignment horizontal="center" vertical="center"/>
    </xf>
    <xf numFmtId="0" fontId="107" fillId="0" borderId="0" xfId="10" applyFont="1" applyAlignment="1">
      <alignment horizontal="center" vertical="center"/>
    </xf>
    <xf numFmtId="0" fontId="88" fillId="0" borderId="0" xfId="10" applyFont="1" applyAlignment="1">
      <alignment vertical="center"/>
    </xf>
    <xf numFmtId="0" fontId="88" fillId="0" borderId="0" xfId="10" applyFont="1" applyAlignment="1">
      <alignment horizontal="left" vertical="center"/>
    </xf>
    <xf numFmtId="0" fontId="88" fillId="0" borderId="0" xfId="10" applyFont="1" applyAlignment="1">
      <alignment horizontal="left" vertical="center" wrapText="1"/>
    </xf>
    <xf numFmtId="168" fontId="88" fillId="0" borderId="0" xfId="10" applyNumberFormat="1" applyFont="1" applyAlignment="1">
      <alignment horizontal="center" vertical="center" wrapText="1"/>
    </xf>
    <xf numFmtId="0" fontId="88" fillId="0" borderId="0" xfId="10" applyFont="1" applyAlignment="1">
      <alignment horizontal="center" vertical="center" wrapText="1"/>
    </xf>
    <xf numFmtId="0" fontId="108" fillId="0" borderId="0" xfId="10" applyFont="1" applyAlignment="1">
      <alignment vertical="center"/>
    </xf>
    <xf numFmtId="168" fontId="108" fillId="0" borderId="0" xfId="10" applyNumberFormat="1" applyFont="1" applyAlignment="1">
      <alignment horizontal="center" vertical="center"/>
    </xf>
    <xf numFmtId="0" fontId="108" fillId="0" borderId="0" xfId="10" applyFont="1" applyAlignment="1">
      <alignment horizontal="center" vertical="center"/>
    </xf>
    <xf numFmtId="0" fontId="91" fillId="0" borderId="8" xfId="10" applyFont="1" applyBorder="1" applyAlignment="1">
      <alignment vertical="center"/>
    </xf>
    <xf numFmtId="0" fontId="92" fillId="0" borderId="8" xfId="18" applyFont="1" applyBorder="1" applyAlignment="1">
      <alignment horizontal="center"/>
    </xf>
    <xf numFmtId="0" fontId="91" fillId="5" borderId="7" xfId="10" applyFont="1" applyFill="1" applyBorder="1" applyAlignment="1">
      <alignment horizontal="center" vertical="center"/>
    </xf>
    <xf numFmtId="0" fontId="92" fillId="2" borderId="7" xfId="18" applyFont="1" applyFill="1" applyBorder="1" applyAlignment="1">
      <alignment horizontal="center"/>
    </xf>
    <xf numFmtId="166" fontId="91" fillId="0" borderId="0" xfId="10" applyNumberFormat="1" applyFont="1" applyAlignment="1">
      <alignment vertical="center"/>
    </xf>
    <xf numFmtId="0" fontId="92" fillId="6" borderId="8" xfId="18" applyFont="1" applyFill="1" applyBorder="1" applyAlignment="1">
      <alignment horizontal="center" vertical="center"/>
    </xf>
    <xf numFmtId="0" fontId="91" fillId="0" borderId="7" xfId="10" applyFont="1" applyBorder="1" applyAlignment="1">
      <alignment vertical="center"/>
    </xf>
    <xf numFmtId="0" fontId="91" fillId="0" borderId="12" xfId="10" applyFont="1" applyBorder="1" applyAlignment="1">
      <alignment horizontal="center" vertical="center"/>
    </xf>
    <xf numFmtId="17" fontId="91" fillId="6" borderId="8" xfId="10" applyNumberFormat="1" applyFont="1" applyFill="1" applyBorder="1" applyAlignment="1">
      <alignment horizontal="center" vertical="center"/>
    </xf>
    <xf numFmtId="1" fontId="91" fillId="0" borderId="7" xfId="10" applyNumberFormat="1" applyFont="1" applyBorder="1" applyAlignment="1">
      <alignment horizontal="center" vertical="center" wrapText="1"/>
    </xf>
    <xf numFmtId="168" fontId="91" fillId="0" borderId="7" xfId="10" applyNumberFormat="1" applyFont="1" applyBorder="1" applyAlignment="1">
      <alignment horizontal="center" vertical="center"/>
    </xf>
    <xf numFmtId="166" fontId="105" fillId="0" borderId="8" xfId="10" applyNumberFormat="1" applyFont="1" applyBorder="1" applyAlignment="1">
      <alignment horizontal="center" vertical="center"/>
    </xf>
    <xf numFmtId="0" fontId="105" fillId="5" borderId="8" xfId="10" applyFont="1" applyFill="1" applyBorder="1" applyAlignment="1">
      <alignment horizontal="center" vertical="center" wrapText="1"/>
    </xf>
    <xf numFmtId="17" fontId="91" fillId="6" borderId="7" xfId="10" applyNumberFormat="1" applyFont="1" applyFill="1" applyBorder="1" applyAlignment="1">
      <alignment horizontal="center" vertical="center" wrapText="1"/>
    </xf>
    <xf numFmtId="168" fontId="91" fillId="2" borderId="8" xfId="10" applyNumberFormat="1" applyFont="1" applyFill="1" applyBorder="1" applyAlignment="1">
      <alignment horizontal="center" vertical="center"/>
    </xf>
    <xf numFmtId="0" fontId="92" fillId="6" borderId="8" xfId="0" applyFont="1" applyFill="1" applyBorder="1" applyAlignment="1">
      <alignment horizontal="center" vertical="center"/>
    </xf>
    <xf numFmtId="0" fontId="92" fillId="6" borderId="0" xfId="0" applyFont="1" applyFill="1" applyAlignment="1">
      <alignment horizontal="center" vertical="center"/>
    </xf>
    <xf numFmtId="0" fontId="91" fillId="18" borderId="8" xfId="10" applyFont="1" applyFill="1" applyBorder="1" applyAlignment="1">
      <alignment horizontal="center" vertical="center"/>
    </xf>
    <xf numFmtId="0" fontId="91" fillId="6" borderId="7" xfId="10" applyFont="1" applyFill="1" applyBorder="1" applyAlignment="1">
      <alignment horizontal="center" vertical="center"/>
    </xf>
    <xf numFmtId="0" fontId="91" fillId="4" borderId="8" xfId="10" applyFont="1" applyFill="1" applyBorder="1" applyAlignment="1">
      <alignment horizontal="center" vertical="center"/>
    </xf>
    <xf numFmtId="0" fontId="91" fillId="4" borderId="8" xfId="10" applyFont="1" applyFill="1" applyBorder="1" applyAlignment="1">
      <alignment vertical="center" wrapText="1"/>
    </xf>
    <xf numFmtId="168" fontId="91" fillId="19" borderId="8" xfId="10" applyNumberFormat="1" applyFont="1" applyFill="1" applyBorder="1" applyAlignment="1">
      <alignment horizontal="center" vertical="center"/>
    </xf>
    <xf numFmtId="0" fontId="91" fillId="0" borderId="11" xfId="10" applyFont="1" applyBorder="1" applyAlignment="1">
      <alignment horizontal="center" vertical="center"/>
    </xf>
    <xf numFmtId="0" fontId="91" fillId="6" borderId="0" xfId="10" applyFont="1" applyFill="1" applyAlignment="1">
      <alignment horizontal="center" vertical="center"/>
    </xf>
    <xf numFmtId="0" fontId="105" fillId="0" borderId="7" xfId="10" applyFont="1" applyBorder="1" applyAlignment="1">
      <alignment horizontal="center" vertical="center" wrapText="1"/>
    </xf>
    <xf numFmtId="0" fontId="91" fillId="0" borderId="32" xfId="10" applyFont="1" applyBorder="1" applyAlignment="1">
      <alignment vertical="center"/>
    </xf>
    <xf numFmtId="0" fontId="91" fillId="20" borderId="8" xfId="10" applyFont="1" applyFill="1" applyBorder="1" applyAlignment="1">
      <alignment horizontal="center" vertical="center"/>
    </xf>
    <xf numFmtId="16" fontId="91" fillId="6" borderId="8" xfId="10" applyNumberFormat="1" applyFont="1" applyFill="1" applyBorder="1" applyAlignment="1">
      <alignment horizontal="center" vertical="center"/>
    </xf>
    <xf numFmtId="0" fontId="91" fillId="5" borderId="0" xfId="10" applyFont="1" applyFill="1" applyAlignment="1">
      <alignment horizontal="center" vertical="center"/>
    </xf>
    <xf numFmtId="0" fontId="91" fillId="0" borderId="11" xfId="10" applyFont="1" applyBorder="1" applyAlignment="1">
      <alignment vertical="center"/>
    </xf>
    <xf numFmtId="0" fontId="91" fillId="0" borderId="12" xfId="10" applyFont="1" applyBorder="1" applyAlignment="1">
      <alignment vertical="center"/>
    </xf>
    <xf numFmtId="0" fontId="91" fillId="0" borderId="15" xfId="10" applyFont="1" applyBorder="1" applyAlignment="1">
      <alignment vertical="center"/>
    </xf>
    <xf numFmtId="16" fontId="91" fillId="6" borderId="0" xfId="10" applyNumberFormat="1" applyFont="1" applyFill="1" applyAlignment="1">
      <alignment vertical="center"/>
    </xf>
    <xf numFmtId="0" fontId="91" fillId="2" borderId="0" xfId="10" applyFont="1" applyFill="1" applyAlignment="1">
      <alignment vertical="center"/>
    </xf>
    <xf numFmtId="0" fontId="91" fillId="0" borderId="15" xfId="10" applyFont="1" applyBorder="1" applyAlignment="1">
      <alignment horizontal="center" vertical="center"/>
    </xf>
    <xf numFmtId="0" fontId="106" fillId="0" borderId="0" xfId="10" applyFont="1" applyAlignment="1">
      <alignment vertical="center"/>
    </xf>
    <xf numFmtId="168" fontId="91" fillId="0" borderId="15" xfId="10" applyNumberFormat="1" applyFont="1" applyBorder="1" applyAlignment="1">
      <alignment horizontal="center" vertical="center"/>
    </xf>
    <xf numFmtId="0" fontId="91" fillId="2" borderId="7" xfId="10" applyFont="1" applyFill="1" applyBorder="1" applyAlignment="1">
      <alignment horizontal="center" vertical="center"/>
    </xf>
    <xf numFmtId="0" fontId="109" fillId="2" borderId="0" xfId="10" applyFont="1" applyFill="1" applyAlignment="1">
      <alignment vertical="center"/>
    </xf>
    <xf numFmtId="0" fontId="109" fillId="0" borderId="0" xfId="10" applyFont="1" applyAlignment="1">
      <alignment vertical="center"/>
    </xf>
    <xf numFmtId="17" fontId="91" fillId="6" borderId="7" xfId="10" applyNumberFormat="1" applyFont="1" applyFill="1" applyBorder="1" applyAlignment="1">
      <alignment horizontal="center" vertical="center"/>
    </xf>
    <xf numFmtId="0" fontId="91" fillId="21" borderId="8" xfId="0" applyFont="1" applyFill="1" applyBorder="1" applyAlignment="1">
      <alignment horizontal="center" vertical="center"/>
    </xf>
    <xf numFmtId="0" fontId="91" fillId="0" borderId="8" xfId="0" applyFont="1" applyBorder="1" applyAlignment="1">
      <alignment horizontal="center" vertical="center"/>
    </xf>
    <xf numFmtId="0" fontId="88" fillId="0" borderId="8" xfId="10" applyFont="1" applyBorder="1" applyAlignment="1">
      <alignment horizontal="center" vertical="center"/>
    </xf>
    <xf numFmtId="0" fontId="110" fillId="22" borderId="8" xfId="0" applyFont="1" applyFill="1" applyBorder="1" applyAlignment="1">
      <alignment horizontal="center" vertical="center"/>
    </xf>
    <xf numFmtId="0" fontId="95" fillId="0" borderId="8" xfId="10" applyFont="1" applyBorder="1" applyAlignment="1">
      <alignment horizontal="center" vertical="center"/>
    </xf>
    <xf numFmtId="168" fontId="95" fillId="0" borderId="8" xfId="10" applyNumberFormat="1" applyFont="1" applyBorder="1" applyAlignment="1">
      <alignment horizontal="center" vertical="center"/>
    </xf>
    <xf numFmtId="168" fontId="95" fillId="0" borderId="0" xfId="10" applyNumberFormat="1" applyFont="1" applyAlignment="1">
      <alignment horizontal="center" vertical="center"/>
    </xf>
    <xf numFmtId="0" fontId="109" fillId="0" borderId="0" xfId="10" applyFont="1" applyAlignment="1">
      <alignment horizontal="center" vertical="center"/>
    </xf>
    <xf numFmtId="0" fontId="106" fillId="0" borderId="0" xfId="10" applyFont="1" applyAlignment="1">
      <alignment vertical="center" wrapText="1"/>
    </xf>
    <xf numFmtId="0" fontId="105" fillId="0" borderId="0" xfId="10" applyFont="1" applyAlignment="1">
      <alignment horizontal="center" vertical="center" wrapText="1"/>
    </xf>
    <xf numFmtId="0" fontId="92" fillId="5" borderId="8" xfId="0" applyFont="1" applyFill="1" applyBorder="1" applyAlignment="1">
      <alignment horizontal="center" vertical="center"/>
    </xf>
    <xf numFmtId="0" fontId="88" fillId="5" borderId="8" xfId="10" applyFont="1" applyFill="1" applyBorder="1" applyAlignment="1">
      <alignment horizontal="center" vertical="center"/>
    </xf>
    <xf numFmtId="0" fontId="89" fillId="2" borderId="8" xfId="0" applyFont="1" applyFill="1" applyBorder="1" applyAlignment="1">
      <alignment horizontal="center" vertical="center"/>
    </xf>
    <xf numFmtId="0" fontId="89" fillId="5" borderId="8" xfId="0" applyFont="1" applyFill="1" applyBorder="1" applyAlignment="1">
      <alignment horizontal="center" vertical="center"/>
    </xf>
    <xf numFmtId="0" fontId="85" fillId="2" borderId="8" xfId="0" applyFont="1" applyFill="1" applyBorder="1" applyAlignment="1">
      <alignment horizontal="center"/>
    </xf>
    <xf numFmtId="49" fontId="111" fillId="19" borderId="16" xfId="0" applyNumberFormat="1" applyFont="1" applyFill="1" applyBorder="1" applyAlignment="1">
      <alignment horizontal="center" vertical="center" wrapText="1"/>
    </xf>
    <xf numFmtId="1" fontId="111" fillId="19" borderId="16" xfId="0" applyNumberFormat="1" applyFont="1" applyFill="1" applyBorder="1" applyAlignment="1">
      <alignment horizontal="center" vertical="center" wrapText="1"/>
    </xf>
    <xf numFmtId="49" fontId="111" fillId="10" borderId="3" xfId="0" applyNumberFormat="1" applyFont="1" applyFill="1" applyBorder="1" applyAlignment="1">
      <alignment vertical="center" wrapText="1"/>
    </xf>
    <xf numFmtId="49" fontId="111" fillId="10" borderId="0" xfId="0" applyNumberFormat="1" applyFont="1" applyFill="1" applyAlignment="1">
      <alignment vertical="center" wrapText="1"/>
    </xf>
    <xf numFmtId="0" fontId="111" fillId="10" borderId="0" xfId="0" applyFont="1" applyFill="1" applyAlignment="1">
      <alignment horizontal="center" vertical="center" wrapText="1"/>
    </xf>
    <xf numFmtId="49" fontId="11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3" fillId="6" borderId="8" xfId="0" applyNumberFormat="1" applyFont="1" applyFill="1" applyBorder="1" applyAlignment="1">
      <alignment horizontal="center" vertical="center" wrapText="1"/>
    </xf>
    <xf numFmtId="0" fontId="114" fillId="6" borderId="8" xfId="0" applyFont="1" applyFill="1" applyBorder="1" applyAlignment="1">
      <alignment horizontal="center" vertical="center" wrapText="1"/>
    </xf>
    <xf numFmtId="49" fontId="114" fillId="9" borderId="8" xfId="0" applyNumberFormat="1" applyFont="1" applyFill="1" applyBorder="1" applyAlignment="1">
      <alignment horizontal="center" vertical="center" wrapText="1"/>
    </xf>
    <xf numFmtId="49" fontId="113" fillId="0" borderId="8" xfId="0" applyNumberFormat="1" applyFont="1" applyBorder="1" applyAlignment="1">
      <alignment horizontal="center" vertical="center" wrapText="1"/>
    </xf>
    <xf numFmtId="2" fontId="114" fillId="0" borderId="8" xfId="0" applyNumberFormat="1" applyFont="1" applyBorder="1" applyAlignment="1">
      <alignment horizontal="center" vertical="center" wrapText="1"/>
    </xf>
    <xf numFmtId="0" fontId="114" fillId="0" borderId="8" xfId="0" applyFont="1" applyBorder="1" applyAlignment="1">
      <alignment horizontal="center" vertical="center" wrapText="1"/>
    </xf>
    <xf numFmtId="2" fontId="113" fillId="6" borderId="8" xfId="0" applyNumberFormat="1" applyFont="1" applyFill="1" applyBorder="1" applyAlignment="1">
      <alignment horizontal="center" vertical="center" wrapText="1"/>
    </xf>
    <xf numFmtId="2" fontId="113" fillId="9" borderId="8" xfId="0" applyNumberFormat="1" applyFont="1" applyFill="1" applyBorder="1" applyAlignment="1">
      <alignment horizontal="center" vertical="center" wrapText="1"/>
    </xf>
    <xf numFmtId="2" fontId="113" fillId="0" borderId="8" xfId="0" applyNumberFormat="1" applyFont="1" applyBorder="1" applyAlignment="1">
      <alignment horizontal="center" vertical="center" wrapText="1"/>
    </xf>
    <xf numFmtId="49" fontId="114" fillId="0" borderId="8" xfId="0" applyNumberFormat="1" applyFont="1" applyBorder="1" applyAlignment="1">
      <alignment horizontal="center" vertical="center" wrapText="1"/>
    </xf>
    <xf numFmtId="0" fontId="115" fillId="6" borderId="8" xfId="0" applyFont="1" applyFill="1" applyBorder="1" applyAlignment="1">
      <alignment horizontal="center" vertical="center"/>
    </xf>
    <xf numFmtId="0" fontId="115" fillId="9" borderId="8" xfId="0" applyFont="1" applyFill="1" applyBorder="1" applyAlignment="1">
      <alignment horizontal="center" vertical="center"/>
    </xf>
    <xf numFmtId="2" fontId="114" fillId="6" borderId="8" xfId="0" applyNumberFormat="1" applyFont="1" applyFill="1" applyBorder="1" applyAlignment="1">
      <alignment horizontal="center" vertical="center" wrapText="1"/>
    </xf>
    <xf numFmtId="0" fontId="113" fillId="9" borderId="8" xfId="0" applyFont="1" applyFill="1" applyBorder="1" applyAlignment="1">
      <alignment horizontal="center" vertical="center"/>
    </xf>
    <xf numFmtId="0" fontId="113" fillId="0" borderId="8" xfId="0" applyFont="1" applyBorder="1" applyAlignment="1">
      <alignment horizontal="center" vertical="center"/>
    </xf>
    <xf numFmtId="49" fontId="111" fillId="19" borderId="26" xfId="0" applyNumberFormat="1" applyFont="1" applyFill="1" applyBorder="1" applyAlignment="1">
      <alignment horizontal="center" vertical="center" wrapText="1"/>
    </xf>
    <xf numFmtId="49" fontId="111" fillId="10" borderId="17" xfId="0" applyNumberFormat="1" applyFont="1" applyFill="1" applyBorder="1" applyAlignment="1">
      <alignment vertical="center" wrapText="1"/>
    </xf>
    <xf numFmtId="166" fontId="94" fillId="10" borderId="0" xfId="0" applyNumberFormat="1" applyFont="1" applyFill="1" applyAlignment="1">
      <alignment horizontal="center" vertical="center"/>
    </xf>
    <xf numFmtId="49" fontId="111" fillId="10" borderId="44" xfId="0" applyNumberFormat="1" applyFont="1" applyFill="1" applyBorder="1" applyAlignment="1">
      <alignment horizontal="center" vertical="center" wrapText="1"/>
    </xf>
    <xf numFmtId="49" fontId="111" fillId="10" borderId="33" xfId="0" applyNumberFormat="1" applyFont="1" applyFill="1" applyBorder="1" applyAlignment="1">
      <alignment vertical="center" wrapText="1"/>
    </xf>
    <xf numFmtId="0" fontId="111" fillId="10" borderId="33" xfId="0" applyFont="1" applyFill="1" applyBorder="1" applyAlignment="1">
      <alignment horizontal="center" vertical="center" wrapText="1"/>
    </xf>
    <xf numFmtId="166" fontId="112" fillId="9" borderId="8" xfId="0" applyNumberFormat="1" applyFont="1" applyFill="1" applyBorder="1" applyAlignment="1">
      <alignment horizontal="center" vertical="center"/>
    </xf>
    <xf numFmtId="49" fontId="113" fillId="9" borderId="33" xfId="0" applyNumberFormat="1" applyFont="1" applyFill="1" applyBorder="1" applyAlignment="1">
      <alignment horizontal="center" vertical="center" wrapText="1"/>
    </xf>
    <xf numFmtId="166" fontId="116" fillId="6" borderId="8" xfId="0" applyNumberFormat="1" applyFont="1" applyFill="1" applyBorder="1" applyAlignment="1">
      <alignment horizontal="center" vertical="center"/>
    </xf>
    <xf numFmtId="166" fontId="112" fillId="0" borderId="8" xfId="0" applyNumberFormat="1" applyFont="1" applyBorder="1" applyAlignment="1">
      <alignment horizontal="center" vertical="center"/>
    </xf>
    <xf numFmtId="49" fontId="113" fillId="0" borderId="33" xfId="0" applyNumberFormat="1" applyFont="1" applyBorder="1" applyAlignment="1">
      <alignment horizontal="center" vertical="center" wrapText="1"/>
    </xf>
    <xf numFmtId="166" fontId="116" fillId="9" borderId="8" xfId="0" applyNumberFormat="1" applyFont="1" applyFill="1" applyBorder="1" applyAlignment="1">
      <alignment horizontal="center" vertical="center"/>
    </xf>
    <xf numFmtId="166" fontId="116" fillId="0" borderId="8" xfId="0" applyNumberFormat="1" applyFont="1" applyBorder="1" applyAlignment="1">
      <alignment horizontal="center" vertical="center"/>
    </xf>
    <xf numFmtId="0" fontId="94" fillId="6" borderId="8" xfId="0" applyFont="1" applyFill="1" applyBorder="1" applyAlignment="1">
      <alignment horizontal="center" vertical="center"/>
    </xf>
    <xf numFmtId="166" fontId="94" fillId="6" borderId="8" xfId="0" applyNumberFormat="1" applyFont="1" applyFill="1" applyBorder="1" applyAlignment="1">
      <alignment horizontal="center" vertical="center"/>
    </xf>
    <xf numFmtId="166" fontId="112" fillId="6" borderId="8" xfId="0" applyNumberFormat="1" applyFont="1" applyFill="1" applyBorder="1" applyAlignment="1">
      <alignment horizontal="center" vertical="center"/>
    </xf>
    <xf numFmtId="0" fontId="112" fillId="6" borderId="8" xfId="0" applyFont="1" applyFill="1" applyBorder="1" applyAlignment="1">
      <alignment horizontal="center" vertical="center"/>
    </xf>
    <xf numFmtId="2" fontId="112" fillId="6" borderId="8" xfId="0" applyNumberFormat="1" applyFont="1" applyFill="1" applyBorder="1" applyAlignment="1">
      <alignment horizontal="center" vertical="center"/>
    </xf>
    <xf numFmtId="0" fontId="116" fillId="6" borderId="8" xfId="0" applyFont="1" applyFill="1" applyBorder="1" applyAlignment="1">
      <alignment horizontal="center" vertical="center"/>
    </xf>
    <xf numFmtId="0" fontId="112" fillId="0" borderId="8" xfId="0" applyFont="1" applyBorder="1" applyAlignment="1">
      <alignment horizontal="center" vertical="center"/>
    </xf>
    <xf numFmtId="0" fontId="112" fillId="9" borderId="8" xfId="0" applyFont="1" applyFill="1" applyBorder="1" applyAlignment="1">
      <alignment horizontal="center" vertical="center"/>
    </xf>
    <xf numFmtId="2" fontId="112" fillId="9" borderId="8" xfId="0" applyNumberFormat="1" applyFont="1" applyFill="1" applyBorder="1" applyAlignment="1">
      <alignment horizontal="center" vertical="center"/>
    </xf>
    <xf numFmtId="0" fontId="116" fillId="9" borderId="8" xfId="0" applyFont="1" applyFill="1" applyBorder="1" applyAlignment="1">
      <alignment horizontal="center" vertical="center"/>
    </xf>
    <xf numFmtId="2" fontId="116" fillId="6" borderId="8" xfId="0" applyNumberFormat="1" applyFont="1" applyFill="1" applyBorder="1" applyAlignment="1">
      <alignment horizontal="center" vertical="center"/>
    </xf>
    <xf numFmtId="0" fontId="112" fillId="4" borderId="8" xfId="0" applyFont="1" applyFill="1" applyBorder="1" applyAlignment="1">
      <alignment horizontal="center" vertical="center"/>
    </xf>
    <xf numFmtId="2" fontId="112" fillId="4" borderId="8" xfId="0" applyNumberFormat="1" applyFont="1" applyFill="1" applyBorder="1" applyAlignment="1">
      <alignment horizontal="center" vertical="center"/>
    </xf>
    <xf numFmtId="0" fontId="116" fillId="4" borderId="8" xfId="0" applyFont="1" applyFill="1" applyBorder="1" applyAlignment="1">
      <alignment horizontal="center" vertical="center"/>
    </xf>
    <xf numFmtId="0" fontId="112" fillId="0" borderId="33" xfId="0" applyFont="1" applyBorder="1" applyAlignment="1">
      <alignment horizontal="center" vertical="center"/>
    </xf>
    <xf numFmtId="2" fontId="113" fillId="9" borderId="33" xfId="0" applyNumberFormat="1" applyFont="1" applyFill="1" applyBorder="1" applyAlignment="1">
      <alignment horizontal="center" vertical="center" wrapText="1"/>
    </xf>
    <xf numFmtId="0" fontId="114" fillId="9" borderId="33" xfId="0" applyFont="1" applyFill="1" applyBorder="1" applyAlignment="1">
      <alignment horizontal="center" vertical="center" wrapText="1"/>
    </xf>
    <xf numFmtId="49" fontId="113" fillId="5" borderId="8" xfId="0" applyNumberFormat="1" applyFont="1" applyFill="1" applyBorder="1" applyAlignment="1">
      <alignment horizontal="center" vertical="center" wrapText="1"/>
    </xf>
    <xf numFmtId="2" fontId="113" fillId="5" borderId="8" xfId="0" applyNumberFormat="1" applyFont="1" applyFill="1" applyBorder="1" applyAlignment="1">
      <alignment horizontal="center" vertical="center" wrapText="1"/>
    </xf>
    <xf numFmtId="0" fontId="114" fillId="5" borderId="8" xfId="0" applyFont="1" applyFill="1" applyBorder="1" applyAlignment="1">
      <alignment horizontal="center" vertical="center" wrapText="1"/>
    </xf>
    <xf numFmtId="166" fontId="114" fillId="0" borderId="8" xfId="0" applyNumberFormat="1" applyFont="1" applyBorder="1" applyAlignment="1">
      <alignment horizontal="center" vertical="center" wrapText="1"/>
    </xf>
    <xf numFmtId="0" fontId="116" fillId="0" borderId="8" xfId="0" applyFont="1" applyBorder="1" applyAlignment="1">
      <alignment horizontal="center" vertical="center"/>
    </xf>
    <xf numFmtId="166" fontId="113" fillId="0" borderId="8" xfId="0" applyNumberFormat="1" applyFont="1" applyBorder="1" applyAlignment="1">
      <alignment horizontal="center" vertical="center" wrapText="1"/>
    </xf>
    <xf numFmtId="166" fontId="113" fillId="9" borderId="8" xfId="0" applyNumberFormat="1" applyFont="1" applyFill="1" applyBorder="1" applyAlignment="1">
      <alignment horizontal="center" vertical="center" wrapText="1"/>
    </xf>
    <xf numFmtId="0" fontId="114" fillId="9" borderId="8" xfId="0" applyFont="1" applyFill="1" applyBorder="1" applyAlignment="1">
      <alignment horizontal="center" vertical="center" wrapText="1"/>
    </xf>
    <xf numFmtId="2" fontId="114" fillId="9" borderId="8" xfId="0" applyNumberFormat="1" applyFont="1" applyFill="1" applyBorder="1" applyAlignment="1">
      <alignment horizontal="center" vertical="center" wrapText="1"/>
    </xf>
    <xf numFmtId="166" fontId="113" fillId="0" borderId="33" xfId="0" applyNumberFormat="1" applyFont="1" applyBorder="1" applyAlignment="1">
      <alignment horizontal="center" vertical="center" wrapText="1"/>
    </xf>
    <xf numFmtId="2" fontId="114" fillId="0" borderId="33" xfId="0" applyNumberFormat="1" applyFont="1" applyBorder="1" applyAlignment="1">
      <alignment horizontal="center" vertical="center" wrapText="1"/>
    </xf>
    <xf numFmtId="0" fontId="114" fillId="0" borderId="33" xfId="0" applyFont="1" applyBorder="1" applyAlignment="1">
      <alignment horizontal="center" vertical="center" wrapText="1"/>
    </xf>
    <xf numFmtId="0" fontId="113" fillId="5" borderId="8" xfId="0" applyFont="1" applyFill="1" applyBorder="1" applyAlignment="1">
      <alignment horizontal="center" vertical="center"/>
    </xf>
    <xf numFmtId="166" fontId="113" fillId="5" borderId="33" xfId="0" applyNumberFormat="1" applyFont="1" applyFill="1" applyBorder="1" applyAlignment="1">
      <alignment horizontal="center" vertical="center" wrapText="1"/>
    </xf>
    <xf numFmtId="2" fontId="113" fillId="5" borderId="33" xfId="0" applyNumberFormat="1" applyFont="1" applyFill="1" applyBorder="1" applyAlignment="1">
      <alignment horizontal="center" vertical="center" wrapText="1"/>
    </xf>
    <xf numFmtId="0" fontId="114" fillId="5" borderId="33" xfId="0" applyFont="1" applyFill="1" applyBorder="1" applyAlignment="1">
      <alignment horizontal="center" vertical="center" wrapText="1"/>
    </xf>
    <xf numFmtId="2" fontId="113" fillId="0" borderId="33" xfId="0" applyNumberFormat="1" applyFont="1" applyBorder="1" applyAlignment="1">
      <alignment horizontal="center" vertical="center" wrapText="1"/>
    </xf>
    <xf numFmtId="49" fontId="114" fillId="6" borderId="8" xfId="0" applyNumberFormat="1" applyFont="1" applyFill="1" applyBorder="1" applyAlignment="1">
      <alignment horizontal="center" vertical="center" wrapText="1"/>
    </xf>
    <xf numFmtId="166" fontId="116" fillId="4" borderId="8" xfId="0" applyNumberFormat="1" applyFont="1" applyFill="1" applyBorder="1" applyAlignment="1">
      <alignment horizontal="center" vertical="center"/>
    </xf>
    <xf numFmtId="49" fontId="113" fillId="4" borderId="8" xfId="0" applyNumberFormat="1" applyFont="1" applyFill="1" applyBorder="1" applyAlignment="1">
      <alignment horizontal="center" vertical="center" wrapText="1"/>
    </xf>
    <xf numFmtId="166" fontId="112" fillId="4" borderId="8" xfId="0" applyNumberFormat="1" applyFont="1" applyFill="1" applyBorder="1" applyAlignment="1">
      <alignment horizontal="center" vertical="center"/>
    </xf>
    <xf numFmtId="166" fontId="116" fillId="9" borderId="33" xfId="0" applyNumberFormat="1" applyFont="1" applyFill="1" applyBorder="1" applyAlignment="1">
      <alignment horizontal="center" vertical="center"/>
    </xf>
    <xf numFmtId="169" fontId="113" fillId="9" borderId="33" xfId="0" applyNumberFormat="1" applyFont="1" applyFill="1" applyBorder="1" applyAlignment="1">
      <alignment horizontal="center" vertical="center" wrapText="1"/>
    </xf>
    <xf numFmtId="14" fontId="113" fillId="9" borderId="33" xfId="0" applyNumberFormat="1" applyFont="1" applyFill="1" applyBorder="1" applyAlignment="1">
      <alignment horizontal="center" vertical="center" wrapText="1"/>
    </xf>
    <xf numFmtId="166" fontId="116" fillId="5" borderId="8" xfId="0" applyNumberFormat="1" applyFont="1" applyFill="1" applyBorder="1" applyAlignment="1">
      <alignment horizontal="center" vertical="center"/>
    </xf>
    <xf numFmtId="169" fontId="113" fillId="5" borderId="8" xfId="0" applyNumberFormat="1" applyFont="1" applyFill="1" applyBorder="1" applyAlignment="1">
      <alignment horizontal="center" vertical="center" wrapText="1"/>
    </xf>
    <xf numFmtId="169" fontId="113" fillId="0" borderId="8" xfId="0" applyNumberFormat="1" applyFont="1" applyBorder="1" applyAlignment="1">
      <alignment horizontal="center" vertical="center" wrapText="1"/>
    </xf>
    <xf numFmtId="169" fontId="113" fillId="9" borderId="8" xfId="0" applyNumberFormat="1" applyFont="1" applyFill="1" applyBorder="1" applyAlignment="1">
      <alignment horizontal="center" vertical="center" wrapText="1"/>
    </xf>
    <xf numFmtId="166" fontId="116" fillId="0" borderId="33" xfId="0" applyNumberFormat="1" applyFont="1" applyBorder="1" applyAlignment="1">
      <alignment horizontal="center" vertical="center"/>
    </xf>
    <xf numFmtId="169" fontId="113" fillId="0" borderId="33" xfId="0" applyNumberFormat="1" applyFont="1" applyBorder="1" applyAlignment="1">
      <alignment horizontal="center" vertical="center" wrapText="1"/>
    </xf>
    <xf numFmtId="166" fontId="116" fillId="5" borderId="33" xfId="0" applyNumberFormat="1" applyFont="1" applyFill="1" applyBorder="1" applyAlignment="1">
      <alignment horizontal="center" vertical="center"/>
    </xf>
    <xf numFmtId="49" fontId="113" fillId="5" borderId="33" xfId="0" applyNumberFormat="1" applyFont="1" applyFill="1" applyBorder="1" applyAlignment="1">
      <alignment horizontal="center" vertical="center" wrapText="1"/>
    </xf>
    <xf numFmtId="169" fontId="113" fillId="5" borderId="33" xfId="0" applyNumberFormat="1" applyFont="1" applyFill="1" applyBorder="1" applyAlignment="1">
      <alignment horizontal="center" vertical="center" wrapText="1"/>
    </xf>
    <xf numFmtId="166" fontId="113" fillId="9" borderId="33" xfId="0" applyNumberFormat="1" applyFont="1" applyFill="1" applyBorder="1" applyAlignment="1">
      <alignment horizontal="center" vertical="center" wrapText="1"/>
    </xf>
    <xf numFmtId="49" fontId="113" fillId="6" borderId="33" xfId="0" applyNumberFormat="1" applyFont="1" applyFill="1" applyBorder="1" applyAlignment="1">
      <alignment horizontal="center" vertical="center" wrapText="1"/>
    </xf>
    <xf numFmtId="166" fontId="114" fillId="0" borderId="33" xfId="0" applyNumberFormat="1" applyFont="1" applyBorder="1" applyAlignment="1">
      <alignment horizontal="center" vertical="center" wrapText="1"/>
    </xf>
    <xf numFmtId="0" fontId="112" fillId="9" borderId="33" xfId="0" applyFont="1" applyFill="1" applyBorder="1" applyAlignment="1">
      <alignment horizontal="center" vertical="center"/>
    </xf>
    <xf numFmtId="0" fontId="113" fillId="9" borderId="33" xfId="0" applyFont="1" applyFill="1" applyBorder="1" applyAlignment="1">
      <alignment horizontal="center" vertical="center"/>
    </xf>
    <xf numFmtId="166" fontId="112" fillId="9" borderId="33" xfId="0" applyNumberFormat="1" applyFont="1" applyFill="1" applyBorder="1" applyAlignment="1">
      <alignment horizontal="center" vertical="center"/>
    </xf>
    <xf numFmtId="2" fontId="112" fillId="9" borderId="33" xfId="0" applyNumberFormat="1" applyFont="1" applyFill="1" applyBorder="1" applyAlignment="1">
      <alignment horizontal="center" vertical="center"/>
    </xf>
    <xf numFmtId="0" fontId="116" fillId="9" borderId="33" xfId="0" applyFont="1" applyFill="1" applyBorder="1" applyAlignment="1">
      <alignment horizontal="center" vertical="center"/>
    </xf>
    <xf numFmtId="2" fontId="112" fillId="0" borderId="8" xfId="0" applyNumberFormat="1" applyFont="1" applyBorder="1" applyAlignment="1">
      <alignment horizontal="center" vertical="center"/>
    </xf>
    <xf numFmtId="0" fontId="112" fillId="5" borderId="8" xfId="0" applyFont="1" applyFill="1" applyBorder="1" applyAlignment="1">
      <alignment horizontal="center" vertical="center"/>
    </xf>
    <xf numFmtId="166" fontId="112" fillId="5" borderId="8" xfId="0" applyNumberFormat="1" applyFont="1" applyFill="1" applyBorder="1" applyAlignment="1">
      <alignment horizontal="center" vertical="center"/>
    </xf>
    <xf numFmtId="2" fontId="112" fillId="5" borderId="8" xfId="0" applyNumberFormat="1" applyFont="1" applyFill="1" applyBorder="1" applyAlignment="1">
      <alignment horizontal="center" vertical="center"/>
    </xf>
    <xf numFmtId="0" fontId="116" fillId="5" borderId="8" xfId="0" applyFont="1" applyFill="1" applyBorder="1" applyAlignment="1">
      <alignment horizontal="center" vertical="center"/>
    </xf>
    <xf numFmtId="2" fontId="116" fillId="5" borderId="8" xfId="0" applyNumberFormat="1" applyFont="1" applyFill="1" applyBorder="1" applyAlignment="1">
      <alignment horizontal="center" vertical="center"/>
    </xf>
    <xf numFmtId="0" fontId="94" fillId="9" borderId="19" xfId="0" applyFont="1" applyFill="1" applyBorder="1" applyAlignment="1">
      <alignment horizontal="center" vertical="center"/>
    </xf>
    <xf numFmtId="49" fontId="113" fillId="11" borderId="33" xfId="0" applyNumberFormat="1" applyFont="1" applyFill="1" applyBorder="1" applyAlignment="1">
      <alignment horizontal="center" vertical="center" wrapText="1"/>
    </xf>
    <xf numFmtId="169" fontId="112" fillId="0" borderId="8" xfId="0" applyNumberFormat="1" applyFont="1" applyBorder="1" applyAlignment="1">
      <alignment horizontal="center" vertical="center"/>
    </xf>
    <xf numFmtId="14" fontId="112" fillId="0" borderId="33" xfId="0" applyNumberFormat="1" applyFont="1" applyBorder="1" applyAlignment="1">
      <alignment horizontal="center" vertical="center"/>
    </xf>
    <xf numFmtId="166" fontId="114" fillId="0" borderId="8" xfId="0" applyNumberFormat="1" applyFont="1" applyBorder="1" applyAlignment="1">
      <alignment horizontal="center" vertical="center"/>
    </xf>
    <xf numFmtId="166" fontId="114" fillId="5" borderId="8" xfId="0" applyNumberFormat="1" applyFont="1" applyFill="1" applyBorder="1" applyAlignment="1">
      <alignment horizontal="center" vertical="center"/>
    </xf>
    <xf numFmtId="169" fontId="112" fillId="5" borderId="8" xfId="0" applyNumberFormat="1" applyFont="1" applyFill="1" applyBorder="1" applyAlignment="1">
      <alignment horizontal="center" vertical="center"/>
    </xf>
    <xf numFmtId="14" fontId="112" fillId="5" borderId="33" xfId="0" applyNumberFormat="1" applyFont="1" applyFill="1" applyBorder="1" applyAlignment="1">
      <alignment horizontal="center" vertical="center"/>
    </xf>
    <xf numFmtId="166" fontId="94" fillId="9" borderId="19" xfId="0" applyNumberFormat="1" applyFont="1" applyFill="1" applyBorder="1" applyAlignment="1">
      <alignment horizontal="center" vertical="center"/>
    </xf>
    <xf numFmtId="166" fontId="94" fillId="9" borderId="8" xfId="0" applyNumberFormat="1" applyFont="1" applyFill="1" applyBorder="1" applyAlignment="1">
      <alignment horizontal="center" vertical="center"/>
    </xf>
    <xf numFmtId="0" fontId="112" fillId="9" borderId="15" xfId="0" applyFont="1" applyFill="1" applyBorder="1" applyAlignment="1">
      <alignment horizontal="center" vertical="center"/>
    </xf>
    <xf numFmtId="169" fontId="112" fillId="9" borderId="8" xfId="0" applyNumberFormat="1" applyFont="1" applyFill="1" applyBorder="1" applyAlignment="1">
      <alignment horizontal="center" vertical="center"/>
    </xf>
    <xf numFmtId="14" fontId="112" fillId="5" borderId="8" xfId="0" applyNumberFormat="1" applyFont="1" applyFill="1" applyBorder="1" applyAlignment="1">
      <alignment horizontal="center" vertical="center"/>
    </xf>
    <xf numFmtId="0" fontId="112" fillId="5" borderId="33" xfId="0" applyFont="1" applyFill="1" applyBorder="1" applyAlignment="1">
      <alignment horizontal="center" vertical="center"/>
    </xf>
    <xf numFmtId="49" fontId="111" fillId="19" borderId="7" xfId="0" applyNumberFormat="1" applyFont="1" applyFill="1" applyBorder="1" applyAlignment="1">
      <alignment horizontal="center" vertical="center" wrapText="1"/>
    </xf>
    <xf numFmtId="1" fontId="111" fillId="19" borderId="7" xfId="0" applyNumberFormat="1" applyFont="1" applyFill="1" applyBorder="1" applyAlignment="1">
      <alignment horizontal="center" vertical="center" wrapText="1"/>
    </xf>
    <xf numFmtId="49" fontId="111" fillId="10" borderId="8" xfId="0" applyNumberFormat="1" applyFont="1" applyFill="1" applyBorder="1" applyAlignment="1">
      <alignment vertical="center" wrapText="1"/>
    </xf>
    <xf numFmtId="0" fontId="111" fillId="10" borderId="8" xfId="0" applyFont="1" applyFill="1" applyBorder="1" applyAlignment="1">
      <alignment horizontal="center" vertical="center" wrapText="1"/>
    </xf>
    <xf numFmtId="0" fontId="113" fillId="0" borderId="33" xfId="0" applyFont="1" applyBorder="1" applyAlignment="1">
      <alignment horizontal="center" vertical="center" wrapText="1"/>
    </xf>
    <xf numFmtId="1" fontId="113" fillId="9" borderId="33" xfId="0" applyNumberFormat="1" applyFont="1" applyFill="1" applyBorder="1" applyAlignment="1">
      <alignment horizontal="center" vertical="center" wrapText="1"/>
    </xf>
    <xf numFmtId="1" fontId="113" fillId="0" borderId="8" xfId="0" applyNumberFormat="1" applyFont="1" applyBorder="1" applyAlignment="1">
      <alignment horizontal="center" vertical="center" wrapText="1"/>
    </xf>
    <xf numFmtId="0" fontId="113" fillId="0" borderId="8" xfId="0" applyFont="1" applyBorder="1" applyAlignment="1">
      <alignment horizontal="center" vertical="center" wrapText="1"/>
    </xf>
    <xf numFmtId="1" fontId="114" fillId="9" borderId="8" xfId="0" applyNumberFormat="1" applyFont="1" applyFill="1" applyBorder="1" applyAlignment="1">
      <alignment horizontal="center" vertical="center" wrapText="1"/>
    </xf>
    <xf numFmtId="1" fontId="114" fillId="6" borderId="8" xfId="0" applyNumberFormat="1" applyFont="1" applyFill="1" applyBorder="1" applyAlignment="1">
      <alignment horizontal="center" vertical="center" wrapText="1"/>
    </xf>
    <xf numFmtId="1" fontId="114" fillId="0" borderId="8" xfId="0" applyNumberFormat="1" applyFont="1" applyBorder="1" applyAlignment="1">
      <alignment horizontal="center" vertical="center" wrapText="1"/>
    </xf>
    <xf numFmtId="49" fontId="112" fillId="0" borderId="33" xfId="0" applyNumberFormat="1" applyFont="1" applyBorder="1" applyAlignment="1">
      <alignment horizontal="center" vertical="center"/>
    </xf>
    <xf numFmtId="2" fontId="114" fillId="9" borderId="33" xfId="0" applyNumberFormat="1" applyFont="1" applyFill="1" applyBorder="1" applyAlignment="1">
      <alignment horizontal="center" vertical="center" wrapText="1"/>
    </xf>
    <xf numFmtId="1" fontId="114" fillId="9" borderId="33" xfId="0" applyNumberFormat="1" applyFont="1" applyFill="1" applyBorder="1" applyAlignment="1">
      <alignment horizontal="center" vertical="center" wrapText="1"/>
    </xf>
    <xf numFmtId="166" fontId="114" fillId="5" borderId="8" xfId="0" applyNumberFormat="1" applyFont="1" applyFill="1" applyBorder="1" applyAlignment="1">
      <alignment horizontal="center" vertical="center" wrapText="1"/>
    </xf>
    <xf numFmtId="49" fontId="111" fillId="19" borderId="13" xfId="0" applyNumberFormat="1" applyFont="1" applyFill="1" applyBorder="1" applyAlignment="1">
      <alignment horizontal="center" vertical="center" wrapText="1"/>
    </xf>
    <xf numFmtId="166" fontId="94" fillId="10" borderId="8" xfId="0" applyNumberFormat="1" applyFont="1" applyFill="1" applyBorder="1" applyAlignment="1">
      <alignment horizontal="center" vertical="center"/>
    </xf>
    <xf numFmtId="49" fontId="111" fillId="10" borderId="8" xfId="0" applyNumberFormat="1" applyFont="1" applyFill="1" applyBorder="1" applyAlignment="1">
      <alignment horizontal="center" vertical="center" wrapText="1"/>
    </xf>
    <xf numFmtId="49" fontId="114" fillId="5" borderId="8" xfId="0" applyNumberFormat="1" applyFont="1" applyFill="1" applyBorder="1" applyAlignment="1">
      <alignment horizontal="center" vertical="center" wrapText="1"/>
    </xf>
    <xf numFmtId="166" fontId="11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4" fillId="13" borderId="8" xfId="0" applyNumberFormat="1" applyFont="1" applyFill="1" applyBorder="1" applyAlignment="1">
      <alignment horizontal="center" vertical="center" wrapText="1"/>
    </xf>
    <xf numFmtId="2" fontId="114" fillId="5" borderId="8" xfId="0" applyNumberFormat="1" applyFont="1" applyFill="1" applyBorder="1" applyAlignment="1">
      <alignment horizontal="center" vertical="center" wrapText="1"/>
    </xf>
    <xf numFmtId="0" fontId="112" fillId="23" borderId="33" xfId="0" applyFont="1" applyFill="1" applyBorder="1" applyAlignment="1">
      <alignment horizontal="center" vertical="center"/>
    </xf>
    <xf numFmtId="49" fontId="113" fillId="11" borderId="8" xfId="0" applyNumberFormat="1" applyFont="1" applyFill="1" applyBorder="1" applyAlignment="1">
      <alignment horizontal="center" vertical="center" wrapText="1"/>
    </xf>
    <xf numFmtId="166" fontId="114" fillId="9" borderId="8" xfId="0" applyNumberFormat="1" applyFont="1" applyFill="1" applyBorder="1" applyAlignment="1">
      <alignment horizontal="center" vertical="center" wrapText="1"/>
    </xf>
    <xf numFmtId="14" fontId="113" fillId="5" borderId="33" xfId="0" applyNumberFormat="1" applyFont="1" applyFill="1" applyBorder="1" applyAlignment="1">
      <alignment horizontal="center" vertical="center" wrapText="1"/>
    </xf>
    <xf numFmtId="0" fontId="112" fillId="23" borderId="8" xfId="0" applyFont="1" applyFill="1" applyBorder="1" applyAlignment="1">
      <alignment horizontal="center" vertical="center"/>
    </xf>
    <xf numFmtId="0" fontId="119" fillId="0" borderId="8" xfId="0" applyFont="1" applyBorder="1" applyAlignment="1">
      <alignment horizontal="center" vertical="center" wrapText="1"/>
    </xf>
    <xf numFmtId="0" fontId="117" fillId="0" borderId="8" xfId="0" applyFont="1" applyBorder="1" applyAlignment="1">
      <alignment vertical="center" wrapText="1"/>
    </xf>
    <xf numFmtId="0" fontId="117" fillId="0" borderId="8" xfId="0" applyFont="1" applyBorder="1" applyAlignment="1">
      <alignment horizontal="center" vertical="center"/>
    </xf>
    <xf numFmtId="0" fontId="120" fillId="0" borderId="8" xfId="0" applyFont="1" applyBorder="1" applyAlignment="1">
      <alignment horizontal="left" vertical="center"/>
    </xf>
    <xf numFmtId="0" fontId="117" fillId="0" borderId="8" xfId="0" applyFont="1" applyBorder="1"/>
    <xf numFmtId="14" fontId="120" fillId="0" borderId="8" xfId="0" applyNumberFormat="1" applyFont="1" applyBorder="1" applyAlignment="1">
      <alignment horizontal="left" vertical="center"/>
    </xf>
    <xf numFmtId="166" fontId="117" fillId="0" borderId="8" xfId="0" applyNumberFormat="1" applyFont="1" applyBorder="1" applyAlignment="1">
      <alignment horizontal="center" vertical="center"/>
    </xf>
    <xf numFmtId="16" fontId="97" fillId="0" borderId="8" xfId="0" applyNumberFormat="1" applyFont="1" applyBorder="1" applyAlignment="1">
      <alignment horizontal="left" vertical="center"/>
    </xf>
    <xf numFmtId="0" fontId="92" fillId="0" borderId="8" xfId="2" applyFont="1" applyBorder="1" applyAlignment="1">
      <alignment horizontal="left" vertical="center"/>
    </xf>
    <xf numFmtId="14" fontId="97" fillId="0" borderId="8" xfId="0" applyNumberFormat="1" applyFont="1" applyBorder="1" applyAlignment="1">
      <alignment horizontal="left" vertical="center"/>
    </xf>
    <xf numFmtId="166" fontId="97" fillId="0" borderId="8" xfId="0" applyNumberFormat="1" applyFont="1" applyBorder="1" applyAlignment="1">
      <alignment horizontal="center" vertical="center"/>
    </xf>
    <xf numFmtId="0" fontId="118" fillId="0" borderId="15" xfId="0" applyFont="1" applyBorder="1" applyAlignment="1">
      <alignment horizontal="right" vertical="center"/>
    </xf>
    <xf numFmtId="166" fontId="121" fillId="0" borderId="8" xfId="0" applyNumberFormat="1" applyFont="1" applyBorder="1" applyAlignment="1">
      <alignment horizontal="center" vertical="center"/>
    </xf>
    <xf numFmtId="166" fontId="118" fillId="0" borderId="8" xfId="0" applyNumberFormat="1" applyFont="1" applyBorder="1" applyAlignment="1">
      <alignment horizontal="center" vertical="center"/>
    </xf>
    <xf numFmtId="0" fontId="117" fillId="0" borderId="8" xfId="0" applyFont="1" applyBorder="1" applyAlignment="1">
      <alignment horizontal="center" vertical="center" wrapText="1"/>
    </xf>
    <xf numFmtId="166" fontId="122" fillId="0" borderId="8" xfId="0" applyNumberFormat="1" applyFont="1" applyBorder="1" applyAlignment="1">
      <alignment horizontal="center" vertical="center"/>
    </xf>
    <xf numFmtId="166" fontId="123" fillId="0" borderId="8" xfId="0" applyNumberFormat="1" applyFont="1" applyBorder="1" applyAlignment="1">
      <alignment horizontal="center" vertical="center"/>
    </xf>
    <xf numFmtId="166" fontId="121" fillId="6" borderId="8" xfId="0" applyNumberFormat="1" applyFont="1" applyFill="1" applyBorder="1" applyAlignment="1">
      <alignment horizontal="center" vertical="center"/>
    </xf>
    <xf numFmtId="0" fontId="91" fillId="0" borderId="0" xfId="10" applyFont="1" applyAlignment="1">
      <alignment horizontal="center" vertical="center" wrapText="1"/>
    </xf>
    <xf numFmtId="14" fontId="91" fillId="0" borderId="0" xfId="10" applyNumberFormat="1" applyFont="1" applyAlignment="1">
      <alignment horizontal="center" vertical="center"/>
    </xf>
    <xf numFmtId="0" fontId="124" fillId="25" borderId="8" xfId="0" applyFont="1" applyFill="1" applyBorder="1" applyAlignment="1">
      <alignment horizontal="center" vertical="center" wrapText="1" readingOrder="1"/>
    </xf>
    <xf numFmtId="0" fontId="110" fillId="25" borderId="8" xfId="0" applyFont="1" applyFill="1" applyBorder="1" applyAlignment="1">
      <alignment horizontal="center" vertical="center" wrapText="1" readingOrder="1"/>
    </xf>
    <xf numFmtId="0" fontId="110" fillId="0" borderId="8" xfId="0" applyFont="1" applyBorder="1" applyAlignment="1">
      <alignment horizontal="center" vertical="center" wrapText="1" readingOrder="1"/>
    </xf>
    <xf numFmtId="16" fontId="110" fillId="0" borderId="8" xfId="0" applyNumberFormat="1" applyFont="1" applyBorder="1" applyAlignment="1">
      <alignment horizontal="center" vertical="center" wrapText="1" readingOrder="1"/>
    </xf>
    <xf numFmtId="0" fontId="110" fillId="5" borderId="8" xfId="0" applyFont="1" applyFill="1" applyBorder="1" applyAlignment="1">
      <alignment horizontal="center" vertical="center" wrapText="1" readingOrder="1"/>
    </xf>
    <xf numFmtId="0" fontId="110" fillId="5" borderId="7" xfId="0" applyFont="1" applyFill="1" applyBorder="1" applyAlignment="1">
      <alignment horizontal="center" vertical="center" wrapText="1" readingOrder="1"/>
    </xf>
    <xf numFmtId="0" fontId="125" fillId="26" borderId="0" xfId="0" applyFont="1" applyFill="1"/>
    <xf numFmtId="0" fontId="125" fillId="26" borderId="0" xfId="0" applyFont="1" applyFill="1" applyAlignment="1">
      <alignment vertical="center"/>
    </xf>
    <xf numFmtId="0" fontId="125" fillId="0" borderId="0" xfId="0" applyFont="1"/>
    <xf numFmtId="171" fontId="125" fillId="0" borderId="0" xfId="0" applyNumberFormat="1" applyFont="1"/>
    <xf numFmtId="0" fontId="125" fillId="2" borderId="0" xfId="0" applyFont="1" applyFill="1"/>
    <xf numFmtId="0" fontId="127" fillId="26" borderId="0" xfId="0" applyFont="1" applyFill="1"/>
    <xf numFmtId="0" fontId="128" fillId="26" borderId="0" xfId="0" applyFont="1" applyFill="1"/>
    <xf numFmtId="0" fontId="126" fillId="0" borderId="0" xfId="0" applyFont="1" applyAlignment="1">
      <alignment vertical="center"/>
    </xf>
    <xf numFmtId="15" fontId="131" fillId="0" borderId="8" xfId="0" applyNumberFormat="1" applyFont="1" applyBorder="1" applyAlignment="1">
      <alignment horizontal="center" vertical="center" wrapText="1"/>
    </xf>
    <xf numFmtId="0" fontId="129" fillId="28" borderId="34" xfId="0" applyFont="1" applyFill="1" applyBorder="1" applyAlignment="1">
      <alignment horizontal="center" vertical="center" wrapText="1"/>
    </xf>
    <xf numFmtId="0" fontId="129" fillId="28" borderId="46" xfId="0" applyFont="1" applyFill="1" applyBorder="1" applyAlignment="1">
      <alignment horizontal="center" vertical="center" wrapText="1"/>
    </xf>
    <xf numFmtId="0" fontId="129" fillId="28" borderId="66" xfId="0" applyFont="1" applyFill="1" applyBorder="1" applyAlignment="1">
      <alignment vertical="center" wrapText="1"/>
    </xf>
    <xf numFmtId="171" fontId="129" fillId="28" borderId="46" xfId="0" applyNumberFormat="1" applyFont="1" applyFill="1" applyBorder="1" applyAlignment="1">
      <alignment horizontal="center" vertical="center" wrapText="1"/>
    </xf>
    <xf numFmtId="0" fontId="132" fillId="2" borderId="30" xfId="0" applyFont="1" applyFill="1" applyBorder="1" applyAlignment="1">
      <alignment vertical="center" wrapText="1"/>
    </xf>
    <xf numFmtId="0" fontId="132" fillId="2" borderId="8" xfId="0" applyFont="1" applyFill="1" applyBorder="1" applyAlignment="1">
      <alignment horizontal="center" vertical="center" wrapText="1"/>
    </xf>
    <xf numFmtId="172" fontId="132" fillId="2" borderId="8" xfId="0" applyNumberFormat="1" applyFont="1" applyFill="1" applyBorder="1" applyAlignment="1">
      <alignment horizontal="center" vertical="center" wrapText="1"/>
    </xf>
    <xf numFmtId="172" fontId="133" fillId="2" borderId="8" xfId="0" applyNumberFormat="1" applyFont="1" applyFill="1" applyBorder="1" applyAlignment="1">
      <alignment horizontal="center" vertical="center" wrapText="1"/>
    </xf>
    <xf numFmtId="172" fontId="133" fillId="2" borderId="11" xfId="0" applyNumberFormat="1" applyFont="1" applyFill="1" applyBorder="1" applyAlignment="1">
      <alignment horizontal="center" vertical="center" wrapText="1"/>
    </xf>
    <xf numFmtId="1" fontId="133" fillId="2" borderId="8" xfId="0" applyNumberFormat="1" applyFont="1" applyFill="1" applyBorder="1" applyAlignment="1">
      <alignment horizontal="center" vertical="center" wrapText="1"/>
    </xf>
    <xf numFmtId="0" fontId="134" fillId="2" borderId="30" xfId="0" applyFont="1" applyFill="1" applyBorder="1" applyAlignment="1">
      <alignment vertical="center" wrapText="1"/>
    </xf>
    <xf numFmtId="0" fontId="134" fillId="2" borderId="8" xfId="0" applyFont="1" applyFill="1" applyBorder="1" applyAlignment="1">
      <alignment horizontal="center" vertical="center" wrapText="1"/>
    </xf>
    <xf numFmtId="172" fontId="132" fillId="2" borderId="11" xfId="0" applyNumberFormat="1" applyFont="1" applyFill="1" applyBorder="1" applyAlignment="1">
      <alignment horizontal="center" vertical="center" wrapText="1"/>
    </xf>
    <xf numFmtId="0" fontId="134" fillId="2" borderId="30" xfId="0" applyFont="1" applyFill="1" applyBorder="1" applyAlignment="1">
      <alignment horizontal="left" vertical="center" wrapText="1"/>
    </xf>
    <xf numFmtId="1" fontId="133" fillId="2" borderId="8" xfId="0" applyNumberFormat="1" applyFont="1" applyFill="1" applyBorder="1" applyAlignment="1">
      <alignment horizontal="center" vertical="center"/>
    </xf>
    <xf numFmtId="171" fontId="132" fillId="2" borderId="11" xfId="0" applyNumberFormat="1" applyFont="1" applyFill="1" applyBorder="1" applyAlignment="1">
      <alignment horizontal="center" vertical="center" wrapText="1"/>
    </xf>
    <xf numFmtId="0" fontId="135" fillId="2" borderId="0" xfId="0" applyFont="1" applyFill="1" applyAlignment="1">
      <alignment vertical="center" wrapText="1"/>
    </xf>
    <xf numFmtId="0" fontId="135" fillId="2" borderId="0" xfId="0" applyFont="1" applyFill="1" applyAlignment="1">
      <alignment horizontal="center" vertical="center" wrapText="1"/>
    </xf>
    <xf numFmtId="1" fontId="135" fillId="2" borderId="0" xfId="0" applyNumberFormat="1" applyFont="1" applyFill="1" applyAlignment="1">
      <alignment horizontal="center" vertical="center" wrapText="1"/>
    </xf>
    <xf numFmtId="171" fontId="135" fillId="2" borderId="0" xfId="0" applyNumberFormat="1" applyFont="1" applyFill="1" applyAlignment="1">
      <alignment horizontal="center" vertical="center" wrapText="1"/>
    </xf>
    <xf numFmtId="15" fontId="131" fillId="0" borderId="11" xfId="0" applyNumberFormat="1" applyFont="1" applyBorder="1" applyAlignment="1">
      <alignment horizontal="center" vertical="center" wrapText="1"/>
    </xf>
    <xf numFmtId="0" fontId="131" fillId="0" borderId="8" xfId="0" applyFont="1" applyBorder="1" applyAlignment="1">
      <alignment horizontal="center" vertical="center" wrapText="1"/>
    </xf>
    <xf numFmtId="172" fontId="133" fillId="24" borderId="8" xfId="0" applyNumberFormat="1" applyFont="1" applyFill="1" applyBorder="1" applyAlignment="1">
      <alignment horizontal="center" vertical="center" wrapText="1"/>
    </xf>
    <xf numFmtId="171" fontId="133" fillId="2" borderId="8" xfId="0" applyNumberFormat="1" applyFont="1" applyFill="1" applyBorder="1" applyAlignment="1">
      <alignment horizontal="center" vertical="center" wrapText="1"/>
    </xf>
    <xf numFmtId="173" fontId="133" fillId="2" borderId="8" xfId="0" applyNumberFormat="1" applyFont="1" applyFill="1" applyBorder="1" applyAlignment="1">
      <alignment horizontal="center" vertical="center" wrapText="1"/>
    </xf>
    <xf numFmtId="173" fontId="133" fillId="24" borderId="8" xfId="0" applyNumberFormat="1" applyFont="1" applyFill="1" applyBorder="1" applyAlignment="1">
      <alignment horizontal="center" vertical="center" wrapText="1"/>
    </xf>
    <xf numFmtId="172" fontId="137" fillId="2" borderId="8" xfId="0" applyNumberFormat="1" applyFont="1" applyFill="1" applyBorder="1" applyAlignment="1">
      <alignment horizontal="center" vertical="center" wrapText="1"/>
    </xf>
    <xf numFmtId="172" fontId="132" fillId="24" borderId="8" xfId="0" applyNumberFormat="1" applyFont="1" applyFill="1" applyBorder="1" applyAlignment="1">
      <alignment horizontal="center" vertical="center" wrapText="1"/>
    </xf>
    <xf numFmtId="171" fontId="132" fillId="2" borderId="8" xfId="0" applyNumberFormat="1" applyFont="1" applyFill="1" applyBorder="1" applyAlignment="1">
      <alignment horizontal="center" vertical="center" wrapText="1"/>
    </xf>
    <xf numFmtId="171" fontId="132" fillId="24" borderId="8" xfId="0" applyNumberFormat="1" applyFont="1" applyFill="1" applyBorder="1" applyAlignment="1">
      <alignment horizontal="center" vertical="center" wrapText="1"/>
    </xf>
    <xf numFmtId="166" fontId="135" fillId="2" borderId="0" xfId="0" applyNumberFormat="1" applyFont="1" applyFill="1" applyAlignment="1">
      <alignment horizontal="center" vertical="center" wrapText="1"/>
    </xf>
    <xf numFmtId="174" fontId="127" fillId="26" borderId="0" xfId="0" applyNumberFormat="1" applyFont="1" applyFill="1"/>
    <xf numFmtId="166" fontId="125" fillId="2" borderId="0" xfId="0" applyNumberFormat="1" applyFont="1" applyFill="1"/>
    <xf numFmtId="0" fontId="127" fillId="2" borderId="0" xfId="0" applyFont="1" applyFill="1"/>
    <xf numFmtId="9" fontId="128" fillId="2" borderId="0" xfId="1" applyFont="1" applyFill="1" applyAlignment="1"/>
    <xf numFmtId="172" fontId="127" fillId="2" borderId="0" xfId="0" applyNumberFormat="1" applyFont="1" applyFill="1"/>
    <xf numFmtId="171" fontId="140" fillId="2" borderId="0" xfId="0" applyNumberFormat="1" applyFont="1" applyFill="1" applyAlignment="1">
      <alignment horizontal="left" vertical="center" wrapText="1"/>
    </xf>
    <xf numFmtId="0" fontId="127" fillId="2" borderId="0" xfId="0" applyFont="1" applyFill="1" applyAlignment="1">
      <alignment vertical="center"/>
    </xf>
    <xf numFmtId="0" fontId="127" fillId="26" borderId="0" xfId="0" applyFont="1" applyFill="1" applyAlignment="1">
      <alignment vertical="center"/>
    </xf>
    <xf numFmtId="9" fontId="128" fillId="2" borderId="0" xfId="1" applyFont="1" applyFill="1" applyAlignment="1">
      <alignment vertical="center"/>
    </xf>
    <xf numFmtId="166" fontId="135" fillId="2" borderId="0" xfId="0" applyNumberFormat="1" applyFont="1" applyFill="1" applyAlignment="1">
      <alignment horizontal="left" vertical="center" wrapText="1"/>
    </xf>
    <xf numFmtId="166" fontId="141" fillId="2" borderId="0" xfId="0" applyNumberFormat="1" applyFont="1" applyFill="1" applyAlignment="1">
      <alignment horizontal="left" wrapText="1"/>
    </xf>
    <xf numFmtId="166" fontId="127" fillId="2" borderId="0" xfId="0" applyNumberFormat="1" applyFont="1" applyFill="1"/>
    <xf numFmtId="166" fontId="127" fillId="26" borderId="0" xfId="0" applyNumberFormat="1" applyFont="1" applyFill="1"/>
    <xf numFmtId="0" fontId="141" fillId="2" borderId="0" xfId="0" applyFont="1" applyFill="1" applyAlignment="1">
      <alignment vertical="top" wrapText="1"/>
    </xf>
    <xf numFmtId="9" fontId="128" fillId="26" borderId="0" xfId="1" applyFont="1" applyFill="1" applyAlignment="1"/>
    <xf numFmtId="9" fontId="128" fillId="26" borderId="0" xfId="0" applyNumberFormat="1" applyFont="1" applyFill="1"/>
    <xf numFmtId="9" fontId="128" fillId="26" borderId="0" xfId="1" applyFont="1" applyFill="1" applyAlignment="1">
      <alignment vertical="center"/>
    </xf>
    <xf numFmtId="9" fontId="128" fillId="26" borderId="0" xfId="0" applyNumberFormat="1" applyFont="1" applyFill="1" applyAlignment="1">
      <alignment vertical="center"/>
    </xf>
    <xf numFmtId="0" fontId="128" fillId="26" borderId="0" xfId="0" applyFont="1" applyFill="1" applyAlignment="1">
      <alignment vertical="center"/>
    </xf>
    <xf numFmtId="0" fontId="142" fillId="0" borderId="8" xfId="10" applyFont="1" applyBorder="1" applyAlignment="1">
      <alignment horizontal="center" vertical="center"/>
    </xf>
    <xf numFmtId="0" fontId="85" fillId="0" borderId="0" xfId="0" applyFont="1" applyAlignment="1">
      <alignment horizontal="center" vertical="center" wrapText="1"/>
    </xf>
    <xf numFmtId="0" fontId="0" fillId="0" borderId="0" xfId="0" applyAlignment="1">
      <alignment horizontal="center" vertical="center" wrapText="1"/>
    </xf>
    <xf numFmtId="0" fontId="144" fillId="2" borderId="8" xfId="0" applyFont="1" applyFill="1" applyBorder="1" applyAlignment="1">
      <alignment horizontal="center" vertical="center" wrapText="1"/>
    </xf>
    <xf numFmtId="0" fontId="14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4" fillId="2" borderId="11" xfId="0" applyFont="1" applyFill="1" applyBorder="1" applyAlignment="1">
      <alignment horizontal="center" vertical="center" wrapText="1"/>
    </xf>
    <xf numFmtId="0" fontId="144" fillId="2" borderId="12" xfId="0" applyFont="1" applyFill="1" applyBorder="1" applyAlignment="1">
      <alignment horizontal="center" vertical="center" wrapText="1"/>
    </xf>
    <xf numFmtId="0" fontId="144" fillId="0" borderId="8" xfId="0" applyFont="1" applyBorder="1" applyAlignment="1">
      <alignment horizontal="center" vertical="center" wrapText="1"/>
    </xf>
    <xf numFmtId="17" fontId="144" fillId="0" borderId="8" xfId="0" applyNumberFormat="1" applyFont="1" applyBorder="1" applyAlignment="1">
      <alignment horizontal="center" vertical="center" wrapText="1"/>
    </xf>
    <xf numFmtId="0" fontId="144" fillId="11" borderId="8" xfId="0" applyFont="1" applyFill="1" applyBorder="1" applyAlignment="1">
      <alignment horizontal="center" vertical="center" wrapText="1"/>
    </xf>
    <xf numFmtId="1" fontId="144" fillId="11" borderId="8" xfId="0" applyNumberFormat="1" applyFont="1" applyFill="1" applyBorder="1" applyAlignment="1">
      <alignment horizontal="center" vertical="center" wrapText="1"/>
    </xf>
    <xf numFmtId="2" fontId="144" fillId="11" borderId="8" xfId="0" applyNumberFormat="1" applyFont="1" applyFill="1" applyBorder="1" applyAlignment="1">
      <alignment horizontal="center" vertical="center" wrapText="1"/>
    </xf>
    <xf numFmtId="0" fontId="145" fillId="0" borderId="56" xfId="0" applyFont="1" applyBorder="1" applyAlignment="1">
      <alignment horizontal="center" vertical="center" wrapText="1"/>
    </xf>
    <xf numFmtId="0" fontId="145" fillId="0" borderId="33" xfId="0" applyFont="1" applyBorder="1" applyAlignment="1">
      <alignment horizontal="center" vertical="center" wrapText="1"/>
    </xf>
    <xf numFmtId="1" fontId="145" fillId="0" borderId="33" xfId="0" applyNumberFormat="1" applyFont="1" applyBorder="1" applyAlignment="1">
      <alignment horizontal="center" vertical="center" wrapText="1"/>
    </xf>
    <xf numFmtId="165" fontId="145" fillId="29" borderId="33" xfId="0" applyNumberFormat="1" applyFont="1" applyFill="1" applyBorder="1" applyAlignment="1">
      <alignment horizontal="center" vertical="center" wrapText="1"/>
    </xf>
    <xf numFmtId="0" fontId="145" fillId="0" borderId="67" xfId="0" applyFont="1" applyBorder="1" applyAlignment="1">
      <alignment horizontal="center" vertical="center" wrapText="1"/>
    </xf>
    <xf numFmtId="0" fontId="145" fillId="0" borderId="16" xfId="0" applyFont="1" applyBorder="1" applyAlignment="1">
      <alignment horizontal="center" vertical="center" wrapText="1"/>
    </xf>
    <xf numFmtId="2" fontId="145" fillId="29" borderId="16" xfId="0" applyNumberFormat="1" applyFont="1" applyFill="1" applyBorder="1" applyAlignment="1">
      <alignment horizontal="center" vertical="center" wrapText="1"/>
    </xf>
    <xf numFmtId="2" fontId="145" fillId="0" borderId="16" xfId="0" applyNumberFormat="1" applyFont="1" applyBorder="1" applyAlignment="1">
      <alignment horizontal="center" vertical="center" wrapText="1"/>
    </xf>
    <xf numFmtId="0" fontId="144" fillId="11" borderId="34" xfId="0" applyFont="1" applyFill="1" applyBorder="1" applyAlignment="1">
      <alignment horizontal="center" vertical="center" wrapText="1"/>
    </xf>
    <xf numFmtId="0" fontId="144" fillId="11" borderId="46" xfId="0" applyFont="1" applyFill="1" applyBorder="1" applyAlignment="1">
      <alignment horizontal="center" vertical="center" wrapText="1"/>
    </xf>
    <xf numFmtId="1" fontId="144" fillId="11" borderId="46" xfId="0" applyNumberFormat="1" applyFont="1" applyFill="1" applyBorder="1" applyAlignment="1">
      <alignment horizontal="center" vertical="center" wrapText="1"/>
    </xf>
    <xf numFmtId="2" fontId="144" fillId="11" borderId="46" xfId="0" applyNumberFormat="1" applyFont="1" applyFill="1" applyBorder="1" applyAlignment="1">
      <alignment horizontal="center" vertical="center" wrapText="1"/>
    </xf>
    <xf numFmtId="2" fontId="145" fillId="29" borderId="33" xfId="0" applyNumberFormat="1" applyFont="1" applyFill="1" applyBorder="1" applyAlignment="1">
      <alignment horizontal="center" vertical="center" wrapText="1"/>
    </xf>
    <xf numFmtId="2" fontId="145" fillId="0" borderId="33" xfId="0" applyNumberFormat="1" applyFont="1" applyBorder="1" applyAlignment="1">
      <alignment horizontal="center" vertical="center" wrapText="1"/>
    </xf>
    <xf numFmtId="0" fontId="145" fillId="0" borderId="60" xfId="0" applyFont="1" applyBorder="1" applyAlignment="1">
      <alignment horizontal="center" vertical="center" wrapText="1"/>
    </xf>
    <xf numFmtId="0" fontId="145" fillId="0" borderId="7" xfId="0" applyFont="1" applyBorder="1" applyAlignment="1">
      <alignment horizontal="center" vertical="center" wrapText="1"/>
    </xf>
    <xf numFmtId="1" fontId="145" fillId="29" borderId="7" xfId="0" applyNumberFormat="1" applyFont="1" applyFill="1" applyBorder="1" applyAlignment="1">
      <alignment horizontal="center" vertical="center" wrapText="1"/>
    </xf>
    <xf numFmtId="0" fontId="145" fillId="0" borderId="30" xfId="0" applyFont="1" applyBorder="1" applyAlignment="1">
      <alignment horizontal="center" vertical="center" wrapText="1"/>
    </xf>
    <xf numFmtId="0" fontId="145" fillId="0" borderId="8" xfId="0" applyFont="1" applyBorder="1" applyAlignment="1">
      <alignment horizontal="center" vertical="center" wrapText="1"/>
    </xf>
    <xf numFmtId="1" fontId="145" fillId="0" borderId="8" xfId="0" applyNumberFormat="1" applyFont="1" applyBorder="1" applyAlignment="1">
      <alignment horizontal="center" vertical="center" wrapText="1"/>
    </xf>
    <xf numFmtId="0" fontId="145" fillId="29" borderId="8" xfId="0" applyFont="1" applyFill="1" applyBorder="1" applyAlignment="1">
      <alignment horizontal="center" vertical="center" wrapText="1"/>
    </xf>
    <xf numFmtId="0" fontId="146" fillId="0" borderId="42" xfId="0" applyFont="1" applyBorder="1" applyAlignment="1">
      <alignment horizontal="center" vertical="center" wrapText="1"/>
    </xf>
    <xf numFmtId="0" fontId="147" fillId="0" borderId="7" xfId="0" applyFont="1" applyBorder="1" applyAlignment="1">
      <alignment horizontal="center" vertical="center" wrapText="1"/>
    </xf>
    <xf numFmtId="166" fontId="144" fillId="11" borderId="46" xfId="0" applyNumberFormat="1" applyFont="1" applyFill="1" applyBorder="1" applyAlignment="1">
      <alignment horizontal="center" vertical="center" wrapText="1"/>
    </xf>
    <xf numFmtId="0" fontId="146" fillId="0" borderId="38" xfId="0" applyFont="1" applyBorder="1" applyAlignment="1">
      <alignment horizontal="center" vertical="center" wrapText="1"/>
    </xf>
    <xf numFmtId="0" fontId="145" fillId="0" borderId="40" xfId="0" applyFont="1" applyBorder="1" applyAlignment="1">
      <alignment horizontal="center" vertical="center" wrapText="1"/>
    </xf>
    <xf numFmtId="166" fontId="145" fillId="29" borderId="8" xfId="0" applyNumberFormat="1" applyFont="1" applyFill="1" applyBorder="1" applyAlignment="1">
      <alignment horizontal="center" vertical="center" wrapText="1"/>
    </xf>
    <xf numFmtId="0" fontId="144" fillId="2" borderId="11" xfId="0" applyFont="1" applyFill="1" applyBorder="1" applyAlignment="1">
      <alignment horizontal="left" vertical="center"/>
    </xf>
    <xf numFmtId="0" fontId="144" fillId="2" borderId="15" xfId="0" applyFont="1" applyFill="1" applyBorder="1" applyAlignment="1">
      <alignment horizontal="center" vertical="center" wrapText="1"/>
    </xf>
    <xf numFmtId="0" fontId="144" fillId="2" borderId="13" xfId="0" applyFont="1" applyFill="1" applyBorder="1" applyAlignment="1">
      <alignment horizontal="left" vertical="center"/>
    </xf>
    <xf numFmtId="0" fontId="14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4" fillId="2" borderId="12" xfId="0" applyFont="1" applyFill="1" applyBorder="1" applyAlignment="1">
      <alignment vertical="center" wrapText="1"/>
    </xf>
    <xf numFmtId="0" fontId="145" fillId="6" borderId="33" xfId="0" applyFont="1" applyFill="1" applyBorder="1" applyAlignment="1">
      <alignment horizontal="center" vertical="center" wrapText="1"/>
    </xf>
    <xf numFmtId="0" fontId="145" fillId="5" borderId="33" xfId="0" applyFont="1" applyFill="1" applyBorder="1" applyAlignment="1">
      <alignment horizontal="center" vertical="center" wrapText="1"/>
    </xf>
    <xf numFmtId="0" fontId="145" fillId="0" borderId="14" xfId="0" applyFont="1" applyBorder="1" applyAlignment="1">
      <alignment horizontal="center" vertical="center" wrapText="1"/>
    </xf>
    <xf numFmtId="0" fontId="145" fillId="6" borderId="16" xfId="0" applyFont="1" applyFill="1" applyBorder="1" applyAlignment="1">
      <alignment horizontal="center" vertical="center" wrapText="1"/>
    </xf>
    <xf numFmtId="0" fontId="145" fillId="5" borderId="16" xfId="0" applyFont="1" applyFill="1" applyBorder="1" applyAlignment="1">
      <alignment horizontal="center" vertical="center" wrapText="1"/>
    </xf>
    <xf numFmtId="0" fontId="145" fillId="0" borderId="26" xfId="0" applyFont="1" applyBorder="1" applyAlignment="1">
      <alignment horizontal="center" vertical="center" wrapText="1"/>
    </xf>
    <xf numFmtId="2" fontId="145" fillId="6" borderId="33" xfId="0" applyNumberFormat="1" applyFont="1" applyFill="1" applyBorder="1" applyAlignment="1">
      <alignment horizontal="center" vertical="center" wrapText="1"/>
    </xf>
    <xf numFmtId="0" fontId="145" fillId="5" borderId="7" xfId="0" applyFont="1" applyFill="1" applyBorder="1" applyAlignment="1">
      <alignment horizontal="center" vertical="center" wrapText="1"/>
    </xf>
    <xf numFmtId="1" fontId="145" fillId="0" borderId="14" xfId="0" applyNumberFormat="1" applyFont="1" applyBorder="1" applyAlignment="1">
      <alignment horizontal="center" vertical="center" wrapText="1"/>
    </xf>
    <xf numFmtId="166" fontId="145" fillId="6" borderId="33" xfId="0" applyNumberFormat="1" applyFont="1" applyFill="1" applyBorder="1" applyAlignment="1">
      <alignment horizontal="center" vertical="center" wrapText="1"/>
    </xf>
    <xf numFmtId="1" fontId="145" fillId="0" borderId="13" xfId="0" applyNumberFormat="1" applyFont="1" applyBorder="1" applyAlignment="1">
      <alignment horizontal="center" vertical="center" wrapText="1"/>
    </xf>
    <xf numFmtId="0" fontId="145" fillId="0" borderId="8" xfId="8" applyFont="1" applyBorder="1" applyAlignment="1">
      <alignment horizontal="center" vertical="center" wrapText="1"/>
    </xf>
    <xf numFmtId="1" fontId="145" fillId="6" borderId="33" xfId="0" applyNumberFormat="1" applyFont="1" applyFill="1" applyBorder="1" applyAlignment="1">
      <alignment horizontal="center" vertical="center" wrapText="1"/>
    </xf>
    <xf numFmtId="0" fontId="145" fillId="5" borderId="8" xfId="0" applyFont="1" applyFill="1" applyBorder="1" applyAlignment="1">
      <alignment horizontal="center" vertical="center" wrapText="1"/>
    </xf>
    <xf numFmtId="0" fontId="148" fillId="0" borderId="7" xfId="0" applyFont="1" applyBorder="1" applyAlignment="1">
      <alignment horizontal="center" vertical="center" wrapText="1"/>
    </xf>
    <xf numFmtId="0" fontId="144" fillId="2" borderId="23" xfId="0" applyFont="1" applyFill="1" applyBorder="1" applyAlignment="1">
      <alignment horizontal="center" vertical="center" wrapText="1"/>
    </xf>
    <xf numFmtId="0" fontId="85" fillId="0" borderId="0" xfId="0" applyFont="1" applyAlignment="1">
      <alignment horizontal="left" vertical="center" wrapText="1"/>
    </xf>
    <xf numFmtId="17" fontId="144" fillId="0" borderId="8" xfId="0" quotePrefix="1" applyNumberFormat="1" applyFont="1" applyBorder="1" applyAlignment="1">
      <alignment horizontal="center" vertical="center" wrapText="1"/>
    </xf>
    <xf numFmtId="0" fontId="148" fillId="0" borderId="7" xfId="0" quotePrefix="1" applyFont="1" applyBorder="1" applyAlignment="1">
      <alignment horizontal="center" vertical="center" wrapText="1"/>
    </xf>
    <xf numFmtId="0" fontId="148" fillId="0" borderId="16" xfId="0" quotePrefix="1" applyFont="1" applyBorder="1" applyAlignment="1">
      <alignment horizontal="center" vertical="center" wrapText="1"/>
    </xf>
    <xf numFmtId="0" fontId="91" fillId="6" borderId="8" xfId="10" quotePrefix="1" applyFont="1" applyFill="1" applyBorder="1" applyAlignment="1">
      <alignment horizontal="center" vertical="center"/>
    </xf>
    <xf numFmtId="170" fontId="91" fillId="6" borderId="8" xfId="10" quotePrefix="1" applyNumberFormat="1" applyFont="1" applyFill="1" applyBorder="1" applyAlignment="1">
      <alignment horizontal="center" vertical="center" wrapText="1"/>
    </xf>
    <xf numFmtId="0" fontId="91" fillId="0" borderId="8" xfId="10" quotePrefix="1" applyFont="1" applyBorder="1" applyAlignment="1">
      <alignment horizontal="center" vertical="center" wrapText="1"/>
    </xf>
    <xf numFmtId="167" fontId="91" fillId="0" borderId="8" xfId="10" quotePrefix="1" applyNumberFormat="1" applyFont="1" applyBorder="1" applyAlignment="1">
      <alignment horizontal="center" vertical="center" wrapText="1"/>
    </xf>
    <xf numFmtId="16" fontId="113" fillId="9" borderId="8" xfId="0" quotePrefix="1" applyNumberFormat="1" applyFont="1" applyFill="1" applyBorder="1" applyAlignment="1">
      <alignment horizontal="center" vertical="center"/>
    </xf>
    <xf numFmtId="0" fontId="113" fillId="9" borderId="8" xfId="0" quotePrefix="1" applyFont="1" applyFill="1" applyBorder="1" applyAlignment="1">
      <alignment horizontal="center" vertical="center"/>
    </xf>
    <xf numFmtId="1" fontId="91" fillId="6" borderId="7" xfId="10" quotePrefix="1" applyNumberFormat="1" applyFont="1" applyFill="1" applyBorder="1" applyAlignment="1">
      <alignment horizontal="center" vertical="center" wrapText="1"/>
    </xf>
    <xf numFmtId="0" fontId="153" fillId="0" borderId="8" xfId="10" applyFont="1" applyBorder="1" applyAlignment="1">
      <alignment horizontal="center" vertical="center"/>
    </xf>
    <xf numFmtId="168" fontId="153" fillId="0" borderId="8" xfId="10" applyNumberFormat="1" applyFont="1" applyBorder="1" applyAlignment="1">
      <alignment horizontal="center" vertical="center"/>
    </xf>
    <xf numFmtId="0" fontId="91" fillId="0" borderId="8" xfId="10" applyFont="1" applyBorder="1" applyAlignment="1">
      <alignment horizontal="center"/>
    </xf>
    <xf numFmtId="0" fontId="91" fillId="5" borderId="8" xfId="10" applyFont="1" applyFill="1" applyBorder="1" applyAlignment="1">
      <alignment horizontal="center"/>
    </xf>
    <xf numFmtId="168" fontId="91" fillId="0" borderId="8" xfId="10" applyNumberFormat="1" applyFont="1" applyBorder="1" applyAlignment="1">
      <alignment horizontal="center"/>
    </xf>
    <xf numFmtId="0" fontId="91" fillId="0" borderId="8" xfId="10" applyFont="1" applyBorder="1"/>
    <xf numFmtId="168" fontId="153" fillId="0" borderId="8" xfId="10" applyNumberFormat="1" applyFont="1" applyBorder="1" applyAlignment="1">
      <alignment horizontal="center"/>
    </xf>
    <xf numFmtId="0" fontId="153" fillId="0" borderId="8" xfId="10" applyFont="1" applyBorder="1" applyAlignment="1">
      <alignment horizontal="center"/>
    </xf>
    <xf numFmtId="0" fontId="153" fillId="5" borderId="8" xfId="10" applyFont="1" applyFill="1" applyBorder="1" applyAlignment="1">
      <alignment horizontal="center" vertical="center"/>
    </xf>
    <xf numFmtId="0" fontId="152" fillId="0" borderId="8" xfId="0" applyFont="1" applyBorder="1" applyAlignment="1">
      <alignment horizontal="center"/>
    </xf>
    <xf numFmtId="0" fontId="84" fillId="0" borderId="0" xfId="22" applyFont="1"/>
    <xf numFmtId="0" fontId="152" fillId="0" borderId="36" xfId="22" applyFont="1" applyBorder="1" applyAlignment="1">
      <alignment horizontal="center" vertical="center" wrapText="1"/>
    </xf>
    <xf numFmtId="0" fontId="152" fillId="0" borderId="54" xfId="22" applyFont="1" applyBorder="1" applyAlignment="1">
      <alignment horizontal="center" vertical="center" wrapText="1"/>
    </xf>
    <xf numFmtId="0" fontId="152" fillId="0" borderId="54" xfId="22" applyFont="1" applyBorder="1" applyAlignment="1">
      <alignment horizontal="center" vertical="center"/>
    </xf>
    <xf numFmtId="0" fontId="152" fillId="0" borderId="45" xfId="22" applyFont="1" applyBorder="1" applyAlignment="1">
      <alignment horizontal="center" vertical="center"/>
    </xf>
    <xf numFmtId="0" fontId="152" fillId="0" borderId="45" xfId="22" applyFont="1" applyBorder="1" applyAlignment="1">
      <alignment horizontal="center" vertical="center" wrapText="1"/>
    </xf>
    <xf numFmtId="0" fontId="152" fillId="0" borderId="1" xfId="22" applyFont="1" applyBorder="1" applyAlignment="1">
      <alignment horizontal="center" vertical="center" wrapText="1"/>
    </xf>
    <xf numFmtId="0" fontId="84" fillId="0" borderId="55" xfId="22" applyFont="1" applyBorder="1" applyAlignment="1">
      <alignment vertical="center"/>
    </xf>
    <xf numFmtId="0" fontId="84" fillId="0" borderId="0" xfId="22" applyFont="1" applyAlignment="1">
      <alignment vertical="center"/>
    </xf>
    <xf numFmtId="0" fontId="84" fillId="0" borderId="8" xfId="0" applyFont="1" applyBorder="1" applyAlignment="1">
      <alignment horizontal="center"/>
    </xf>
    <xf numFmtId="0" fontId="84" fillId="0" borderId="59" xfId="22" applyFont="1" applyBorder="1" applyAlignment="1">
      <alignment vertical="center"/>
    </xf>
    <xf numFmtId="0" fontId="84" fillId="0" borderId="57" xfId="22" applyFont="1" applyBorder="1" applyAlignment="1">
      <alignment vertical="center"/>
    </xf>
    <xf numFmtId="0" fontId="84" fillId="0" borderId="61" xfId="22" applyFont="1" applyBorder="1" applyAlignment="1">
      <alignment vertical="center"/>
    </xf>
    <xf numFmtId="0" fontId="84" fillId="0" borderId="41" xfId="22" applyFont="1" applyBorder="1" applyAlignment="1">
      <alignment vertical="center"/>
    </xf>
    <xf numFmtId="0" fontId="84" fillId="0" borderId="47" xfId="22" applyFont="1" applyBorder="1" applyAlignment="1">
      <alignment vertical="center"/>
    </xf>
    <xf numFmtId="0" fontId="84" fillId="0" borderId="0" xfId="22" applyFont="1" applyAlignment="1">
      <alignment horizontal="center"/>
    </xf>
    <xf numFmtId="0" fontId="84" fillId="0" borderId="0" xfId="22" applyFont="1" applyAlignment="1">
      <alignment horizontal="center" vertical="center"/>
    </xf>
    <xf numFmtId="0" fontId="84" fillId="0" borderId="0" xfId="22" applyFont="1" applyAlignment="1">
      <alignment horizontal="center" vertical="center" wrapText="1"/>
    </xf>
    <xf numFmtId="0" fontId="156" fillId="0" borderId="35" xfId="10" applyFont="1" applyBorder="1" applyAlignment="1">
      <alignment horizontal="center" vertical="center" wrapText="1"/>
    </xf>
    <xf numFmtId="0" fontId="156" fillId="0" borderId="36" xfId="10" applyFont="1" applyBorder="1" applyAlignment="1">
      <alignment horizontal="center" vertical="center" wrapText="1"/>
    </xf>
    <xf numFmtId="0" fontId="157" fillId="0" borderId="30" xfId="22" applyFont="1" applyBorder="1" applyAlignment="1">
      <alignment horizontal="center" vertical="center"/>
    </xf>
    <xf numFmtId="0" fontId="152" fillId="14" borderId="8" xfId="0" applyFont="1" applyFill="1" applyBorder="1" applyAlignment="1">
      <alignment horizontal="center" vertical="center"/>
    </xf>
    <xf numFmtId="14" fontId="84" fillId="0" borderId="8" xfId="22" applyNumberFormat="1" applyFont="1" applyBorder="1" applyAlignment="1">
      <alignment horizontal="center" vertical="center"/>
    </xf>
    <xf numFmtId="0" fontId="84" fillId="0" borderId="11" xfId="22" applyFont="1" applyBorder="1" applyAlignment="1">
      <alignment horizontal="center" vertical="center"/>
    </xf>
    <xf numFmtId="0" fontId="84" fillId="0" borderId="41" xfId="22" applyFont="1" applyBorder="1" applyAlignment="1">
      <alignment horizontal="center" vertical="center"/>
    </xf>
    <xf numFmtId="0" fontId="84" fillId="0" borderId="19" xfId="22" applyFont="1" applyBorder="1" applyAlignment="1">
      <alignment horizontal="center" vertical="center"/>
    </xf>
    <xf numFmtId="0" fontId="84" fillId="0" borderId="58" xfId="22" applyFont="1" applyBorder="1" applyAlignment="1">
      <alignment horizontal="center" vertical="center" wrapText="1"/>
    </xf>
    <xf numFmtId="14" fontId="84" fillId="0" borderId="33" xfId="22" applyNumberFormat="1" applyFont="1" applyBorder="1" applyAlignment="1">
      <alignment horizontal="center" vertical="center"/>
    </xf>
    <xf numFmtId="0" fontId="84" fillId="0" borderId="56" xfId="22" applyFont="1" applyBorder="1" applyAlignment="1">
      <alignment horizontal="center" vertical="center" wrapText="1"/>
    </xf>
    <xf numFmtId="166" fontId="84" fillId="0" borderId="8" xfId="0" applyNumberFormat="1" applyFont="1" applyBorder="1" applyAlignment="1">
      <alignment horizontal="center" vertical="center"/>
    </xf>
    <xf numFmtId="166" fontId="152" fillId="14" borderId="8" xfId="0" applyNumberFormat="1" applyFont="1" applyFill="1" applyBorder="1" applyAlignment="1">
      <alignment horizontal="center" vertical="center"/>
    </xf>
    <xf numFmtId="0" fontId="152" fillId="0" borderId="8" xfId="0" applyFont="1" applyBorder="1" applyAlignment="1">
      <alignment horizontal="center" vertical="center"/>
    </xf>
    <xf numFmtId="2" fontId="157" fillId="0" borderId="8" xfId="22" applyNumberFormat="1" applyFont="1" applyBorder="1" applyAlignment="1">
      <alignment horizontal="center" vertical="center"/>
    </xf>
    <xf numFmtId="0" fontId="157" fillId="0" borderId="42" xfId="22" applyFont="1" applyBorder="1" applyAlignment="1">
      <alignment horizontal="center" vertical="center"/>
    </xf>
    <xf numFmtId="0" fontId="157" fillId="0" borderId="7" xfId="22" applyFont="1" applyBorder="1" applyAlignment="1">
      <alignment horizontal="center" vertical="center"/>
    </xf>
    <xf numFmtId="1" fontId="157" fillId="0" borderId="7" xfId="22" applyNumberFormat="1" applyFont="1" applyBorder="1" applyAlignment="1">
      <alignment vertical="center"/>
    </xf>
    <xf numFmtId="1" fontId="157" fillId="0" borderId="7" xfId="22" applyNumberFormat="1" applyFont="1" applyBorder="1" applyAlignment="1">
      <alignment horizontal="center" vertical="center"/>
    </xf>
    <xf numFmtId="0" fontId="84" fillId="0" borderId="7" xfId="22" applyFont="1" applyBorder="1" applyAlignment="1">
      <alignment horizontal="center" vertical="center"/>
    </xf>
    <xf numFmtId="0" fontId="84" fillId="0" borderId="13" xfId="22" applyFont="1" applyBorder="1" applyAlignment="1">
      <alignment horizontal="center" vertical="center"/>
    </xf>
    <xf numFmtId="0" fontId="84" fillId="0" borderId="50" xfId="22" applyFont="1" applyBorder="1" applyAlignment="1">
      <alignment horizontal="center" vertical="center"/>
    </xf>
    <xf numFmtId="0" fontId="84" fillId="0" borderId="60" xfId="22" applyFont="1" applyBorder="1" applyAlignment="1">
      <alignment horizontal="center" vertical="center" wrapText="1"/>
    </xf>
    <xf numFmtId="166" fontId="156" fillId="0" borderId="46" xfId="22" applyNumberFormat="1" applyFont="1" applyBorder="1" applyAlignment="1">
      <alignment horizontal="center" vertical="center"/>
    </xf>
    <xf numFmtId="1" fontId="156" fillId="0" borderId="46" xfId="22" applyNumberFormat="1" applyFont="1" applyBorder="1" applyAlignment="1">
      <alignment horizontal="center" vertical="center"/>
    </xf>
    <xf numFmtId="0" fontId="84" fillId="0" borderId="46" xfId="22" applyFont="1" applyBorder="1" applyAlignment="1">
      <alignment vertical="center"/>
    </xf>
    <xf numFmtId="1" fontId="152" fillId="0" borderId="53" xfId="22" applyNumberFormat="1" applyFont="1" applyBorder="1" applyAlignment="1">
      <alignment horizontal="center" vertical="center"/>
    </xf>
    <xf numFmtId="1" fontId="152" fillId="0" borderId="62" xfId="22" applyNumberFormat="1" applyFont="1" applyBorder="1" applyAlignment="1">
      <alignment horizontal="center" vertical="center" wrapText="1"/>
    </xf>
    <xf numFmtId="166" fontId="156" fillId="0" borderId="16" xfId="22" applyNumberFormat="1" applyFont="1" applyBorder="1" applyAlignment="1">
      <alignment horizontal="center" vertical="center"/>
    </xf>
    <xf numFmtId="0" fontId="84" fillId="0" borderId="16" xfId="22" applyFont="1" applyBorder="1" applyAlignment="1">
      <alignment vertical="center"/>
    </xf>
    <xf numFmtId="1" fontId="152" fillId="0" borderId="49" xfId="22" applyNumberFormat="1" applyFont="1" applyBorder="1" applyAlignment="1">
      <alignment horizontal="center" vertical="center"/>
    </xf>
    <xf numFmtId="1" fontId="152" fillId="0" borderId="4" xfId="22" applyNumberFormat="1" applyFont="1" applyBorder="1" applyAlignment="1">
      <alignment horizontal="center" vertical="center" wrapText="1"/>
    </xf>
    <xf numFmtId="0" fontId="157" fillId="0" borderId="37" xfId="22" applyFont="1" applyBorder="1" applyAlignment="1">
      <alignment horizontal="center" vertical="center"/>
    </xf>
    <xf numFmtId="2" fontId="157" fillId="0" borderId="33" xfId="22" applyNumberFormat="1" applyFont="1" applyBorder="1" applyAlignment="1">
      <alignment horizontal="center" vertical="center"/>
    </xf>
    <xf numFmtId="0" fontId="152" fillId="0" borderId="0" xfId="0" applyFont="1" applyAlignment="1">
      <alignment horizontal="left"/>
    </xf>
    <xf numFmtId="0" fontId="84" fillId="0" borderId="0" xfId="0" applyFont="1"/>
    <xf numFmtId="0" fontId="84" fillId="0" borderId="32" xfId="0" applyFont="1" applyBorder="1" applyAlignment="1">
      <alignment horizontal="center"/>
    </xf>
    <xf numFmtId="0" fontId="84" fillId="0" borderId="17" xfId="0" applyFont="1" applyBorder="1"/>
    <xf numFmtId="0" fontId="84" fillId="0" borderId="0" xfId="0" applyFont="1" applyAlignment="1">
      <alignment horizontal="center" vertical="center"/>
    </xf>
    <xf numFmtId="0" fontId="152" fillId="15" borderId="8" xfId="0" applyFont="1" applyFill="1" applyBorder="1" applyAlignment="1">
      <alignment horizontal="center" vertical="center" wrapText="1"/>
    </xf>
    <xf numFmtId="16" fontId="84" fillId="16" borderId="8" xfId="0" applyNumberFormat="1" applyFont="1" applyFill="1" applyBorder="1" applyAlignment="1">
      <alignment horizontal="center"/>
    </xf>
    <xf numFmtId="0" fontId="84" fillId="0" borderId="8" xfId="0" applyFont="1" applyBorder="1"/>
    <xf numFmtId="0" fontId="84" fillId="5" borderId="8" xfId="0" applyFont="1" applyFill="1" applyBorder="1"/>
    <xf numFmtId="166" fontId="158" fillId="0" borderId="8" xfId="0" applyNumberFormat="1" applyFont="1" applyBorder="1" applyAlignment="1">
      <alignment horizontal="center" vertical="center"/>
    </xf>
    <xf numFmtId="166" fontId="84" fillId="0" borderId="8" xfId="0" applyNumberFormat="1" applyFont="1" applyBorder="1" applyAlignment="1">
      <alignment horizontal="center"/>
    </xf>
    <xf numFmtId="0" fontId="84" fillId="0" borderId="0" xfId="0" applyFont="1" applyAlignment="1">
      <alignment horizontal="left" vertical="center"/>
    </xf>
    <xf numFmtId="16" fontId="84" fillId="0" borderId="8" xfId="0" applyNumberFormat="1" applyFont="1" applyBorder="1" applyAlignment="1">
      <alignment horizontal="center"/>
    </xf>
    <xf numFmtId="0" fontId="84" fillId="0" borderId="3" xfId="0" applyFont="1" applyBorder="1"/>
    <xf numFmtId="14" fontId="83" fillId="0" borderId="8" xfId="22" applyNumberFormat="1" applyFont="1" applyBorder="1" applyAlignment="1">
      <alignment horizontal="center" vertical="center"/>
    </xf>
    <xf numFmtId="14" fontId="82" fillId="0" borderId="33" xfId="22" applyNumberFormat="1" applyFont="1" applyBorder="1" applyAlignment="1">
      <alignment horizontal="center" vertical="center"/>
    </xf>
    <xf numFmtId="14" fontId="81" fillId="0" borderId="33" xfId="22" applyNumberFormat="1" applyFont="1" applyBorder="1" applyAlignment="1">
      <alignment horizontal="center" vertical="center"/>
    </xf>
    <xf numFmtId="16" fontId="80" fillId="0" borderId="8" xfId="0" applyNumberFormat="1" applyFont="1" applyBorder="1" applyAlignment="1">
      <alignment horizontal="center"/>
    </xf>
    <xf numFmtId="0" fontId="79" fillId="0" borderId="8" xfId="0" applyFont="1" applyBorder="1"/>
    <xf numFmtId="0" fontId="91" fillId="30" borderId="8" xfId="10" applyFont="1" applyFill="1" applyBorder="1" applyAlignment="1">
      <alignment horizontal="center" vertical="center"/>
    </xf>
    <xf numFmtId="0" fontId="159" fillId="0" borderId="0" xfId="0" applyFont="1" applyAlignment="1">
      <alignment horizontal="center" vertical="center"/>
    </xf>
    <xf numFmtId="14" fontId="78" fillId="0" borderId="8" xfId="22" applyNumberFormat="1" applyFont="1" applyBorder="1" applyAlignment="1">
      <alignment horizontal="center" vertical="center"/>
    </xf>
    <xf numFmtId="0" fontId="77" fillId="0" borderId="0" xfId="0" applyFont="1" applyAlignment="1">
      <alignment horizontal="center" vertical="center"/>
    </xf>
    <xf numFmtId="14" fontId="77" fillId="0" borderId="8" xfId="22" applyNumberFormat="1" applyFont="1" applyBorder="1" applyAlignment="1">
      <alignment horizontal="center" vertical="center"/>
    </xf>
    <xf numFmtId="0" fontId="76" fillId="0" borderId="0" xfId="0" applyFont="1" applyAlignment="1">
      <alignment horizontal="center" vertical="center"/>
    </xf>
    <xf numFmtId="0" fontId="76" fillId="0" borderId="11" xfId="22" applyFont="1" applyBorder="1" applyAlignment="1">
      <alignment horizontal="center" vertical="center"/>
    </xf>
    <xf numFmtId="0" fontId="75" fillId="0" borderId="11" xfId="22" applyFont="1" applyBorder="1" applyAlignment="1">
      <alignment horizontal="center" vertical="center"/>
    </xf>
    <xf numFmtId="14" fontId="74" fillId="0" borderId="8" xfId="22" applyNumberFormat="1" applyFont="1" applyBorder="1" applyAlignment="1">
      <alignment horizontal="center" vertical="center"/>
    </xf>
    <xf numFmtId="0" fontId="73" fillId="0" borderId="8" xfId="0" applyFont="1" applyBorder="1" applyAlignment="1">
      <alignment horizontal="center"/>
    </xf>
    <xf numFmtId="14" fontId="73" fillId="0" borderId="8" xfId="22" applyNumberFormat="1" applyFont="1" applyBorder="1" applyAlignment="1">
      <alignment horizontal="center" vertical="center"/>
    </xf>
    <xf numFmtId="0" fontId="72" fillId="0" borderId="11" xfId="22" applyFont="1" applyBorder="1" applyAlignment="1">
      <alignment horizontal="center" vertical="center"/>
    </xf>
    <xf numFmtId="0" fontId="72" fillId="0" borderId="58" xfId="22" applyFont="1" applyBorder="1" applyAlignment="1">
      <alignment horizontal="center" vertical="center" wrapText="1"/>
    </xf>
    <xf numFmtId="0" fontId="71" fillId="0" borderId="8" xfId="0" applyFont="1" applyBorder="1" applyAlignment="1">
      <alignment horizontal="center"/>
    </xf>
    <xf numFmtId="0" fontId="70" fillId="0" borderId="8" xfId="0" applyFont="1" applyBorder="1" applyAlignment="1">
      <alignment horizontal="center"/>
    </xf>
    <xf numFmtId="0" fontId="153" fillId="6" borderId="8" xfId="10" applyFont="1" applyFill="1" applyBorder="1" applyAlignment="1">
      <alignment horizontal="center" vertical="center"/>
    </xf>
    <xf numFmtId="0" fontId="69" fillId="0" borderId="8" xfId="0" applyFont="1" applyBorder="1" applyAlignment="1">
      <alignment horizontal="center"/>
    </xf>
    <xf numFmtId="0" fontId="68" fillId="0" borderId="8" xfId="0" applyFont="1" applyBorder="1" applyAlignment="1">
      <alignment horizontal="center"/>
    </xf>
    <xf numFmtId="16" fontId="67" fillId="0" borderId="8" xfId="0" applyNumberFormat="1" applyFont="1" applyBorder="1" applyAlignment="1">
      <alignment horizontal="center"/>
    </xf>
    <xf numFmtId="0" fontId="67" fillId="0" borderId="8" xfId="0" applyFont="1" applyBorder="1" applyAlignment="1">
      <alignment horizontal="center"/>
    </xf>
    <xf numFmtId="0" fontId="66" fillId="0" borderId="8" xfId="0" applyFont="1" applyBorder="1" applyAlignment="1">
      <alignment horizontal="center"/>
    </xf>
    <xf numFmtId="14" fontId="65" fillId="0" borderId="8" xfId="22" applyNumberFormat="1" applyFont="1" applyBorder="1" applyAlignment="1">
      <alignment horizontal="center" vertical="center"/>
    </xf>
    <xf numFmtId="0" fontId="153" fillId="0" borderId="0" xfId="10" applyFont="1" applyAlignment="1">
      <alignment horizontal="center" vertical="center"/>
    </xf>
    <xf numFmtId="0" fontId="64" fillId="0" borderId="8" xfId="0" applyFont="1" applyBorder="1" applyAlignment="1">
      <alignment horizontal="center"/>
    </xf>
    <xf numFmtId="0" fontId="64" fillId="5" borderId="8" xfId="0" applyFont="1" applyFill="1" applyBorder="1"/>
    <xf numFmtId="0" fontId="63" fillId="0" borderId="0" xfId="0" applyFont="1"/>
    <xf numFmtId="0" fontId="62" fillId="0" borderId="8" xfId="0" applyFont="1" applyBorder="1"/>
    <xf numFmtId="0" fontId="62" fillId="0" borderId="8" xfId="0" applyFont="1" applyBorder="1" applyAlignment="1">
      <alignment horizontal="center"/>
    </xf>
    <xf numFmtId="0" fontId="61" fillId="0" borderId="0" xfId="26"/>
    <xf numFmtId="0" fontId="160" fillId="0" borderId="0" xfId="26" applyFont="1"/>
    <xf numFmtId="0" fontId="166" fillId="0" borderId="0" xfId="10" applyFont="1" applyAlignment="1">
      <alignment horizontal="left" vertical="center"/>
    </xf>
    <xf numFmtId="0" fontId="166" fillId="0" borderId="0" xfId="10" applyFont="1" applyAlignment="1">
      <alignment vertical="center"/>
    </xf>
    <xf numFmtId="0" fontId="167" fillId="0" borderId="0" xfId="10" applyFont="1" applyAlignment="1">
      <alignment vertical="center"/>
    </xf>
    <xf numFmtId="0" fontId="117" fillId="0" borderId="0" xfId="10" applyFont="1" applyAlignment="1">
      <alignment vertical="center"/>
    </xf>
    <xf numFmtId="0" fontId="117" fillId="0" borderId="0" xfId="10" applyFont="1" applyAlignment="1">
      <alignment horizontal="center" vertical="center" wrapText="1"/>
    </xf>
    <xf numFmtId="0" fontId="117" fillId="0" borderId="0" xfId="10" applyFont="1" applyAlignment="1">
      <alignment horizontal="center" vertical="center"/>
    </xf>
    <xf numFmtId="0" fontId="118" fillId="0" borderId="0" xfId="10" applyFont="1" applyAlignment="1">
      <alignment vertical="center"/>
    </xf>
    <xf numFmtId="0" fontId="118" fillId="0" borderId="0" xfId="10" applyFont="1" applyAlignment="1">
      <alignment horizontal="left" vertical="center"/>
    </xf>
    <xf numFmtId="0" fontId="118" fillId="0" borderId="0" xfId="10" applyFont="1" applyAlignment="1">
      <alignment horizontal="left" vertical="center" wrapText="1"/>
    </xf>
    <xf numFmtId="0" fontId="168" fillId="0" borderId="0" xfId="10" applyFont="1" applyAlignment="1">
      <alignment vertical="center"/>
    </xf>
    <xf numFmtId="0" fontId="164" fillId="0" borderId="8" xfId="0" applyFont="1" applyBorder="1" applyAlignment="1">
      <alignment horizontal="center" vertical="center"/>
    </xf>
    <xf numFmtId="16" fontId="164" fillId="0" borderId="8" xfId="0" quotePrefix="1" applyNumberFormat="1" applyFont="1" applyBorder="1" applyAlignment="1">
      <alignment horizontal="center" vertical="center"/>
    </xf>
    <xf numFmtId="175" fontId="164" fillId="0" borderId="8" xfId="0" applyNumberFormat="1" applyFont="1" applyBorder="1" applyAlignment="1">
      <alignment horizontal="center" vertical="center"/>
    </xf>
    <xf numFmtId="0" fontId="164" fillId="0" borderId="0" xfId="0" applyFont="1" applyAlignment="1">
      <alignment vertical="center"/>
    </xf>
    <xf numFmtId="0" fontId="165" fillId="3" borderId="8" xfId="0" applyFont="1" applyFill="1" applyBorder="1" applyAlignment="1">
      <alignment horizontal="center" vertical="center"/>
    </xf>
    <xf numFmtId="0" fontId="165" fillId="3" borderId="8" xfId="0" applyFont="1" applyFill="1" applyBorder="1" applyAlignment="1">
      <alignment horizontal="center" vertical="center" wrapText="1"/>
    </xf>
    <xf numFmtId="0" fontId="165" fillId="0" borderId="0" xfId="0" applyFont="1" applyAlignment="1">
      <alignment horizontal="center" vertical="center"/>
    </xf>
    <xf numFmtId="0" fontId="162" fillId="31" borderId="8" xfId="26" applyFont="1" applyFill="1" applyBorder="1" applyAlignment="1">
      <alignment horizontal="center" vertical="center" wrapText="1"/>
    </xf>
    <xf numFmtId="0" fontId="135" fillId="0" borderId="8" xfId="26" applyFont="1" applyBorder="1" applyAlignment="1">
      <alignment horizontal="center" vertical="center" wrapText="1"/>
    </xf>
    <xf numFmtId="1" fontId="135" fillId="0" borderId="8" xfId="26" applyNumberFormat="1" applyFont="1" applyBorder="1" applyAlignment="1">
      <alignment horizontal="center" vertical="center" wrapText="1"/>
    </xf>
    <xf numFmtId="0" fontId="135" fillId="32" borderId="8" xfId="26" applyFont="1" applyFill="1" applyBorder="1" applyAlignment="1">
      <alignment horizontal="center" vertical="center" wrapText="1"/>
    </xf>
    <xf numFmtId="0" fontId="117" fillId="0" borderId="8" xfId="26" applyFont="1" applyBorder="1" applyAlignment="1">
      <alignment horizontal="center" vertical="center" wrapText="1"/>
    </xf>
    <xf numFmtId="0" fontId="117" fillId="32" borderId="8" xfId="26" applyFont="1" applyFill="1" applyBorder="1" applyAlignment="1">
      <alignment horizontal="center" vertical="center" wrapText="1"/>
    </xf>
    <xf numFmtId="0" fontId="135" fillId="0" borderId="8" xfId="26" applyFont="1" applyBorder="1" applyAlignment="1">
      <alignment horizontal="center" wrapText="1"/>
    </xf>
    <xf numFmtId="0" fontId="135" fillId="32" borderId="8" xfId="26" applyFont="1" applyFill="1" applyBorder="1" applyAlignment="1">
      <alignment horizontal="center" wrapText="1"/>
    </xf>
    <xf numFmtId="165" fontId="135" fillId="0" borderId="8" xfId="26" applyNumberFormat="1" applyFont="1" applyBorder="1" applyAlignment="1">
      <alignment horizontal="center" vertical="center" wrapText="1"/>
    </xf>
    <xf numFmtId="14" fontId="135" fillId="0" borderId="8" xfId="26" applyNumberFormat="1" applyFont="1" applyBorder="1" applyAlignment="1">
      <alignment horizontal="center" vertical="center" wrapText="1"/>
    </xf>
    <xf numFmtId="0" fontId="169" fillId="0" borderId="0" xfId="27" applyFont="1" applyAlignment="1">
      <alignment horizontal="center"/>
    </xf>
    <xf numFmtId="0" fontId="170" fillId="33" borderId="34" xfId="27" applyFont="1" applyFill="1" applyBorder="1" applyAlignment="1">
      <alignment horizontal="left" vertical="center" wrapText="1"/>
    </xf>
    <xf numFmtId="0" fontId="171" fillId="0" borderId="0" xfId="27" applyFont="1" applyAlignment="1">
      <alignment horizontal="center" vertical="center"/>
    </xf>
    <xf numFmtId="0" fontId="172" fillId="0" borderId="0" xfId="27" applyFont="1" applyAlignment="1">
      <alignment horizontal="center" vertical="center"/>
    </xf>
    <xf numFmtId="0" fontId="169" fillId="0" borderId="0" xfId="27" applyFont="1" applyAlignment="1">
      <alignment horizontal="center" vertical="center"/>
    </xf>
    <xf numFmtId="0" fontId="170" fillId="33" borderId="30" xfId="27" applyFont="1" applyFill="1" applyBorder="1" applyAlignment="1">
      <alignment horizontal="left" vertical="center"/>
    </xf>
    <xf numFmtId="0" fontId="169" fillId="0" borderId="0" xfId="27" applyFont="1"/>
    <xf numFmtId="0" fontId="171" fillId="0" borderId="0" xfId="27" applyFont="1" applyAlignment="1">
      <alignment vertical="center"/>
    </xf>
    <xf numFmtId="0" fontId="170" fillId="33" borderId="38" xfId="27" applyFont="1" applyFill="1" applyBorder="1" applyAlignment="1">
      <alignment horizontal="left" vertical="center"/>
    </xf>
    <xf numFmtId="0" fontId="173" fillId="34" borderId="3" xfId="27" applyFont="1" applyFill="1" applyBorder="1"/>
    <xf numFmtId="0" fontId="169" fillId="34" borderId="0" xfId="27" applyFont="1" applyFill="1"/>
    <xf numFmtId="0" fontId="173" fillId="35" borderId="68" xfId="27" applyFont="1" applyFill="1" applyBorder="1" applyAlignment="1">
      <alignment horizontal="center" vertical="center"/>
    </xf>
    <xf numFmtId="0" fontId="173" fillId="35" borderId="63" xfId="27" applyFont="1" applyFill="1" applyBorder="1" applyAlignment="1">
      <alignment horizontal="center" vertical="center"/>
    </xf>
    <xf numFmtId="0" fontId="173" fillId="35" borderId="63" xfId="27" applyFont="1" applyFill="1" applyBorder="1" applyAlignment="1">
      <alignment horizontal="center" vertical="center" wrapText="1"/>
    </xf>
    <xf numFmtId="0" fontId="173" fillId="35" borderId="69" xfId="27" applyFont="1" applyFill="1" applyBorder="1" applyAlignment="1">
      <alignment horizontal="center" vertical="center" wrapText="1"/>
    </xf>
    <xf numFmtId="0" fontId="169" fillId="0" borderId="8" xfId="27" applyFont="1" applyBorder="1" applyAlignment="1">
      <alignment horizontal="left" vertical="center" wrapText="1"/>
    </xf>
    <xf numFmtId="0" fontId="169" fillId="36" borderId="8" xfId="27" applyFont="1" applyFill="1" applyBorder="1" applyAlignment="1">
      <alignment horizontal="center" vertical="center" wrapText="1"/>
    </xf>
    <xf numFmtId="176" fontId="169" fillId="36" borderId="8" xfId="28" applyFont="1" applyFill="1" applyBorder="1" applyAlignment="1">
      <alignment horizontal="center" vertical="center"/>
    </xf>
    <xf numFmtId="0" fontId="169" fillId="36" borderId="19" xfId="27" applyFont="1" applyFill="1" applyBorder="1" applyAlignment="1">
      <alignment vertical="center" wrapText="1"/>
    </xf>
    <xf numFmtId="0" fontId="169" fillId="37" borderId="8" xfId="27" applyFont="1" applyFill="1" applyBorder="1" applyAlignment="1">
      <alignment horizontal="center" vertical="center"/>
    </xf>
    <xf numFmtId="176" fontId="169" fillId="37" borderId="8" xfId="28" applyFont="1" applyFill="1" applyBorder="1" applyAlignment="1">
      <alignment horizontal="center" vertical="center"/>
    </xf>
    <xf numFmtId="0" fontId="169" fillId="37" borderId="19" xfId="27" applyFont="1" applyFill="1" applyBorder="1" applyAlignment="1">
      <alignment vertical="center" wrapText="1"/>
    </xf>
    <xf numFmtId="0" fontId="169" fillId="0" borderId="8" xfId="27" applyFont="1" applyBorder="1" applyAlignment="1">
      <alignment horizontal="left" vertical="center"/>
    </xf>
    <xf numFmtId="0" fontId="169" fillId="0" borderId="16" xfId="27" applyFont="1" applyBorder="1" applyAlignment="1">
      <alignment horizontal="left" vertical="center"/>
    </xf>
    <xf numFmtId="0" fontId="177" fillId="39" borderId="36" xfId="27" applyFont="1" applyFill="1" applyBorder="1" applyAlignment="1">
      <alignment horizontal="center" vertical="center"/>
    </xf>
    <xf numFmtId="176" fontId="176" fillId="39" borderId="36" xfId="27" applyNumberFormat="1" applyFont="1" applyFill="1" applyBorder="1" applyAlignment="1">
      <alignment horizontal="center" vertical="center"/>
    </xf>
    <xf numFmtId="176" fontId="176" fillId="39" borderId="45" xfId="27" applyNumberFormat="1" applyFont="1" applyFill="1" applyBorder="1" applyAlignment="1">
      <alignment horizontal="center" vertical="center"/>
    </xf>
    <xf numFmtId="0" fontId="118" fillId="0" borderId="0" xfId="10" applyFont="1" applyAlignment="1">
      <alignment horizontal="center" vertical="center"/>
    </xf>
    <xf numFmtId="14" fontId="118" fillId="0" borderId="0" xfId="10" applyNumberFormat="1" applyFont="1" applyAlignment="1">
      <alignment horizontal="center" vertical="center"/>
    </xf>
    <xf numFmtId="0" fontId="178" fillId="0" borderId="0" xfId="29" applyFont="1" applyAlignment="1">
      <alignment vertical="center"/>
    </xf>
    <xf numFmtId="0" fontId="119" fillId="0" borderId="0" xfId="29" applyFont="1" applyAlignment="1">
      <alignment vertical="center"/>
    </xf>
    <xf numFmtId="0" fontId="59" fillId="0" borderId="0" xfId="30"/>
    <xf numFmtId="0" fontId="178" fillId="0" borderId="0" xfId="29" quotePrefix="1" applyFont="1" applyAlignment="1">
      <alignment vertical="center"/>
    </xf>
    <xf numFmtId="0" fontId="178" fillId="0" borderId="0" xfId="29" applyFont="1" applyAlignment="1">
      <alignment horizontal="center" vertical="center"/>
    </xf>
    <xf numFmtId="0" fontId="179" fillId="0" borderId="0" xfId="29" applyFont="1"/>
    <xf numFmtId="0" fontId="119" fillId="0" borderId="0" xfId="29" applyFont="1" applyAlignment="1">
      <alignment horizontal="right"/>
    </xf>
    <xf numFmtId="0" fontId="118" fillId="0" borderId="8" xfId="29" applyFont="1" applyBorder="1" applyAlignment="1">
      <alignment horizontal="center" vertical="center" wrapText="1"/>
    </xf>
    <xf numFmtId="0" fontId="118" fillId="27" borderId="8" xfId="29" applyFont="1" applyFill="1" applyBorder="1" applyAlignment="1">
      <alignment vertical="center" wrapText="1"/>
    </xf>
    <xf numFmtId="0" fontId="118" fillId="27" borderId="8" xfId="29" applyFont="1" applyFill="1" applyBorder="1" applyAlignment="1">
      <alignment horizontal="center" vertical="center" wrapText="1"/>
    </xf>
    <xf numFmtId="41" fontId="117" fillId="27" borderId="8" xfId="29" applyNumberFormat="1" applyFont="1" applyFill="1" applyBorder="1" applyAlignment="1">
      <alignment horizontal="center" vertical="center" wrapText="1"/>
    </xf>
    <xf numFmtId="41" fontId="117" fillId="27" borderId="8" xfId="29" applyNumberFormat="1" applyFont="1" applyFill="1" applyBorder="1" applyAlignment="1">
      <alignment vertical="center" wrapText="1"/>
    </xf>
    <xf numFmtId="41" fontId="117" fillId="27" borderId="8" xfId="29" applyNumberFormat="1" applyFont="1" applyFill="1" applyBorder="1" applyAlignment="1">
      <alignment horizontal="center"/>
    </xf>
    <xf numFmtId="41" fontId="117" fillId="27" borderId="8" xfId="31" applyNumberFormat="1" applyFont="1" applyFill="1" applyBorder="1" applyAlignment="1">
      <alignment horizontal="center"/>
    </xf>
    <xf numFmtId="0" fontId="118" fillId="0" borderId="8" xfId="29" applyFont="1" applyBorder="1" applyAlignment="1">
      <alignment vertical="center" wrapText="1"/>
    </xf>
    <xf numFmtId="41" fontId="117" fillId="0" borderId="8" xfId="29" applyNumberFormat="1" applyFont="1" applyBorder="1" applyAlignment="1">
      <alignment horizontal="center" vertical="center" wrapText="1"/>
    </xf>
    <xf numFmtId="41" fontId="117" fillId="0" borderId="8" xfId="29" applyNumberFormat="1" applyFont="1" applyBorder="1" applyAlignment="1">
      <alignment vertical="center" wrapText="1"/>
    </xf>
    <xf numFmtId="41" fontId="117" fillId="0" borderId="8" xfId="29" applyNumberFormat="1" applyFont="1" applyBorder="1" applyAlignment="1">
      <alignment horizontal="center" vertical="center"/>
    </xf>
    <xf numFmtId="41" fontId="117" fillId="0" borderId="8" xfId="31" applyNumberFormat="1" applyFont="1" applyFill="1" applyBorder="1" applyAlignment="1">
      <alignment horizontal="center" vertical="center"/>
    </xf>
    <xf numFmtId="41" fontId="117" fillId="27" borderId="8" xfId="29" applyNumberFormat="1" applyFont="1" applyFill="1" applyBorder="1" applyAlignment="1">
      <alignment horizontal="center" vertical="center"/>
    </xf>
    <xf numFmtId="41" fontId="117" fillId="27" borderId="8" xfId="29" applyNumberFormat="1" applyFont="1" applyFill="1" applyBorder="1" applyAlignment="1">
      <alignment horizontal="right" vertical="center" wrapText="1"/>
    </xf>
    <xf numFmtId="177" fontId="118" fillId="0" borderId="8" xfId="29" applyNumberFormat="1" applyFont="1" applyBorder="1" applyAlignment="1">
      <alignment horizontal="center" vertical="center" wrapText="1"/>
    </xf>
    <xf numFmtId="41" fontId="118" fillId="0" borderId="8" xfId="29" applyNumberFormat="1" applyFont="1" applyBorder="1" applyAlignment="1">
      <alignment horizontal="center" vertical="center" wrapText="1"/>
    </xf>
    <xf numFmtId="177" fontId="118" fillId="0" borderId="8" xfId="29" applyNumberFormat="1" applyFont="1" applyBorder="1" applyAlignment="1">
      <alignment vertical="center" wrapText="1"/>
    </xf>
    <xf numFmtId="41" fontId="118" fillId="0" borderId="8" xfId="29" applyNumberFormat="1" applyFont="1" applyBorder="1" applyAlignment="1">
      <alignment horizontal="center" vertical="center"/>
    </xf>
    <xf numFmtId="177" fontId="118" fillId="0" borderId="8" xfId="29" applyNumberFormat="1" applyFont="1" applyBorder="1" applyAlignment="1">
      <alignment horizontal="center" vertical="center"/>
    </xf>
    <xf numFmtId="177" fontId="118" fillId="0" borderId="8" xfId="29" applyNumberFormat="1" applyFont="1" applyBorder="1" applyAlignment="1">
      <alignment horizontal="right" vertical="center" wrapText="1"/>
    </xf>
    <xf numFmtId="177" fontId="117" fillId="0" borderId="8" xfId="29" applyNumberFormat="1" applyFont="1" applyBorder="1" applyAlignment="1">
      <alignment horizontal="center" vertical="center" wrapText="1"/>
    </xf>
    <xf numFmtId="177" fontId="117" fillId="0" borderId="8" xfId="29" applyNumberFormat="1" applyFont="1" applyBorder="1" applyAlignment="1">
      <alignment vertical="center" wrapText="1"/>
    </xf>
    <xf numFmtId="177" fontId="117" fillId="0" borderId="8" xfId="29" applyNumberFormat="1" applyFont="1" applyBorder="1" applyAlignment="1">
      <alignment horizontal="center" vertical="center"/>
    </xf>
    <xf numFmtId="177" fontId="117" fillId="0" borderId="8" xfId="29" applyNumberFormat="1" applyFont="1" applyBorder="1" applyAlignment="1">
      <alignment horizontal="right" vertical="center" wrapText="1"/>
    </xf>
    <xf numFmtId="41" fontId="117" fillId="0" borderId="8" xfId="29" applyNumberFormat="1" applyFont="1" applyBorder="1" applyAlignment="1">
      <alignment horizontal="right" vertical="center" wrapText="1"/>
    </xf>
    <xf numFmtId="0" fontId="118" fillId="27" borderId="8" xfId="29" applyFont="1" applyFill="1" applyBorder="1" applyAlignment="1">
      <alignment vertical="center"/>
    </xf>
    <xf numFmtId="0" fontId="118" fillId="27" borderId="8" xfId="29" applyFont="1" applyFill="1" applyBorder="1" applyAlignment="1">
      <alignment horizontal="center"/>
    </xf>
    <xf numFmtId="41" fontId="117" fillId="27" borderId="8" xfId="29" applyNumberFormat="1" applyFont="1" applyFill="1" applyBorder="1" applyAlignment="1">
      <alignment vertical="center"/>
    </xf>
    <xf numFmtId="41" fontId="117" fillId="27" borderId="8" xfId="31" applyNumberFormat="1" applyFont="1" applyFill="1" applyBorder="1" applyAlignment="1">
      <alignment horizontal="center" vertical="center"/>
    </xf>
    <xf numFmtId="0" fontId="118" fillId="0" borderId="8" xfId="29" applyFont="1" applyBorder="1" applyAlignment="1">
      <alignment vertical="center"/>
    </xf>
    <xf numFmtId="0" fontId="118" fillId="0" borderId="8" xfId="29" applyFont="1" applyBorder="1" applyAlignment="1">
      <alignment horizontal="center"/>
    </xf>
    <xf numFmtId="41" fontId="117" fillId="0" borderId="8" xfId="29" applyNumberFormat="1" applyFont="1" applyBorder="1" applyAlignment="1">
      <alignment vertical="center"/>
    </xf>
    <xf numFmtId="14" fontId="178" fillId="0" borderId="0" xfId="29" applyNumberFormat="1" applyFont="1" applyAlignment="1">
      <alignment vertical="center"/>
    </xf>
    <xf numFmtId="0" fontId="118" fillId="0" borderId="8" xfId="29" applyFont="1" applyBorder="1" applyAlignment="1">
      <alignment horizontal="center" vertical="center"/>
    </xf>
    <xf numFmtId="0" fontId="117" fillId="27" borderId="8" xfId="29" applyFont="1" applyFill="1" applyBorder="1" applyAlignment="1">
      <alignment horizontal="center" vertical="center" wrapText="1"/>
    </xf>
    <xf numFmtId="0" fontId="117" fillId="0" borderId="8" xfId="29" applyFont="1" applyBorder="1" applyAlignment="1">
      <alignment horizontal="center" vertical="center" wrapText="1"/>
    </xf>
    <xf numFmtId="0" fontId="117" fillId="27" borderId="8" xfId="29" applyFont="1" applyFill="1" applyBorder="1"/>
    <xf numFmtId="0" fontId="117" fillId="0" borderId="8" xfId="29" applyFont="1" applyBorder="1"/>
    <xf numFmtId="0" fontId="118" fillId="27" borderId="8" xfId="29" applyFont="1" applyFill="1" applyBorder="1" applyAlignment="1">
      <alignment horizontal="center" vertical="center"/>
    </xf>
    <xf numFmtId="0" fontId="59" fillId="0" borderId="0" xfId="30" applyAlignment="1">
      <alignment horizontal="center"/>
    </xf>
    <xf numFmtId="0" fontId="178" fillId="0" borderId="0" xfId="29" applyFont="1" applyAlignment="1">
      <alignment horizontal="left" vertical="center"/>
    </xf>
    <xf numFmtId="0" fontId="178" fillId="0" borderId="0" xfId="29" quotePrefix="1" applyFont="1" applyAlignment="1">
      <alignment horizontal="left" vertical="center"/>
    </xf>
    <xf numFmtId="0" fontId="118" fillId="0" borderId="8" xfId="29" applyFont="1" applyBorder="1" applyAlignment="1">
      <alignment horizontal="left" vertical="center" wrapText="1"/>
    </xf>
    <xf numFmtId="0" fontId="164" fillId="5" borderId="8" xfId="0" applyFont="1" applyFill="1" applyBorder="1" applyAlignment="1">
      <alignment horizontal="center" vertical="center"/>
    </xf>
    <xf numFmtId="16" fontId="164" fillId="5" borderId="8" xfId="0" quotePrefix="1" applyNumberFormat="1" applyFont="1" applyFill="1" applyBorder="1" applyAlignment="1">
      <alignment horizontal="center" vertical="center"/>
    </xf>
    <xf numFmtId="175" fontId="164" fillId="5" borderId="8" xfId="0" applyNumberFormat="1" applyFont="1" applyFill="1" applyBorder="1" applyAlignment="1">
      <alignment horizontal="center" vertical="center"/>
    </xf>
    <xf numFmtId="0" fontId="165" fillId="5" borderId="8" xfId="0" applyFont="1" applyFill="1" applyBorder="1" applyAlignment="1">
      <alignment vertical="center"/>
    </xf>
    <xf numFmtId="43" fontId="0" fillId="0" borderId="8" xfId="32" applyFont="1" applyBorder="1" applyAlignment="1">
      <alignment horizontal="center" vertical="center"/>
    </xf>
    <xf numFmtId="0" fontId="94" fillId="0" borderId="8" xfId="0" applyFont="1" applyBorder="1" applyAlignment="1">
      <alignment horizontal="center" vertical="center" wrapText="1"/>
    </xf>
    <xf numFmtId="0" fontId="94" fillId="0" borderId="0" xfId="0" applyFont="1"/>
    <xf numFmtId="0" fontId="95" fillId="0" borderId="8" xfId="0" applyFont="1" applyBorder="1" applyAlignment="1">
      <alignment horizontal="center"/>
    </xf>
    <xf numFmtId="2" fontId="95" fillId="0" borderId="8" xfId="0" applyNumberFormat="1" applyFont="1" applyBorder="1" applyAlignment="1">
      <alignment horizontal="center" vertical="center"/>
    </xf>
    <xf numFmtId="166" fontId="95" fillId="0" borderId="8" xfId="0" applyNumberFormat="1" applyFont="1" applyBorder="1" applyAlignment="1">
      <alignment horizontal="center"/>
    </xf>
    <xf numFmtId="166" fontId="95" fillId="0" borderId="8" xfId="0" applyNumberFormat="1" applyFont="1" applyBorder="1" applyAlignment="1">
      <alignment horizontal="center" vertical="center"/>
    </xf>
    <xf numFmtId="0" fontId="95" fillId="2" borderId="8" xfId="0" applyFont="1" applyFill="1" applyBorder="1" applyAlignment="1">
      <alignment horizontal="center"/>
    </xf>
    <xf numFmtId="166" fontId="95" fillId="2" borderId="8" xfId="0" applyNumberFormat="1" applyFont="1" applyFill="1" applyBorder="1" applyAlignment="1">
      <alignment horizontal="center"/>
    </xf>
    <xf numFmtId="1" fontId="95" fillId="0" borderId="8" xfId="0" applyNumberFormat="1" applyFont="1" applyBorder="1" applyAlignment="1">
      <alignment horizontal="center" vertical="center"/>
    </xf>
    <xf numFmtId="0" fontId="182" fillId="0" borderId="8" xfId="0" applyFont="1" applyBorder="1" applyAlignment="1">
      <alignment horizontal="center" vertical="center" wrapText="1"/>
    </xf>
    <xf numFmtId="0" fontId="95" fillId="2" borderId="8" xfId="0" applyFont="1" applyFill="1" applyBorder="1" applyAlignment="1">
      <alignment horizontal="center" vertical="center" wrapText="1"/>
    </xf>
    <xf numFmtId="166" fontId="95" fillId="0" borderId="8" xfId="0" applyNumberFormat="1" applyFont="1" applyBorder="1" applyAlignment="1">
      <alignment vertical="center"/>
    </xf>
    <xf numFmtId="0" fontId="95" fillId="2" borderId="8" xfId="0" applyFont="1" applyFill="1" applyBorder="1" applyAlignment="1">
      <alignment vertical="center" wrapText="1"/>
    </xf>
    <xf numFmtId="0" fontId="95" fillId="2" borderId="8" xfId="0" applyFont="1" applyFill="1" applyBorder="1" applyAlignment="1">
      <alignment horizontal="left" vertical="center" wrapText="1"/>
    </xf>
    <xf numFmtId="0" fontId="94" fillId="2" borderId="8" xfId="0" applyFont="1" applyFill="1" applyBorder="1" applyAlignment="1">
      <alignment horizontal="left" vertical="center" wrapText="1"/>
    </xf>
    <xf numFmtId="0" fontId="181" fillId="2" borderId="8" xfId="0" applyFont="1" applyFill="1" applyBorder="1" applyAlignment="1">
      <alignment wrapText="1"/>
    </xf>
    <xf numFmtId="0" fontId="99" fillId="0" borderId="8" xfId="0" applyFont="1" applyBorder="1" applyAlignment="1">
      <alignment horizontal="center"/>
    </xf>
    <xf numFmtId="0" fontId="99" fillId="0" borderId="8" xfId="0" applyFont="1" applyBorder="1" applyAlignment="1">
      <alignment horizontal="center" wrapText="1"/>
    </xf>
    <xf numFmtId="0" fontId="56" fillId="0" borderId="0" xfId="35"/>
    <xf numFmtId="0" fontId="56" fillId="0" borderId="0" xfId="35" applyAlignment="1">
      <alignment horizontal="center" vertical="center"/>
    </xf>
    <xf numFmtId="0" fontId="56" fillId="2" borderId="8" xfId="35" applyFill="1" applyBorder="1" applyAlignment="1">
      <alignment horizontal="center" vertical="center"/>
    </xf>
    <xf numFmtId="0" fontId="56" fillId="2" borderId="8" xfId="35" applyFill="1" applyBorder="1" applyAlignment="1">
      <alignment horizontal="center"/>
    </xf>
    <xf numFmtId="0" fontId="56" fillId="0" borderId="8" xfId="35" applyBorder="1" applyAlignment="1">
      <alignment horizontal="center"/>
    </xf>
    <xf numFmtId="0" fontId="94" fillId="2" borderId="8" xfId="35" applyFont="1" applyFill="1" applyBorder="1" applyAlignment="1">
      <alignment horizontal="center" vertical="center"/>
    </xf>
    <xf numFmtId="0" fontId="94" fillId="2" borderId="8" xfId="35" applyFont="1" applyFill="1" applyBorder="1" applyAlignment="1">
      <alignment horizontal="center"/>
    </xf>
    <xf numFmtId="0" fontId="56" fillId="0" borderId="0" xfId="35" applyAlignment="1">
      <alignment horizontal="center"/>
    </xf>
    <xf numFmtId="0" fontId="94" fillId="0" borderId="8" xfId="35" applyFont="1" applyBorder="1" applyAlignment="1">
      <alignment horizontal="center"/>
    </xf>
    <xf numFmtId="0" fontId="94" fillId="0" borderId="0" xfId="34" applyFont="1"/>
    <xf numFmtId="0" fontId="94" fillId="0" borderId="8" xfId="34" applyFont="1" applyBorder="1" applyAlignment="1">
      <alignment horizontal="center" vertical="center"/>
    </xf>
    <xf numFmtId="0" fontId="56" fillId="0" borderId="0" xfId="34" applyFont="1"/>
    <xf numFmtId="0" fontId="94" fillId="0" borderId="0" xfId="33" applyFont="1"/>
    <xf numFmtId="43" fontId="164" fillId="5" borderId="8" xfId="32" applyFont="1" applyFill="1" applyBorder="1" applyAlignment="1">
      <alignment horizontal="center" vertical="center"/>
    </xf>
    <xf numFmtId="43" fontId="164" fillId="0" borderId="8" xfId="32" applyFont="1" applyBorder="1" applyAlignment="1">
      <alignment horizontal="center" vertical="center"/>
    </xf>
    <xf numFmtId="0" fontId="95" fillId="0" borderId="0" xfId="33" applyFont="1"/>
    <xf numFmtId="0" fontId="94" fillId="34" borderId="8" xfId="33" applyFont="1" applyFill="1" applyBorder="1" applyAlignment="1">
      <alignment horizontal="center" vertical="center" wrapText="1"/>
    </xf>
    <xf numFmtId="0" fontId="95" fillId="0" borderId="0" xfId="33" applyFont="1" applyAlignment="1">
      <alignment horizontal="center"/>
    </xf>
    <xf numFmtId="0" fontId="99" fillId="34" borderId="8" xfId="33" applyFont="1" applyFill="1" applyBorder="1" applyAlignment="1">
      <alignment horizontal="center" vertical="center" wrapText="1"/>
    </xf>
    <xf numFmtId="0" fontId="55" fillId="0" borderId="8" xfId="0" applyFont="1" applyBorder="1" applyAlignment="1">
      <alignment horizontal="center" vertical="center"/>
    </xf>
    <xf numFmtId="0" fontId="160" fillId="0" borderId="8" xfId="0" applyFont="1" applyBorder="1" applyAlignment="1">
      <alignment horizontal="center" vertical="center"/>
    </xf>
    <xf numFmtId="0" fontId="94" fillId="0" borderId="8" xfId="0" applyFont="1" applyBorder="1" applyAlignment="1">
      <alignment horizontal="left" vertical="center"/>
    </xf>
    <xf numFmtId="165" fontId="135" fillId="0" borderId="8" xfId="26" applyNumberFormat="1" applyFont="1" applyBorder="1" applyAlignment="1">
      <alignment horizontal="center" wrapText="1"/>
    </xf>
    <xf numFmtId="43" fontId="169" fillId="0" borderId="0" xfId="27" applyNumberFormat="1" applyFont="1"/>
    <xf numFmtId="165" fontId="135" fillId="32" borderId="8" xfId="26" applyNumberFormat="1" applyFont="1" applyFill="1" applyBorder="1" applyAlignment="1">
      <alignment horizontal="center" vertical="center" wrapText="1"/>
    </xf>
    <xf numFmtId="0" fontId="164" fillId="2" borderId="8" xfId="0" applyFont="1" applyFill="1" applyBorder="1" applyAlignment="1">
      <alignment horizontal="left" vertical="center" wrapText="1"/>
    </xf>
    <xf numFmtId="178" fontId="11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3" fillId="0" borderId="8" xfId="0" applyFont="1" applyBorder="1" applyAlignment="1">
      <alignment vertical="center" wrapText="1"/>
    </xf>
    <xf numFmtId="0" fontId="164" fillId="2" borderId="8" xfId="0" applyFont="1" applyFill="1" applyBorder="1" applyAlignment="1">
      <alignment horizontal="center" vertical="center" wrapText="1"/>
    </xf>
    <xf numFmtId="2" fontId="61" fillId="0" borderId="0" xfId="26" applyNumberFormat="1"/>
    <xf numFmtId="0" fontId="52" fillId="2" borderId="8" xfId="35" applyFont="1" applyFill="1" applyBorder="1" applyAlignment="1">
      <alignment horizontal="center"/>
    </xf>
    <xf numFmtId="0" fontId="94" fillId="0" borderId="8" xfId="34" applyFont="1" applyBorder="1" applyAlignment="1">
      <alignment vertical="center"/>
    </xf>
    <xf numFmtId="49" fontId="52" fillId="2" borderId="8" xfId="0" applyNumberFormat="1" applyFont="1" applyFill="1" applyBorder="1" applyAlignment="1">
      <alignment horizontal="center"/>
    </xf>
    <xf numFmtId="0" fontId="52" fillId="2" borderId="8" xfId="0" applyFont="1" applyFill="1" applyBorder="1" applyAlignment="1">
      <alignment horizontal="center"/>
    </xf>
    <xf numFmtId="0" fontId="51" fillId="2" borderId="8" xfId="35" applyFont="1" applyFill="1" applyBorder="1" applyAlignment="1">
      <alignment horizontal="center" vertical="center"/>
    </xf>
    <xf numFmtId="166" fontId="95" fillId="0" borderId="19" xfId="0" applyNumberFormat="1" applyFont="1" applyBorder="1" applyAlignment="1">
      <alignment vertical="center"/>
    </xf>
    <xf numFmtId="0" fontId="95" fillId="2" borderId="19" xfId="0" applyFont="1" applyFill="1" applyBorder="1" applyAlignment="1">
      <alignment vertical="center" wrapText="1"/>
    </xf>
    <xf numFmtId="0" fontId="95" fillId="2" borderId="19" xfId="0" applyFont="1" applyFill="1" applyBorder="1" applyAlignment="1">
      <alignment horizontal="left" vertical="center" wrapText="1"/>
    </xf>
    <xf numFmtId="0" fontId="94" fillId="2" borderId="19" xfId="0" applyFont="1" applyFill="1" applyBorder="1" applyAlignment="1">
      <alignment horizontal="left" vertical="center" wrapText="1"/>
    </xf>
    <xf numFmtId="0" fontId="95" fillId="2" borderId="19" xfId="0" applyFont="1" applyFill="1" applyBorder="1" applyAlignment="1">
      <alignment horizontal="left" vertical="center"/>
    </xf>
    <xf numFmtId="0" fontId="94" fillId="2" borderId="8" xfId="33" applyFont="1" applyFill="1" applyBorder="1" applyAlignment="1">
      <alignment horizontal="center" vertical="center" wrapText="1"/>
    </xf>
    <xf numFmtId="0" fontId="50" fillId="0" borderId="8" xfId="0" applyFont="1" applyBorder="1" applyAlignment="1">
      <alignment horizontal="center" vertical="center"/>
    </xf>
    <xf numFmtId="0" fontId="182" fillId="0" borderId="8" xfId="0" applyFont="1" applyBorder="1" applyAlignment="1">
      <alignment horizontal="center" vertical="center"/>
    </xf>
    <xf numFmtId="2" fontId="95" fillId="0" borderId="8" xfId="13" applyNumberFormat="1" applyFont="1" applyBorder="1" applyAlignment="1">
      <alignment horizontal="center" vertical="center" wrapText="1"/>
    </xf>
    <xf numFmtId="2" fontId="95" fillId="0" borderId="8" xfId="13" applyNumberFormat="1" applyFont="1" applyBorder="1" applyAlignment="1">
      <alignment horizontal="center" vertical="center"/>
    </xf>
    <xf numFmtId="180" fontId="95" fillId="0" borderId="8" xfId="0" applyNumberFormat="1" applyFont="1" applyBorder="1" applyAlignment="1">
      <alignment horizontal="center" vertical="center" wrapText="1"/>
    </xf>
    <xf numFmtId="0" fontId="95" fillId="0" borderId="8" xfId="0" applyFont="1" applyBorder="1" applyAlignment="1">
      <alignment horizontal="center" vertical="center" wrapText="1"/>
    </xf>
    <xf numFmtId="2" fontId="95" fillId="0" borderId="8" xfId="0"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166" fontId="100" fillId="0" borderId="8" xfId="0" applyNumberFormat="1" applyFont="1" applyBorder="1" applyAlignment="1">
      <alignment horizontal="center" vertical="center" shrinkToFit="1"/>
    </xf>
    <xf numFmtId="166" fontId="100" fillId="0" borderId="8" xfId="0" applyNumberFormat="1" applyFont="1" applyBorder="1" applyAlignment="1">
      <alignment horizontal="center" vertical="center" wrapText="1" shrinkToFit="1"/>
    </xf>
    <xf numFmtId="166" fontId="95" fillId="0" borderId="8" xfId="13" applyNumberFormat="1" applyFont="1" applyBorder="1" applyAlignment="1">
      <alignment vertical="center" wrapText="1"/>
    </xf>
    <xf numFmtId="2" fontId="100" fillId="0" borderId="8" xfId="0" applyNumberFormat="1" applyFont="1" applyBorder="1" applyAlignment="1">
      <alignment horizontal="center" vertical="center" shrinkToFit="1"/>
    </xf>
    <xf numFmtId="166" fontId="100" fillId="0" borderId="8" xfId="0" applyNumberFormat="1" applyFont="1" applyBorder="1" applyAlignment="1">
      <alignment horizontal="center" wrapText="1" shrinkToFit="1"/>
    </xf>
    <xf numFmtId="166" fontId="100" fillId="0" borderId="8" xfId="0" applyNumberFormat="1" applyFont="1" applyBorder="1" applyAlignment="1">
      <alignment horizontal="center" shrinkToFit="1"/>
    </xf>
    <xf numFmtId="166" fontId="100" fillId="40" borderId="8" xfId="0" applyNumberFormat="1" applyFont="1" applyFill="1" applyBorder="1" applyAlignment="1">
      <alignment horizontal="center" vertical="center" wrapText="1" shrinkToFit="1"/>
    </xf>
    <xf numFmtId="166" fontId="100" fillId="40" borderId="8" xfId="0" applyNumberFormat="1" applyFont="1" applyFill="1" applyBorder="1" applyAlignment="1">
      <alignment horizontal="center" vertical="center" shrinkToFit="1"/>
    </xf>
    <xf numFmtId="0" fontId="182" fillId="0" borderId="8" xfId="0" applyFont="1" applyBorder="1" applyAlignment="1">
      <alignment vertical="center" wrapText="1"/>
    </xf>
    <xf numFmtId="0" fontId="182" fillId="0" borderId="8" xfId="0" applyFont="1" applyBorder="1" applyAlignment="1">
      <alignment vertical="center"/>
    </xf>
    <xf numFmtId="166" fontId="95" fillId="6" borderId="8" xfId="0" applyNumberFormat="1" applyFont="1" applyFill="1" applyBorder="1" applyAlignment="1">
      <alignment horizontal="center" vertical="center" wrapText="1"/>
    </xf>
    <xf numFmtId="43" fontId="50" fillId="0" borderId="8" xfId="32" applyFont="1" applyBorder="1" applyAlignment="1">
      <alignment horizontal="center" vertical="center" wrapText="1"/>
    </xf>
    <xf numFmtId="0" fontId="49" fillId="2" borderId="8" xfId="35" applyFont="1" applyFill="1" applyBorder="1" applyAlignment="1">
      <alignment horizontal="center" vertical="center"/>
    </xf>
    <xf numFmtId="0" fontId="49" fillId="0" borderId="8" xfId="35" applyFont="1" applyBorder="1" applyAlignment="1">
      <alignment horizontal="center"/>
    </xf>
    <xf numFmtId="0" fontId="48" fillId="0" borderId="8" xfId="0" applyFont="1" applyBorder="1" applyAlignment="1">
      <alignment horizontal="center" vertical="center"/>
    </xf>
    <xf numFmtId="0" fontId="99" fillId="0" borderId="19" xfId="0" applyFont="1" applyBorder="1" applyAlignment="1">
      <alignment horizontal="center"/>
    </xf>
    <xf numFmtId="1" fontId="0" fillId="0" borderId="8" xfId="0" applyNumberFormat="1" applyBorder="1" applyAlignment="1">
      <alignment horizontal="center" vertical="center"/>
    </xf>
    <xf numFmtId="1" fontId="94" fillId="0" borderId="8" xfId="0" applyNumberFormat="1" applyFont="1" applyBorder="1" applyAlignment="1">
      <alignment horizontal="center" vertical="center"/>
    </xf>
    <xf numFmtId="165" fontId="94" fillId="0" borderId="8" xfId="0" applyNumberFormat="1" applyFont="1" applyBorder="1" applyAlignment="1">
      <alignment horizontal="center" vertical="center"/>
    </xf>
    <xf numFmtId="0" fontId="94" fillId="0" borderId="8" xfId="0" applyFont="1" applyBorder="1" applyAlignment="1">
      <alignment vertical="center"/>
    </xf>
    <xf numFmtId="0" fontId="47" fillId="0" borderId="8" xfId="0" applyFont="1" applyBorder="1" applyAlignment="1">
      <alignment horizontal="center" vertical="center"/>
    </xf>
    <xf numFmtId="0" fontId="188" fillId="42" borderId="71" xfId="0" applyFont="1" applyFill="1" applyBorder="1" applyAlignment="1">
      <alignment horizontal="center" vertical="center" wrapText="1" readingOrder="1"/>
    </xf>
    <xf numFmtId="0" fontId="186" fillId="42" borderId="71" xfId="0" applyFont="1" applyFill="1" applyBorder="1" applyAlignment="1">
      <alignment horizontal="center" vertical="center" readingOrder="1"/>
    </xf>
    <xf numFmtId="0" fontId="187" fillId="42" borderId="71"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7" fillId="42" borderId="72" xfId="0" applyFont="1" applyFill="1" applyBorder="1" applyAlignment="1">
      <alignment horizontal="center" vertical="center" readingOrder="1"/>
    </xf>
    <xf numFmtId="0" fontId="188" fillId="42" borderId="71" xfId="0" applyFont="1" applyFill="1" applyBorder="1" applyAlignment="1">
      <alignment horizontal="center" vertical="center" readingOrder="1"/>
    </xf>
    <xf numFmtId="0" fontId="188" fillId="42" borderId="70" xfId="0" applyFont="1" applyFill="1" applyBorder="1" applyAlignment="1">
      <alignment horizontal="center" vertical="center" readingOrder="1"/>
    </xf>
    <xf numFmtId="0" fontId="188" fillId="42" borderId="70" xfId="0" applyFont="1" applyFill="1" applyBorder="1" applyAlignment="1">
      <alignment horizontal="left" vertical="center" readingOrder="1"/>
    </xf>
    <xf numFmtId="0" fontId="188" fillId="42" borderId="71" xfId="0" applyFont="1" applyFill="1" applyBorder="1" applyAlignment="1">
      <alignment horizontal="left" vertical="center" readingOrder="1"/>
    </xf>
    <xf numFmtId="0" fontId="189" fillId="43" borderId="8" xfId="0" applyFont="1" applyFill="1" applyBorder="1" applyAlignment="1">
      <alignment horizontal="center" vertical="center" wrapText="1" readingOrder="1"/>
    </xf>
    <xf numFmtId="0" fontId="190" fillId="43" borderId="8" xfId="0" applyFont="1" applyFill="1" applyBorder="1" applyAlignment="1">
      <alignment horizontal="center" vertical="center" wrapText="1" readingOrder="1"/>
    </xf>
    <xf numFmtId="0" fontId="191" fillId="43" borderId="8" xfId="0" applyFont="1" applyFill="1" applyBorder="1" applyAlignment="1">
      <alignment horizontal="center" vertical="center" wrapText="1" readingOrder="1"/>
    </xf>
    <xf numFmtId="0" fontId="46" fillId="0" borderId="8" xfId="0" applyFont="1" applyBorder="1"/>
    <xf numFmtId="0" fontId="164" fillId="5" borderId="8" xfId="0" applyFont="1" applyFill="1" applyBorder="1" applyAlignment="1">
      <alignment horizontal="left" vertical="center" wrapText="1"/>
    </xf>
    <xf numFmtId="0" fontId="45" fillId="0" borderId="8" xfId="0" applyFont="1" applyBorder="1"/>
    <xf numFmtId="0" fontId="164" fillId="5" borderId="8" xfId="0" applyFont="1" applyFill="1" applyBorder="1" applyAlignment="1">
      <alignment vertical="center"/>
    </xf>
    <xf numFmtId="0" fontId="44" fillId="0" borderId="8" xfId="0" applyFont="1" applyBorder="1"/>
    <xf numFmtId="49" fontId="44" fillId="2" borderId="8" xfId="0" quotePrefix="1" applyNumberFormat="1" applyFont="1" applyFill="1" applyBorder="1" applyAlignment="1">
      <alignment horizontal="center"/>
    </xf>
    <xf numFmtId="0" fontId="44" fillId="2" borderId="8" xfId="0" applyFont="1" applyFill="1" applyBorder="1" applyAlignment="1">
      <alignment horizontal="center"/>
    </xf>
    <xf numFmtId="0" fontId="44" fillId="2" borderId="8" xfId="0" applyFont="1" applyFill="1" applyBorder="1" applyAlignment="1">
      <alignment horizontal="center" vertical="center"/>
    </xf>
    <xf numFmtId="0" fontId="184" fillId="0" borderId="8" xfId="0" applyFont="1" applyBorder="1" applyAlignment="1">
      <alignment horizontal="center" vertical="center"/>
    </xf>
    <xf numFmtId="0" fontId="184" fillId="0" borderId="8" xfId="0" applyFont="1" applyBorder="1" applyAlignment="1">
      <alignment horizontal="center" vertical="center" wrapText="1"/>
    </xf>
    <xf numFmtId="0" fontId="185" fillId="0" borderId="8" xfId="0" applyFont="1" applyBorder="1" applyAlignment="1">
      <alignment horizontal="center" vertical="center"/>
    </xf>
    <xf numFmtId="14" fontId="185" fillId="0" borderId="8" xfId="0" applyNumberFormat="1" applyFont="1" applyBorder="1" applyAlignment="1">
      <alignment horizontal="center" vertical="center"/>
    </xf>
    <xf numFmtId="0" fontId="102" fillId="0" borderId="8" xfId="27" applyFont="1" applyBorder="1" applyAlignment="1">
      <alignment vertical="center"/>
    </xf>
    <xf numFmtId="43" fontId="185" fillId="0" borderId="8" xfId="32" applyFont="1" applyBorder="1" applyAlignment="1">
      <alignment horizontal="center" vertical="center"/>
    </xf>
    <xf numFmtId="165" fontId="184" fillId="0" borderId="8" xfId="0" applyNumberFormat="1" applyFont="1" applyBorder="1" applyAlignment="1">
      <alignment vertical="center"/>
    </xf>
    <xf numFmtId="0" fontId="192" fillId="0" borderId="8" xfId="27" applyFont="1" applyBorder="1" applyAlignment="1">
      <alignment vertical="center"/>
    </xf>
    <xf numFmtId="166" fontId="94" fillId="34" borderId="8" xfId="33" applyNumberFormat="1" applyFont="1" applyFill="1" applyBorder="1" applyAlignment="1">
      <alignment horizontal="center" vertical="center" wrapText="1"/>
    </xf>
    <xf numFmtId="2" fontId="94" fillId="34" borderId="8" xfId="33" applyNumberFormat="1" applyFont="1" applyFill="1" applyBorder="1" applyAlignment="1">
      <alignment horizontal="center" vertical="center" wrapText="1"/>
    </xf>
    <xf numFmtId="0" fontId="185" fillId="2" borderId="8" xfId="0" applyFont="1" applyFill="1" applyBorder="1" applyAlignment="1">
      <alignment horizontal="center" vertical="center"/>
    </xf>
    <xf numFmtId="43" fontId="185" fillId="2" borderId="8" xfId="32" applyFont="1" applyFill="1" applyBorder="1" applyAlignment="1">
      <alignment horizontal="center" vertical="center"/>
    </xf>
    <xf numFmtId="14" fontId="185" fillId="2" borderId="8" xfId="0" applyNumberFormat="1" applyFont="1" applyFill="1" applyBorder="1" applyAlignment="1">
      <alignment horizontal="center" vertical="center"/>
    </xf>
    <xf numFmtId="0" fontId="102" fillId="2" borderId="8" xfId="27" applyFont="1" applyFill="1" applyBorder="1" applyAlignment="1">
      <alignment vertical="center"/>
    </xf>
    <xf numFmtId="14" fontId="185" fillId="2" borderId="8" xfId="0" applyNumberFormat="1" applyFont="1" applyFill="1" applyBorder="1" applyAlignment="1">
      <alignment horizontal="center" vertical="center" wrapText="1"/>
    </xf>
    <xf numFmtId="0" fontId="43" fillId="0" borderId="8" xfId="0" applyFont="1" applyBorder="1" applyAlignment="1">
      <alignment horizontal="center" vertical="center"/>
    </xf>
    <xf numFmtId="0" fontId="43" fillId="0" borderId="8" xfId="0" applyFont="1" applyBorder="1" applyAlignment="1">
      <alignment horizontal="center" vertical="center" wrapText="1"/>
    </xf>
    <xf numFmtId="43" fontId="43" fillId="0" borderId="8" xfId="32" applyFont="1" applyBorder="1" applyAlignment="1">
      <alignment horizontal="center" vertical="center" wrapText="1"/>
    </xf>
    <xf numFmtId="43" fontId="94" fillId="0" borderId="8" xfId="32" applyFont="1" applyBorder="1" applyAlignment="1">
      <alignment horizontal="center" vertical="center" wrapText="1"/>
    </xf>
    <xf numFmtId="0" fontId="43" fillId="0" borderId="8" xfId="0" applyFont="1" applyBorder="1" applyAlignment="1">
      <alignment vertical="center"/>
    </xf>
    <xf numFmtId="43" fontId="0" fillId="0" borderId="8" xfId="32" applyFont="1" applyBorder="1" applyAlignment="1">
      <alignment horizontal="center"/>
    </xf>
    <xf numFmtId="43" fontId="94" fillId="0" borderId="8" xfId="0" applyNumberFormat="1" applyFont="1" applyBorder="1" applyAlignment="1">
      <alignment horizontal="center"/>
    </xf>
    <xf numFmtId="0" fontId="94" fillId="34" borderId="11" xfId="33" applyFont="1" applyFill="1" applyBorder="1" applyAlignment="1">
      <alignment horizontal="center" vertical="center" wrapText="1"/>
    </xf>
    <xf numFmtId="0" fontId="43" fillId="2" borderId="8" xfId="33" applyFont="1" applyFill="1" applyBorder="1" applyAlignment="1">
      <alignment horizontal="center" vertical="center" wrapText="1"/>
    </xf>
    <xf numFmtId="0" fontId="43" fillId="0" borderId="0" xfId="33" applyFont="1"/>
    <xf numFmtId="0" fontId="43" fillId="0" borderId="0" xfId="33" applyFont="1" applyAlignment="1">
      <alignment vertical="center"/>
    </xf>
    <xf numFmtId="0" fontId="43" fillId="0" borderId="0" xfId="33" applyFont="1" applyAlignment="1">
      <alignment horizontal="center"/>
    </xf>
    <xf numFmtId="0" fontId="43" fillId="40" borderId="8" xfId="33" applyFont="1" applyFill="1" applyBorder="1"/>
    <xf numFmtId="0" fontId="43" fillId="0" borderId="8" xfId="33" applyFont="1" applyBorder="1" applyAlignment="1">
      <alignment horizontal="center"/>
    </xf>
    <xf numFmtId="0" fontId="43" fillId="2" borderId="8" xfId="33" applyFont="1" applyFill="1" applyBorder="1"/>
    <xf numFmtId="0" fontId="43" fillId="0" borderId="8" xfId="33" applyFont="1" applyBorder="1"/>
    <xf numFmtId="0" fontId="43" fillId="0" borderId="8" xfId="0" applyFont="1" applyBorder="1"/>
    <xf numFmtId="0" fontId="43" fillId="0" borderId="8" xfId="33" applyFont="1" applyBorder="1" applyAlignment="1">
      <alignment vertical="center"/>
    </xf>
    <xf numFmtId="166" fontId="43" fillId="0" borderId="8" xfId="33" applyNumberFormat="1" applyFont="1" applyBorder="1" applyAlignment="1">
      <alignment horizontal="center"/>
    </xf>
    <xf numFmtId="0" fontId="43" fillId="2" borderId="8" xfId="0" applyFont="1" applyFill="1" applyBorder="1" applyAlignment="1">
      <alignment horizontal="center" vertical="center" wrapText="1"/>
    </xf>
    <xf numFmtId="49" fontId="43" fillId="0" borderId="8" xfId="0" applyNumberFormat="1" applyFont="1" applyBorder="1" applyAlignment="1">
      <alignment horizontal="center" vertical="center"/>
    </xf>
    <xf numFmtId="166" fontId="43" fillId="0" borderId="8" xfId="0" applyNumberFormat="1" applyFont="1" applyBorder="1" applyAlignment="1">
      <alignment horizontal="center" vertical="center"/>
    </xf>
    <xf numFmtId="0" fontId="43" fillId="0" borderId="8" xfId="0" applyFont="1" applyBorder="1" applyAlignment="1">
      <alignment horizontal="center"/>
    </xf>
    <xf numFmtId="166" fontId="43" fillId="0" borderId="8" xfId="0" applyNumberFormat="1" applyFont="1" applyBorder="1" applyAlignment="1">
      <alignment horizontal="center"/>
    </xf>
    <xf numFmtId="1" fontId="43" fillId="0" borderId="8" xfId="0" applyNumberFormat="1" applyFont="1" applyBorder="1" applyAlignment="1">
      <alignment horizontal="center"/>
    </xf>
    <xf numFmtId="1" fontId="43" fillId="0" borderId="8" xfId="0" applyNumberFormat="1" applyFont="1" applyBorder="1" applyAlignment="1">
      <alignment horizontal="center" vertical="center"/>
    </xf>
    <xf numFmtId="165" fontId="43" fillId="0" borderId="8" xfId="0" applyNumberFormat="1" applyFont="1" applyBorder="1" applyAlignment="1">
      <alignment horizontal="center" vertical="center"/>
    </xf>
    <xf numFmtId="2" fontId="43" fillId="0" borderId="8" xfId="0" applyNumberFormat="1" applyFont="1" applyBorder="1" applyAlignment="1">
      <alignment horizontal="center" vertical="center"/>
    </xf>
    <xf numFmtId="0" fontId="43" fillId="0" borderId="8" xfId="0" applyFont="1" applyBorder="1" applyAlignment="1">
      <alignment horizontal="left" vertical="center" wrapText="1"/>
    </xf>
    <xf numFmtId="0" fontId="43" fillId="0" borderId="8" xfId="0" applyFont="1" applyBorder="1" applyAlignment="1">
      <alignment horizontal="left" vertical="center"/>
    </xf>
    <xf numFmtId="0" fontId="43" fillId="0" borderId="8" xfId="0" applyFont="1" applyBorder="1" applyAlignment="1">
      <alignment horizontal="left"/>
    </xf>
    <xf numFmtId="0" fontId="43" fillId="6" borderId="8" xfId="33" applyFont="1" applyFill="1" applyBorder="1"/>
    <xf numFmtId="0" fontId="43" fillId="6" borderId="8" xfId="33" applyFont="1" applyFill="1" applyBorder="1" applyAlignment="1">
      <alignment vertical="center"/>
    </xf>
    <xf numFmtId="166" fontId="43" fillId="6" borderId="8" xfId="33" applyNumberFormat="1" applyFont="1" applyFill="1" applyBorder="1" applyAlignment="1">
      <alignment horizontal="center"/>
    </xf>
    <xf numFmtId="0" fontId="43" fillId="6" borderId="8" xfId="33" applyFont="1" applyFill="1" applyBorder="1" applyAlignment="1">
      <alignment horizontal="center"/>
    </xf>
    <xf numFmtId="2" fontId="43" fillId="0" borderId="8" xfId="0" applyNumberFormat="1" applyFont="1" applyBorder="1" applyAlignment="1">
      <alignment horizontal="center" vertical="center" wrapText="1"/>
    </xf>
    <xf numFmtId="166" fontId="43" fillId="0" borderId="8" xfId="0" applyNumberFormat="1" applyFont="1" applyBorder="1" applyAlignment="1">
      <alignment horizontal="center" vertical="center" wrapText="1"/>
    </xf>
    <xf numFmtId="0" fontId="183" fillId="2" borderId="8" xfId="37" applyFill="1" applyBorder="1" applyAlignment="1">
      <alignment horizontal="center" vertical="center"/>
    </xf>
    <xf numFmtId="0" fontId="43" fillId="0" borderId="8" xfId="33" applyFont="1" applyBorder="1" applyAlignment="1">
      <alignment horizontal="center" vertical="center"/>
    </xf>
    <xf numFmtId="0" fontId="43" fillId="40" borderId="8" xfId="0" applyFont="1" applyFill="1" applyBorder="1" applyAlignment="1">
      <alignment horizontal="center" vertical="center"/>
    </xf>
    <xf numFmtId="166" fontId="43" fillId="0" borderId="8" xfId="0" applyNumberFormat="1" applyFont="1" applyBorder="1" applyAlignment="1">
      <alignment vertical="center" wrapText="1"/>
    </xf>
    <xf numFmtId="0" fontId="43" fillId="40" borderId="8" xfId="33" applyFont="1" applyFill="1" applyBorder="1" applyAlignment="1">
      <alignment vertical="center"/>
    </xf>
    <xf numFmtId="166" fontId="43" fillId="0" borderId="8" xfId="0" applyNumberFormat="1" applyFont="1" applyBorder="1" applyAlignment="1">
      <alignment vertical="center"/>
    </xf>
    <xf numFmtId="2" fontId="95" fillId="0" borderId="8" xfId="0" applyNumberFormat="1" applyFont="1" applyBorder="1" applyAlignment="1">
      <alignment horizontal="center"/>
    </xf>
    <xf numFmtId="0" fontId="43" fillId="2" borderId="8" xfId="0" applyFont="1" applyFill="1" applyBorder="1" applyAlignment="1">
      <alignment horizontal="center" vertical="center"/>
    </xf>
    <xf numFmtId="49" fontId="43" fillId="2" borderId="8" xfId="0" quotePrefix="1" applyNumberFormat="1" applyFont="1" applyFill="1" applyBorder="1" applyAlignment="1">
      <alignment horizontal="center"/>
    </xf>
    <xf numFmtId="0" fontId="43" fillId="2" borderId="8" xfId="0" applyFont="1" applyFill="1" applyBorder="1" applyAlignment="1">
      <alignment horizontal="center"/>
    </xf>
    <xf numFmtId="0" fontId="164" fillId="6" borderId="8" xfId="0" applyFont="1" applyFill="1" applyBorder="1" applyAlignment="1">
      <alignment horizontal="center" vertical="center"/>
    </xf>
    <xf numFmtId="16" fontId="164" fillId="6" borderId="8" xfId="0" quotePrefix="1" applyNumberFormat="1" applyFont="1" applyFill="1" applyBorder="1" applyAlignment="1">
      <alignment horizontal="center" vertical="center"/>
    </xf>
    <xf numFmtId="43" fontId="164" fillId="6" borderId="8" xfId="32" applyFont="1" applyFill="1" applyBorder="1" applyAlignment="1">
      <alignment horizontal="center" vertical="center"/>
    </xf>
    <xf numFmtId="175" fontId="164" fillId="6" borderId="8" xfId="0" applyNumberFormat="1" applyFont="1" applyFill="1" applyBorder="1" applyAlignment="1">
      <alignment horizontal="center" vertical="center"/>
    </xf>
    <xf numFmtId="0" fontId="164" fillId="6" borderId="8" xfId="0" applyFont="1" applyFill="1" applyBorder="1" applyAlignment="1">
      <alignment horizontal="center" vertical="center" wrapText="1"/>
    </xf>
    <xf numFmtId="0" fontId="164" fillId="6" borderId="8" xfId="0" applyFont="1" applyFill="1" applyBorder="1" applyAlignment="1">
      <alignment horizontal="left" vertical="center" wrapText="1"/>
    </xf>
    <xf numFmtId="0" fontId="95" fillId="2" borderId="8" xfId="35" applyFont="1" applyFill="1" applyBorder="1" applyAlignment="1">
      <alignment horizontal="center"/>
    </xf>
    <xf numFmtId="0" fontId="135" fillId="0" borderId="8" xfId="26" quotePrefix="1" applyFont="1" applyBorder="1" applyAlignment="1">
      <alignment horizontal="center" vertical="center" wrapText="1"/>
    </xf>
    <xf numFmtId="0" fontId="42" fillId="2" borderId="8" xfId="35" applyFont="1" applyFill="1" applyBorder="1" applyAlignment="1">
      <alignment horizontal="center"/>
    </xf>
    <xf numFmtId="0" fontId="193" fillId="2" borderId="8" xfId="26" applyFont="1" applyFill="1" applyBorder="1" applyAlignment="1">
      <alignment horizontal="center" vertical="center" wrapText="1"/>
    </xf>
    <xf numFmtId="2" fontId="135" fillId="32" borderId="8" xfId="26" applyNumberFormat="1" applyFont="1" applyFill="1" applyBorder="1" applyAlignment="1">
      <alignment horizontal="center" vertical="center" wrapText="1"/>
    </xf>
    <xf numFmtId="0" fontId="41" fillId="0" borderId="8" xfId="35" applyFont="1" applyBorder="1" applyAlignment="1">
      <alignment horizontal="center"/>
    </xf>
    <xf numFmtId="0" fontId="118" fillId="6" borderId="8" xfId="29" applyFont="1" applyFill="1" applyBorder="1" applyAlignment="1">
      <alignment horizontal="center" vertical="center" wrapText="1"/>
    </xf>
    <xf numFmtId="41" fontId="117" fillId="6" borderId="8" xfId="29" applyNumberFormat="1" applyFont="1" applyFill="1" applyBorder="1" applyAlignment="1">
      <alignment horizontal="center" vertical="center" wrapText="1"/>
    </xf>
    <xf numFmtId="41" fontId="117" fillId="6" borderId="8" xfId="29" applyNumberFormat="1" applyFont="1" applyFill="1" applyBorder="1" applyAlignment="1">
      <alignment vertical="center" wrapText="1"/>
    </xf>
    <xf numFmtId="177" fontId="118" fillId="6" borderId="8" xfId="29" applyNumberFormat="1" applyFont="1" applyFill="1" applyBorder="1" applyAlignment="1">
      <alignment horizontal="center" vertical="center" wrapText="1"/>
    </xf>
    <xf numFmtId="177" fontId="117" fillId="6" borderId="8" xfId="29" applyNumberFormat="1" applyFont="1" applyFill="1" applyBorder="1" applyAlignment="1">
      <alignment horizontal="center" vertical="center" wrapText="1"/>
    </xf>
    <xf numFmtId="41" fontId="117" fillId="6" borderId="8" xfId="29" applyNumberFormat="1" applyFont="1" applyFill="1" applyBorder="1" applyAlignment="1">
      <alignment horizontal="center" vertical="center"/>
    </xf>
    <xf numFmtId="41" fontId="117" fillId="6" borderId="8" xfId="29" applyNumberFormat="1" applyFont="1" applyFill="1" applyBorder="1" applyAlignment="1">
      <alignment vertical="center"/>
    </xf>
    <xf numFmtId="0" fontId="178" fillId="6" borderId="0" xfId="29" applyFont="1" applyFill="1" applyAlignment="1">
      <alignment horizontal="left" vertical="center"/>
    </xf>
    <xf numFmtId="0" fontId="164" fillId="5" borderId="8" xfId="0" applyFont="1" applyFill="1" applyBorder="1" applyAlignment="1">
      <alignment horizontal="center" vertical="center" wrapText="1"/>
    </xf>
    <xf numFmtId="0" fontId="178" fillId="6" borderId="0" xfId="29" applyFont="1" applyFill="1" applyAlignment="1">
      <alignment horizontal="center" vertical="center"/>
    </xf>
    <xf numFmtId="0" fontId="179" fillId="6" borderId="0" xfId="29" applyFont="1" applyFill="1"/>
    <xf numFmtId="0" fontId="119" fillId="6" borderId="0" xfId="29" applyFont="1" applyFill="1" applyAlignment="1">
      <alignment vertical="center"/>
    </xf>
    <xf numFmtId="0" fontId="165" fillId="3" borderId="7" xfId="0" applyFont="1" applyFill="1" applyBorder="1" applyAlignment="1">
      <alignment vertical="center" wrapText="1"/>
    </xf>
    <xf numFmtId="0" fontId="0" fillId="0" borderId="8" xfId="0" applyBorder="1" applyAlignment="1">
      <alignment horizontal="left" vertical="center"/>
    </xf>
    <xf numFmtId="43" fontId="164" fillId="44" borderId="8" xfId="32" applyFont="1" applyFill="1" applyBorder="1" applyAlignment="1">
      <alignment horizontal="center" vertical="center"/>
    </xf>
    <xf numFmtId="1" fontId="117" fillId="0" borderId="8" xfId="26" applyNumberFormat="1" applyFont="1" applyBorder="1" applyAlignment="1">
      <alignment horizontal="center" vertical="center" wrapText="1"/>
    </xf>
    <xf numFmtId="14" fontId="185" fillId="0" borderId="8" xfId="0" applyNumberFormat="1" applyFont="1" applyBorder="1" applyAlignment="1">
      <alignment horizontal="center" vertical="center" wrapText="1"/>
    </xf>
    <xf numFmtId="0" fontId="40" fillId="0" borderId="8" xfId="0" applyFont="1" applyBorder="1" applyAlignment="1">
      <alignment horizontal="center"/>
    </xf>
    <xf numFmtId="43" fontId="40" fillId="0" borderId="8" xfId="32" applyFont="1" applyBorder="1" applyAlignment="1">
      <alignment horizontal="center"/>
    </xf>
    <xf numFmtId="0" fontId="102" fillId="2" borderId="7" xfId="27" applyFont="1" applyFill="1" applyBorder="1" applyAlignment="1">
      <alignment vertical="center" wrapText="1"/>
    </xf>
    <xf numFmtId="0" fontId="102" fillId="2" borderId="44" xfId="27" applyFont="1" applyFill="1" applyBorder="1" applyAlignment="1">
      <alignment vertical="center" wrapText="1"/>
    </xf>
    <xf numFmtId="0" fontId="39" fillId="0" borderId="8" xfId="35" applyFont="1" applyBorder="1" applyAlignment="1">
      <alignment horizontal="center"/>
    </xf>
    <xf numFmtId="0" fontId="38" fillId="2" borderId="8" xfId="35" applyFont="1" applyFill="1" applyBorder="1" applyAlignment="1">
      <alignment vertical="center"/>
    </xf>
    <xf numFmtId="0" fontId="38" fillId="2" borderId="8" xfId="35" applyFont="1" applyFill="1" applyBorder="1" applyAlignment="1">
      <alignment horizontal="center" vertical="center"/>
    </xf>
    <xf numFmtId="0" fontId="37" fillId="0" borderId="0" xfId="35" applyFont="1" applyAlignment="1">
      <alignment horizontal="center" vertical="center"/>
    </xf>
    <xf numFmtId="0" fontId="37" fillId="0" borderId="0" xfId="35" applyFont="1" applyAlignment="1">
      <alignment horizontal="center"/>
    </xf>
    <xf numFmtId="178" fontId="117" fillId="0" borderId="8" xfId="29" applyNumberFormat="1" applyFont="1" applyBorder="1" applyAlignment="1">
      <alignment vertical="center" wrapText="1"/>
    </xf>
    <xf numFmtId="178" fontId="117" fillId="6" borderId="8" xfId="29" applyNumberFormat="1" applyFont="1" applyFill="1" applyBorder="1" applyAlignment="1">
      <alignment horizontal="center" vertical="center" wrapText="1"/>
    </xf>
    <xf numFmtId="178" fontId="117" fillId="0" borderId="8" xfId="29" applyNumberFormat="1" applyFont="1" applyBorder="1" applyAlignment="1">
      <alignment horizontal="center" vertical="center" wrapText="1"/>
    </xf>
    <xf numFmtId="178" fontId="117" fillId="0" borderId="8" xfId="29" applyNumberFormat="1" applyFont="1" applyBorder="1" applyAlignment="1">
      <alignment horizontal="right" vertical="center" wrapText="1"/>
    </xf>
    <xf numFmtId="0" fontId="194" fillId="0" borderId="0" xfId="10" applyFont="1" applyAlignment="1">
      <alignment horizontal="left" vertical="center"/>
    </xf>
    <xf numFmtId="0" fontId="195" fillId="0" borderId="0" xfId="7" applyFont="1" applyAlignment="1">
      <alignment horizontal="center" vertical="center"/>
    </xf>
    <xf numFmtId="0" fontId="195" fillId="0" borderId="0" xfId="7" applyFont="1" applyAlignment="1">
      <alignment vertical="center"/>
    </xf>
    <xf numFmtId="166" fontId="195" fillId="0" borderId="0" xfId="7" applyNumberFormat="1" applyFont="1" applyAlignment="1">
      <alignment vertical="center"/>
    </xf>
    <xf numFmtId="0" fontId="196" fillId="0" borderId="0" xfId="10" applyFont="1" applyAlignment="1">
      <alignment vertical="center"/>
    </xf>
    <xf numFmtId="43" fontId="196" fillId="6" borderId="8" xfId="38" applyFont="1" applyFill="1" applyBorder="1" applyAlignment="1">
      <alignment horizontal="center" vertical="center"/>
    </xf>
    <xf numFmtId="166" fontId="195" fillId="0" borderId="8" xfId="7" applyNumberFormat="1" applyFont="1" applyBorder="1" applyAlignment="1">
      <alignment vertical="center"/>
    </xf>
    <xf numFmtId="1" fontId="196" fillId="6" borderId="8" xfId="7" applyNumberFormat="1" applyFont="1" applyFill="1" applyBorder="1" applyAlignment="1">
      <alignment horizontal="center" vertical="center"/>
    </xf>
    <xf numFmtId="166" fontId="195" fillId="6" borderId="8" xfId="7" applyNumberFormat="1" applyFont="1" applyFill="1" applyBorder="1" applyAlignment="1">
      <alignment vertical="center"/>
    </xf>
    <xf numFmtId="0" fontId="197" fillId="34" borderId="8" xfId="7" applyFont="1" applyFill="1" applyBorder="1" applyAlignment="1">
      <alignment horizontal="center" vertical="center" wrapText="1"/>
    </xf>
    <xf numFmtId="0" fontId="197" fillId="0" borderId="8" xfId="7" applyFont="1" applyBorder="1" applyAlignment="1">
      <alignment horizontal="center" vertical="center" wrapText="1"/>
    </xf>
    <xf numFmtId="0" fontId="195" fillId="0" borderId="8" xfId="7" applyFont="1" applyBorder="1" applyAlignment="1">
      <alignment horizontal="center" vertical="center"/>
    </xf>
    <xf numFmtId="0" fontId="195" fillId="0" borderId="8" xfId="7" applyFont="1" applyBorder="1" applyAlignment="1">
      <alignment horizontal="center" vertical="center" wrapText="1"/>
    </xf>
    <xf numFmtId="0" fontId="195" fillId="2" borderId="8" xfId="7" applyFont="1" applyFill="1" applyBorder="1" applyAlignment="1">
      <alignment horizontal="center" vertical="center"/>
    </xf>
    <xf numFmtId="0" fontId="195" fillId="0" borderId="8" xfId="7" applyFont="1" applyBorder="1" applyAlignment="1">
      <alignment vertical="center"/>
    </xf>
    <xf numFmtId="0" fontId="195" fillId="0" borderId="8" xfId="7" applyFont="1" applyBorder="1" applyAlignment="1">
      <alignment horizontal="left" vertical="center"/>
    </xf>
    <xf numFmtId="0" fontId="198" fillId="0" borderId="8" xfId="7" applyFont="1" applyBorder="1" applyAlignment="1">
      <alignment horizontal="center" vertical="center" wrapText="1"/>
    </xf>
    <xf numFmtId="1" fontId="195" fillId="2" borderId="8" xfId="7" applyNumberFormat="1" applyFont="1" applyFill="1" applyBorder="1" applyAlignment="1">
      <alignment horizontal="center" vertical="center"/>
    </xf>
    <xf numFmtId="1" fontId="195" fillId="0" borderId="8" xfId="7" applyNumberFormat="1" applyFont="1" applyBorder="1" applyAlignment="1">
      <alignment horizontal="center" vertical="center"/>
    </xf>
    <xf numFmtId="166" fontId="195" fillId="0" borderId="8" xfId="7" applyNumberFormat="1" applyFont="1" applyBorder="1" applyAlignment="1">
      <alignment horizontal="center" vertical="center"/>
    </xf>
    <xf numFmtId="0" fontId="199" fillId="0" borderId="8" xfId="7" applyFont="1" applyBorder="1" applyAlignment="1">
      <alignment horizontal="center" vertical="center" wrapText="1"/>
    </xf>
    <xf numFmtId="0" fontId="195" fillId="6" borderId="8" xfId="7" applyFont="1" applyFill="1" applyBorder="1" applyAlignment="1">
      <alignment horizontal="left" vertical="center"/>
    </xf>
    <xf numFmtId="1" fontId="195" fillId="0" borderId="8" xfId="7" applyNumberFormat="1" applyFont="1" applyBorder="1" applyAlignment="1">
      <alignment vertical="center"/>
    </xf>
    <xf numFmtId="166" fontId="195" fillId="0" borderId="8" xfId="7" applyNumberFormat="1" applyFont="1" applyBorder="1" applyAlignment="1">
      <alignment horizontal="left" vertical="center"/>
    </xf>
    <xf numFmtId="0" fontId="199" fillId="2" borderId="8" xfId="7" applyFont="1" applyFill="1" applyBorder="1" applyAlignment="1">
      <alignment horizontal="center" vertical="center" wrapText="1"/>
    </xf>
    <xf numFmtId="0" fontId="195" fillId="6" borderId="8" xfId="7" applyFont="1" applyFill="1" applyBorder="1" applyAlignment="1">
      <alignment horizontal="left" vertical="center" wrapText="1"/>
    </xf>
    <xf numFmtId="0" fontId="195" fillId="6" borderId="8" xfId="7" applyFont="1" applyFill="1" applyBorder="1" applyAlignment="1">
      <alignment horizontal="center" vertical="center"/>
    </xf>
    <xf numFmtId="2" fontId="195" fillId="0" borderId="8" xfId="7" applyNumberFormat="1" applyFont="1" applyBorder="1" applyAlignment="1">
      <alignment horizontal="center" vertical="center"/>
    </xf>
    <xf numFmtId="2" fontId="195" fillId="0" borderId="8" xfId="7" applyNumberFormat="1" applyFont="1" applyBorder="1" applyAlignment="1">
      <alignment horizontal="left" vertical="center"/>
    </xf>
    <xf numFmtId="2" fontId="195" fillId="6" borderId="8" xfId="7" applyNumberFormat="1" applyFont="1" applyFill="1" applyBorder="1" applyAlignment="1">
      <alignment horizontal="left" vertical="center"/>
    </xf>
    <xf numFmtId="2" fontId="195" fillId="45" borderId="8" xfId="7" applyNumberFormat="1" applyFont="1" applyFill="1" applyBorder="1" applyAlignment="1">
      <alignment horizontal="left" vertical="center"/>
    </xf>
    <xf numFmtId="2" fontId="195" fillId="6" borderId="8" xfId="7" applyNumberFormat="1" applyFont="1" applyFill="1" applyBorder="1" applyAlignment="1">
      <alignment horizontal="left" vertical="center" wrapText="1"/>
    </xf>
    <xf numFmtId="166" fontId="196" fillId="6" borderId="8" xfId="7" applyNumberFormat="1" applyFont="1" applyFill="1" applyBorder="1" applyAlignment="1">
      <alignment horizontal="center" vertical="center"/>
    </xf>
    <xf numFmtId="0" fontId="36" fillId="0" borderId="0" xfId="39"/>
    <xf numFmtId="0" fontId="94" fillId="6" borderId="8" xfId="39" applyFont="1" applyFill="1" applyBorder="1" applyAlignment="1">
      <alignment horizontal="center" vertical="center" wrapText="1"/>
    </xf>
    <xf numFmtId="0" fontId="36" fillId="0" borderId="8" xfId="39" applyBorder="1" applyAlignment="1">
      <alignment horizontal="center" vertical="center"/>
    </xf>
    <xf numFmtId="0" fontId="36" fillId="0" borderId="8" xfId="39" applyBorder="1" applyAlignment="1">
      <alignment horizontal="center"/>
    </xf>
    <xf numFmtId="0" fontId="94" fillId="46" borderId="8" xfId="39" applyFont="1" applyFill="1" applyBorder="1" applyAlignment="1">
      <alignment horizontal="center"/>
    </xf>
    <xf numFmtId="0" fontId="94" fillId="46" borderId="8" xfId="39" applyFont="1" applyFill="1" applyBorder="1" applyAlignment="1">
      <alignment horizontal="center" vertical="center"/>
    </xf>
    <xf numFmtId="0" fontId="36" fillId="46" borderId="8" xfId="39" applyFill="1" applyBorder="1" applyAlignment="1">
      <alignment horizontal="center" vertical="center"/>
    </xf>
    <xf numFmtId="0" fontId="36" fillId="46" borderId="8" xfId="39" applyFill="1" applyBorder="1" applyAlignment="1">
      <alignment horizontal="center"/>
    </xf>
    <xf numFmtId="0" fontId="36" fillId="0" borderId="8" xfId="39" quotePrefix="1" applyBorder="1" applyAlignment="1">
      <alignment horizontal="center" vertical="center"/>
    </xf>
    <xf numFmtId="0" fontId="36" fillId="0" borderId="0" xfId="39" applyAlignment="1">
      <alignment horizontal="center"/>
    </xf>
    <xf numFmtId="0" fontId="94" fillId="6" borderId="8" xfId="0" applyFont="1" applyFill="1" applyBorder="1" applyAlignment="1">
      <alignment horizontal="center"/>
    </xf>
    <xf numFmtId="14" fontId="164" fillId="5" borderId="8" xfId="0" applyNumberFormat="1" applyFont="1" applyFill="1" applyBorder="1" applyAlignment="1">
      <alignment horizontal="center" vertical="center" wrapText="1"/>
    </xf>
    <xf numFmtId="0" fontId="195" fillId="5" borderId="8" xfId="7" applyFont="1" applyFill="1" applyBorder="1" applyAlignment="1">
      <alignment horizontal="center" vertical="center"/>
    </xf>
    <xf numFmtId="0" fontId="34" fillId="2" borderId="8" xfId="35" applyFont="1" applyFill="1" applyBorder="1" applyAlignment="1">
      <alignment vertical="center"/>
    </xf>
    <xf numFmtId="0" fontId="195" fillId="2" borderId="8" xfId="7" applyFont="1" applyFill="1" applyBorder="1" applyAlignment="1">
      <alignment horizontal="center" vertical="center" wrapText="1"/>
    </xf>
    <xf numFmtId="0" fontId="33" fillId="2" borderId="8" xfId="35" applyFont="1" applyFill="1" applyBorder="1" applyAlignment="1">
      <alignment vertical="center"/>
    </xf>
    <xf numFmtId="1" fontId="135" fillId="32" borderId="8" xfId="26" applyNumberFormat="1" applyFont="1" applyFill="1" applyBorder="1" applyAlignment="1">
      <alignment horizontal="center" vertical="center" wrapText="1"/>
    </xf>
    <xf numFmtId="14" fontId="195" fillId="0" borderId="0" xfId="7" applyNumberFormat="1" applyFont="1" applyAlignment="1">
      <alignment horizontal="center" vertical="center"/>
    </xf>
    <xf numFmtId="0" fontId="169" fillId="30" borderId="0" xfId="27" applyFont="1" applyFill="1"/>
    <xf numFmtId="0" fontId="169" fillId="30" borderId="0" xfId="27" applyFont="1" applyFill="1" applyAlignment="1">
      <alignment horizontal="center" vertical="center"/>
    </xf>
    <xf numFmtId="0" fontId="195" fillId="2" borderId="0" xfId="7" applyFont="1" applyFill="1" applyAlignment="1">
      <alignment horizontal="center" vertical="center"/>
    </xf>
    <xf numFmtId="0" fontId="195" fillId="2" borderId="0" xfId="7" applyFont="1" applyFill="1" applyAlignment="1">
      <alignment vertical="center"/>
    </xf>
    <xf numFmtId="0" fontId="164" fillId="2" borderId="8" xfId="0" applyFont="1" applyFill="1" applyBorder="1" applyAlignment="1">
      <alignment horizontal="center" vertical="center"/>
    </xf>
    <xf numFmtId="16" fontId="164" fillId="2" borderId="8" xfId="0" quotePrefix="1" applyNumberFormat="1" applyFont="1" applyFill="1" applyBorder="1" applyAlignment="1">
      <alignment horizontal="center" vertical="center"/>
    </xf>
    <xf numFmtId="43" fontId="164" fillId="2" borderId="8" xfId="32" applyFont="1" applyFill="1" applyBorder="1" applyAlignment="1">
      <alignment horizontal="center" vertical="center"/>
    </xf>
    <xf numFmtId="175" fontId="164" fillId="2" borderId="8" xfId="0" applyNumberFormat="1" applyFont="1" applyFill="1" applyBorder="1" applyAlignment="1">
      <alignment horizontal="center" vertical="center"/>
    </xf>
    <xf numFmtId="0" fontId="197" fillId="2" borderId="8" xfId="7" applyFont="1" applyFill="1" applyBorder="1" applyAlignment="1">
      <alignment horizontal="center" vertical="center" wrapText="1"/>
    </xf>
    <xf numFmtId="0" fontId="196" fillId="2" borderId="8" xfId="7" applyFont="1" applyFill="1" applyBorder="1" applyAlignment="1">
      <alignment horizontal="center" vertical="center"/>
    </xf>
    <xf numFmtId="2" fontId="195" fillId="2" borderId="8" xfId="7" applyNumberFormat="1" applyFont="1" applyFill="1" applyBorder="1" applyAlignment="1">
      <alignment horizontal="center" vertical="center"/>
    </xf>
    <xf numFmtId="0" fontId="195" fillId="2" borderId="8" xfId="7" applyFont="1" applyFill="1" applyBorder="1" applyAlignment="1">
      <alignment vertical="center"/>
    </xf>
    <xf numFmtId="2" fontId="195" fillId="2" borderId="8" xfId="7" applyNumberFormat="1" applyFont="1" applyFill="1" applyBorder="1" applyAlignment="1">
      <alignment horizontal="left" vertical="center"/>
    </xf>
    <xf numFmtId="0" fontId="197" fillId="45" borderId="8" xfId="7" applyFont="1" applyFill="1" applyBorder="1" applyAlignment="1">
      <alignment horizontal="center" vertical="center" wrapText="1"/>
    </xf>
    <xf numFmtId="0" fontId="195" fillId="45" borderId="8" xfId="7" applyFont="1" applyFill="1" applyBorder="1" applyAlignment="1">
      <alignment horizontal="center" vertical="center"/>
    </xf>
    <xf numFmtId="0" fontId="195" fillId="45" borderId="8" xfId="7" applyFont="1" applyFill="1" applyBorder="1" applyAlignment="1">
      <alignment horizontal="center" vertical="center" wrapText="1"/>
    </xf>
    <xf numFmtId="1" fontId="195" fillId="45" borderId="8" xfId="7" applyNumberFormat="1" applyFont="1" applyFill="1" applyBorder="1" applyAlignment="1">
      <alignment horizontal="center" vertical="center"/>
    </xf>
    <xf numFmtId="166" fontId="195" fillId="45" borderId="8" xfId="7" applyNumberFormat="1" applyFont="1" applyFill="1" applyBorder="1" applyAlignment="1">
      <alignment horizontal="center" vertical="center"/>
    </xf>
    <xf numFmtId="2" fontId="195" fillId="45" borderId="8" xfId="7" applyNumberFormat="1" applyFont="1" applyFill="1" applyBorder="1" applyAlignment="1">
      <alignment horizontal="center" vertical="center"/>
    </xf>
    <xf numFmtId="0" fontId="195" fillId="45" borderId="8" xfId="7" applyFont="1" applyFill="1" applyBorder="1" applyAlignment="1">
      <alignment vertical="center"/>
    </xf>
    <xf numFmtId="2" fontId="135" fillId="0" borderId="8" xfId="26" applyNumberFormat="1" applyFont="1" applyBorder="1" applyAlignment="1">
      <alignment horizontal="center" vertical="center" wrapText="1"/>
    </xf>
    <xf numFmtId="0" fontId="117" fillId="5" borderId="8" xfId="10" applyFont="1" applyFill="1" applyBorder="1" applyAlignment="1">
      <alignment horizontal="center" vertical="center"/>
    </xf>
    <xf numFmtId="0" fontId="165" fillId="5" borderId="8" xfId="0" applyFont="1" applyFill="1" applyBorder="1" applyAlignment="1">
      <alignment horizontal="center" vertical="center"/>
    </xf>
    <xf numFmtId="0" fontId="31" fillId="2" borderId="8" xfId="35" applyFont="1" applyFill="1" applyBorder="1" applyAlignment="1">
      <alignment horizontal="center" vertical="center"/>
    </xf>
    <xf numFmtId="0" fontId="94" fillId="6" borderId="8" xfId="39" applyFont="1" applyFill="1" applyBorder="1" applyAlignment="1">
      <alignment horizontal="center" vertical="center"/>
    </xf>
    <xf numFmtId="0" fontId="30" fillId="0" borderId="8" xfId="39" applyFont="1" applyBorder="1" applyAlignment="1">
      <alignment horizontal="center" vertical="center"/>
    </xf>
    <xf numFmtId="0" fontId="30" fillId="0" borderId="8" xfId="39" applyFont="1" applyBorder="1" applyAlignment="1">
      <alignment horizontal="center"/>
    </xf>
    <xf numFmtId="14" fontId="195" fillId="0" borderId="8" xfId="7" applyNumberFormat="1" applyFont="1" applyBorder="1" applyAlignment="1">
      <alignment horizontal="left" vertical="center"/>
    </xf>
    <xf numFmtId="2" fontId="195" fillId="6" borderId="8" xfId="7" applyNumberFormat="1" applyFont="1" applyFill="1" applyBorder="1" applyAlignment="1">
      <alignment horizontal="center" vertical="center"/>
    </xf>
    <xf numFmtId="14" fontId="195" fillId="0" borderId="8" xfId="7" applyNumberFormat="1" applyFont="1" applyBorder="1" applyAlignment="1">
      <alignment horizontal="center" vertical="center"/>
    </xf>
    <xf numFmtId="0" fontId="29" fillId="2" borderId="8" xfId="35" applyFont="1" applyFill="1" applyBorder="1" applyAlignment="1">
      <alignment vertical="center"/>
    </xf>
    <xf numFmtId="0" fontId="34" fillId="2" borderId="8" xfId="35" applyFont="1" applyFill="1" applyBorder="1" applyAlignment="1">
      <alignment horizontal="center"/>
    </xf>
    <xf numFmtId="14" fontId="195" fillId="2" borderId="8" xfId="7" applyNumberFormat="1" applyFont="1" applyFill="1" applyBorder="1" applyAlignment="1">
      <alignment horizontal="left" vertical="center"/>
    </xf>
    <xf numFmtId="14" fontId="195" fillId="2" borderId="8" xfId="7" applyNumberFormat="1" applyFont="1" applyFill="1" applyBorder="1" applyAlignment="1">
      <alignment horizontal="center" vertical="center"/>
    </xf>
    <xf numFmtId="0" fontId="164" fillId="2" borderId="0" xfId="0" applyFont="1" applyFill="1" applyAlignment="1">
      <alignment vertical="center"/>
    </xf>
    <xf numFmtId="166" fontId="195" fillId="2" borderId="8" xfId="7" applyNumberFormat="1" applyFont="1" applyFill="1" applyBorder="1" applyAlignment="1">
      <alignment horizontal="center" vertical="center"/>
    </xf>
    <xf numFmtId="166" fontId="195" fillId="2" borderId="8" xfId="7" applyNumberFormat="1" applyFont="1" applyFill="1" applyBorder="1" applyAlignment="1">
      <alignment horizontal="left" vertical="center"/>
    </xf>
    <xf numFmtId="0" fontId="195" fillId="2" borderId="8" xfId="7" applyFont="1" applyFill="1" applyBorder="1" applyAlignment="1">
      <alignment horizontal="left" vertical="center"/>
    </xf>
    <xf numFmtId="166" fontId="195" fillId="2" borderId="8" xfId="7" applyNumberFormat="1" applyFont="1" applyFill="1" applyBorder="1" applyAlignment="1">
      <alignment vertical="center"/>
    </xf>
    <xf numFmtId="1" fontId="195" fillId="2" borderId="8" xfId="7" applyNumberFormat="1" applyFont="1" applyFill="1" applyBorder="1" applyAlignment="1">
      <alignment vertical="center"/>
    </xf>
    <xf numFmtId="0" fontId="164" fillId="5" borderId="7" xfId="0" applyFont="1" applyFill="1" applyBorder="1" applyAlignment="1">
      <alignment horizontal="center" vertical="center"/>
    </xf>
    <xf numFmtId="0" fontId="117" fillId="6" borderId="8" xfId="10" applyFont="1" applyFill="1" applyBorder="1" applyAlignment="1">
      <alignment horizontal="center" vertical="center"/>
    </xf>
    <xf numFmtId="0" fontId="26" fillId="2" borderId="8" xfId="35" applyFont="1" applyFill="1" applyBorder="1" applyAlignment="1">
      <alignment vertical="center"/>
    </xf>
    <xf numFmtId="0" fontId="25" fillId="2" borderId="8" xfId="35" applyFont="1" applyFill="1" applyBorder="1" applyAlignment="1">
      <alignment vertical="center"/>
    </xf>
    <xf numFmtId="0" fontId="164" fillId="44" borderId="8" xfId="0" applyFont="1" applyFill="1" applyBorder="1" applyAlignment="1">
      <alignment horizontal="center" vertical="center"/>
    </xf>
    <xf numFmtId="16" fontId="164" fillId="44" borderId="8" xfId="0" quotePrefix="1" applyNumberFormat="1" applyFont="1" applyFill="1" applyBorder="1" applyAlignment="1">
      <alignment horizontal="center" vertical="center"/>
    </xf>
    <xf numFmtId="175" fontId="164" fillId="44" borderId="8" xfId="0" applyNumberFormat="1" applyFont="1" applyFill="1" applyBorder="1" applyAlignment="1">
      <alignment horizontal="center" vertical="center"/>
    </xf>
    <xf numFmtId="0" fontId="164" fillId="44" borderId="8" xfId="0" applyFont="1" applyFill="1" applyBorder="1" applyAlignment="1">
      <alignment horizontal="center" vertical="center" wrapText="1"/>
    </xf>
    <xf numFmtId="0" fontId="164" fillId="44" borderId="8" xfId="0" applyFont="1" applyFill="1" applyBorder="1" applyAlignment="1">
      <alignment horizontal="left" vertical="center" wrapText="1"/>
    </xf>
    <xf numFmtId="0" fontId="24" fillId="2" borderId="8" xfId="35" applyFont="1" applyFill="1" applyBorder="1" applyAlignment="1">
      <alignment vertical="center"/>
    </xf>
    <xf numFmtId="43" fontId="164" fillId="47" borderId="8" xfId="32" applyFont="1" applyFill="1" applyBorder="1" applyAlignment="1">
      <alignment horizontal="center" vertical="center"/>
    </xf>
    <xf numFmtId="0" fontId="23" fillId="2" borderId="8" xfId="35" applyFont="1" applyFill="1" applyBorder="1" applyAlignment="1">
      <alignment horizontal="center" vertical="center"/>
    </xf>
    <xf numFmtId="0" fontId="22" fillId="0" borderId="0" xfId="0" applyFont="1"/>
    <xf numFmtId="0" fontId="95" fillId="2" borderId="8" xfId="7" applyFont="1" applyFill="1" applyBorder="1" applyAlignment="1">
      <alignment horizontal="center" vertical="center"/>
    </xf>
    <xf numFmtId="0" fontId="22" fillId="0" borderId="8" xfId="0" applyFont="1" applyBorder="1" applyAlignment="1">
      <alignment horizontal="center"/>
    </xf>
    <xf numFmtId="0" fontId="95" fillId="6" borderId="8" xfId="7" applyFont="1" applyFill="1" applyBorder="1" applyAlignment="1">
      <alignment horizontal="center" vertical="center"/>
    </xf>
    <xf numFmtId="0" fontId="21" fillId="0" borderId="8" xfId="0" applyFont="1" applyBorder="1" applyAlignment="1">
      <alignment horizontal="center"/>
    </xf>
    <xf numFmtId="0" fontId="20" fillId="0" borderId="8" xfId="0" applyFont="1" applyBorder="1" applyAlignment="1">
      <alignment horizontal="center"/>
    </xf>
    <xf numFmtId="0" fontId="52" fillId="47" borderId="8" xfId="34" applyFont="1" applyFill="1" applyBorder="1" applyAlignment="1">
      <alignment horizontal="center" vertical="center"/>
    </xf>
    <xf numFmtId="14" fontId="52" fillId="47" borderId="8" xfId="34" applyNumberFormat="1" applyFont="1" applyFill="1" applyBorder="1" applyAlignment="1">
      <alignment horizontal="center" vertical="center"/>
    </xf>
    <xf numFmtId="0" fontId="19" fillId="47" borderId="8" xfId="34" applyFont="1" applyFill="1" applyBorder="1" applyAlignment="1">
      <alignment horizontal="center" vertical="center"/>
    </xf>
    <xf numFmtId="0" fontId="52" fillId="47" borderId="8" xfId="34" applyFont="1" applyFill="1" applyBorder="1" applyAlignment="1">
      <alignment horizontal="left" vertical="center" wrapText="1"/>
    </xf>
    <xf numFmtId="0" fontId="52" fillId="47" borderId="8" xfId="34" applyFont="1" applyFill="1" applyBorder="1" applyAlignment="1">
      <alignment vertical="center"/>
    </xf>
    <xf numFmtId="0" fontId="35" fillId="47" borderId="8" xfId="34" applyFont="1" applyFill="1" applyBorder="1" applyAlignment="1">
      <alignment horizontal="center" vertical="center"/>
    </xf>
    <xf numFmtId="0" fontId="32" fillId="47" borderId="8" xfId="34" applyFont="1" applyFill="1" applyBorder="1" applyAlignment="1">
      <alignment horizontal="center" vertical="center"/>
    </xf>
    <xf numFmtId="0" fontId="32" fillId="47" borderId="8" xfId="34" applyFont="1" applyFill="1" applyBorder="1" applyAlignment="1">
      <alignment horizontal="left" vertical="center" wrapText="1"/>
    </xf>
    <xf numFmtId="0" fontId="29" fillId="47" borderId="8" xfId="34" applyFont="1" applyFill="1" applyBorder="1" applyAlignment="1">
      <alignment horizontal="center" vertical="center"/>
    </xf>
    <xf numFmtId="0" fontId="27" fillId="47" borderId="8" xfId="34" applyFont="1" applyFill="1" applyBorder="1" applyAlignment="1">
      <alignment horizontal="center" vertical="center" wrapText="1"/>
    </xf>
    <xf numFmtId="0" fontId="20" fillId="47" borderId="8" xfId="34" applyFont="1" applyFill="1" applyBorder="1" applyAlignment="1">
      <alignment horizontal="center" vertical="center" wrapText="1"/>
    </xf>
    <xf numFmtId="0" fontId="164" fillId="2" borderId="8" xfId="0" applyFont="1" applyFill="1" applyBorder="1" applyAlignment="1">
      <alignment vertical="center"/>
    </xf>
    <xf numFmtId="0" fontId="117" fillId="44" borderId="8" xfId="10" applyFont="1" applyFill="1" applyBorder="1" applyAlignment="1">
      <alignment horizontal="center" vertical="center"/>
    </xf>
    <xf numFmtId="0" fontId="94" fillId="2" borderId="0" xfId="34" applyFont="1" applyFill="1"/>
    <xf numFmtId="0" fontId="195" fillId="9" borderId="8" xfId="7" applyFont="1" applyFill="1" applyBorder="1" applyAlignment="1">
      <alignment horizontal="center" vertical="center"/>
    </xf>
    <xf numFmtId="0" fontId="18" fillId="47" borderId="8" xfId="34" applyFont="1" applyFill="1" applyBorder="1" applyAlignment="1">
      <alignment horizontal="center" vertical="center" wrapText="1"/>
    </xf>
    <xf numFmtId="14" fontId="164" fillId="44" borderId="8" xfId="0" applyNumberFormat="1" applyFont="1" applyFill="1" applyBorder="1" applyAlignment="1">
      <alignment horizontal="center" vertical="center" wrapText="1"/>
    </xf>
    <xf numFmtId="1" fontId="61" fillId="0" borderId="0" xfId="26" applyNumberFormat="1"/>
    <xf numFmtId="0" fontId="117" fillId="2" borderId="0" xfId="10" applyFont="1" applyFill="1" applyAlignment="1">
      <alignment vertical="center"/>
    </xf>
    <xf numFmtId="0" fontId="165" fillId="2" borderId="0" xfId="0" applyFont="1" applyFill="1" applyAlignment="1">
      <alignment horizontal="center" vertical="center"/>
    </xf>
    <xf numFmtId="1" fontId="135" fillId="0" borderId="8" xfId="26" applyNumberFormat="1" applyFont="1" applyBorder="1" applyAlignment="1">
      <alignment horizontal="center" wrapText="1"/>
    </xf>
    <xf numFmtId="0" fontId="195" fillId="2" borderId="8" xfId="7" quotePrefix="1" applyFont="1" applyFill="1" applyBorder="1" applyAlignment="1">
      <alignment horizontal="center" vertical="center"/>
    </xf>
    <xf numFmtId="0" fontId="17" fillId="2" borderId="8" xfId="35" applyFont="1" applyFill="1" applyBorder="1" applyAlignment="1">
      <alignment horizontal="center"/>
    </xf>
    <xf numFmtId="0" fontId="15" fillId="2" borderId="8" xfId="35" applyFont="1" applyFill="1" applyBorder="1" applyAlignment="1">
      <alignment vertical="center"/>
    </xf>
    <xf numFmtId="0" fontId="52" fillId="5" borderId="8" xfId="34" applyFont="1" applyFill="1" applyBorder="1" applyAlignment="1">
      <alignment horizontal="center" vertical="center"/>
    </xf>
    <xf numFmtId="0" fontId="16" fillId="5" borderId="8" xfId="34" applyFont="1" applyFill="1" applyBorder="1" applyAlignment="1">
      <alignment horizontal="center" vertical="center"/>
    </xf>
    <xf numFmtId="14" fontId="52" fillId="5" borderId="8" xfId="34" applyNumberFormat="1" applyFont="1" applyFill="1" applyBorder="1" applyAlignment="1">
      <alignment horizontal="center" vertical="center"/>
    </xf>
    <xf numFmtId="0" fontId="15" fillId="5" borderId="8" xfId="34" applyFont="1" applyFill="1" applyBorder="1" applyAlignment="1">
      <alignment horizontal="center" vertical="center"/>
    </xf>
    <xf numFmtId="0" fontId="15" fillId="5" borderId="8" xfId="34" applyFont="1" applyFill="1" applyBorder="1" applyAlignment="1">
      <alignment horizontal="center" vertical="center" wrapText="1"/>
    </xf>
    <xf numFmtId="0" fontId="16" fillId="5" borderId="8" xfId="34" applyFont="1" applyFill="1" applyBorder="1" applyAlignment="1">
      <alignment horizontal="left" vertical="center" wrapText="1"/>
    </xf>
    <xf numFmtId="0" fontId="52" fillId="5" borderId="8" xfId="34" applyFont="1" applyFill="1" applyBorder="1" applyAlignment="1">
      <alignment vertical="center"/>
    </xf>
    <xf numFmtId="16" fontId="195" fillId="2" borderId="0" xfId="7" quotePrefix="1" applyNumberFormat="1" applyFont="1" applyFill="1" applyAlignment="1">
      <alignment vertical="center"/>
    </xf>
    <xf numFmtId="0" fontId="195" fillId="2" borderId="0" xfId="7" quotePrefix="1" applyFont="1" applyFill="1" applyAlignment="1">
      <alignment vertical="center"/>
    </xf>
    <xf numFmtId="0" fontId="164" fillId="5" borderId="8" xfId="0" applyFont="1" applyFill="1" applyBorder="1" applyAlignment="1">
      <alignment vertical="center" wrapText="1"/>
    </xf>
    <xf numFmtId="166" fontId="195" fillId="2" borderId="8" xfId="7" applyNumberFormat="1" applyFont="1" applyFill="1" applyBorder="1" applyAlignment="1">
      <alignment horizontal="center" vertical="center" wrapText="1"/>
    </xf>
    <xf numFmtId="0" fontId="13" fillId="2" borderId="8" xfId="35" applyFont="1" applyFill="1" applyBorder="1" applyAlignment="1">
      <alignment vertical="center"/>
    </xf>
    <xf numFmtId="0" fontId="17" fillId="5" borderId="8" xfId="34" applyFont="1" applyFill="1" applyBorder="1" applyAlignment="1">
      <alignment horizontal="center" vertical="center"/>
    </xf>
    <xf numFmtId="0" fontId="12" fillId="5" borderId="8" xfId="34" applyFont="1" applyFill="1" applyBorder="1" applyAlignment="1">
      <alignment horizontal="center" vertical="center"/>
    </xf>
    <xf numFmtId="0" fontId="14" fillId="5" borderId="8" xfId="34" applyFont="1" applyFill="1" applyBorder="1" applyAlignment="1">
      <alignment horizontal="center" vertical="center" wrapText="1"/>
    </xf>
    <xf numFmtId="0" fontId="12" fillId="5" borderId="8" xfId="34" applyFont="1" applyFill="1" applyBorder="1" applyAlignment="1">
      <alignment horizontal="left" vertical="center" wrapText="1"/>
    </xf>
    <xf numFmtId="0" fontId="12" fillId="0" borderId="8" xfId="35" applyFont="1" applyBorder="1"/>
    <xf numFmtId="43" fontId="61" fillId="0" borderId="0" xfId="32" applyFont="1"/>
    <xf numFmtId="43" fontId="160" fillId="0" borderId="0" xfId="32" applyFont="1"/>
    <xf numFmtId="43" fontId="61" fillId="0" borderId="0" xfId="26" applyNumberFormat="1"/>
    <xf numFmtId="0" fontId="11" fillId="0" borderId="0" xfId="26" applyFont="1"/>
    <xf numFmtId="0" fontId="11" fillId="0" borderId="0" xfId="26" applyFont="1" applyAlignment="1">
      <alignment horizontal="center"/>
    </xf>
    <xf numFmtId="14" fontId="164" fillId="6" borderId="8" xfId="0" applyNumberFormat="1" applyFont="1" applyFill="1" applyBorder="1" applyAlignment="1">
      <alignment horizontal="center" vertical="center" wrapText="1"/>
    </xf>
    <xf numFmtId="0" fontId="164" fillId="46" borderId="8" xfId="0" applyFont="1" applyFill="1" applyBorder="1" applyAlignment="1">
      <alignment horizontal="center" vertical="center"/>
    </xf>
    <xf numFmtId="16" fontId="164" fillId="46" borderId="8" xfId="0" quotePrefix="1" applyNumberFormat="1" applyFont="1" applyFill="1" applyBorder="1" applyAlignment="1">
      <alignment horizontal="center" vertical="center"/>
    </xf>
    <xf numFmtId="43" fontId="164" fillId="46" borderId="8" xfId="32" applyFont="1" applyFill="1" applyBorder="1" applyAlignment="1">
      <alignment horizontal="center" vertical="center"/>
    </xf>
    <xf numFmtId="175" fontId="164" fillId="46" borderId="8" xfId="0" applyNumberFormat="1" applyFont="1" applyFill="1" applyBorder="1" applyAlignment="1">
      <alignment horizontal="center" vertical="center"/>
    </xf>
    <xf numFmtId="0" fontId="164" fillId="46" borderId="8" xfId="0" applyFont="1" applyFill="1" applyBorder="1" applyAlignment="1">
      <alignment horizontal="center" vertical="center" wrapText="1"/>
    </xf>
    <xf numFmtId="14" fontId="164" fillId="46" borderId="8" xfId="0" applyNumberFormat="1" applyFont="1" applyFill="1" applyBorder="1" applyAlignment="1">
      <alignment horizontal="center" vertical="center" wrapText="1"/>
    </xf>
    <xf numFmtId="0" fontId="164" fillId="46" borderId="8" xfId="0" applyFont="1" applyFill="1" applyBorder="1" applyAlignment="1">
      <alignment horizontal="left" vertical="center" wrapText="1"/>
    </xf>
    <xf numFmtId="0" fontId="164" fillId="6" borderId="8" xfId="0" applyFont="1" applyFill="1" applyBorder="1" applyAlignment="1">
      <alignment vertical="center" wrapText="1"/>
    </xf>
    <xf numFmtId="0" fontId="165" fillId="2" borderId="8" xfId="0" applyFont="1" applyFill="1" applyBorder="1" applyAlignment="1">
      <alignment vertical="center"/>
    </xf>
    <xf numFmtId="0" fontId="9" fillId="0" borderId="0" xfId="0" applyFont="1" applyAlignment="1">
      <alignment horizontal="center"/>
    </xf>
    <xf numFmtId="0" fontId="9" fillId="0" borderId="0" xfId="0" applyFont="1"/>
    <xf numFmtId="0" fontId="95" fillId="46" borderId="8" xfId="0" applyFont="1" applyFill="1" applyBorder="1" applyAlignment="1">
      <alignment horizontal="center" vertical="center" wrapText="1"/>
    </xf>
    <xf numFmtId="0" fontId="9" fillId="0" borderId="8" xfId="0" applyFont="1" applyBorder="1" applyAlignment="1">
      <alignment horizontal="center" wrapText="1"/>
    </xf>
    <xf numFmtId="0" fontId="95" fillId="0" borderId="8" xfId="0" quotePrefix="1" applyFont="1" applyBorder="1" applyAlignment="1">
      <alignment horizontal="center" vertical="center" wrapText="1"/>
    </xf>
    <xf numFmtId="0" fontId="9" fillId="46" borderId="8" xfId="0" applyFont="1" applyFill="1" applyBorder="1" applyAlignment="1">
      <alignment horizontal="center" wrapText="1"/>
    </xf>
    <xf numFmtId="0" fontId="99" fillId="46" borderId="8" xfId="0" applyFont="1" applyFill="1" applyBorder="1" applyAlignment="1">
      <alignment horizontal="center" vertical="center" wrapText="1"/>
    </xf>
    <xf numFmtId="0" fontId="94" fillId="46" borderId="8" xfId="0" applyFont="1" applyFill="1" applyBorder="1" applyAlignment="1">
      <alignment horizontal="center" vertical="center" wrapText="1"/>
    </xf>
    <xf numFmtId="0" fontId="94" fillId="46" borderId="8" xfId="0" applyFont="1" applyFill="1" applyBorder="1" applyAlignment="1">
      <alignment horizontal="center"/>
    </xf>
    <xf numFmtId="0" fontId="9" fillId="0" borderId="0" xfId="0" applyFont="1" applyAlignment="1">
      <alignment horizontal="center" vertical="center"/>
    </xf>
    <xf numFmtId="0" fontId="9" fillId="0" borderId="8" xfId="0" applyFont="1" applyBorder="1" applyAlignment="1">
      <alignment horizontal="center"/>
    </xf>
    <xf numFmtId="0" fontId="94" fillId="46" borderId="8" xfId="0" applyFont="1" applyFill="1" applyBorder="1" applyAlignment="1">
      <alignment horizontal="center" vertical="center"/>
    </xf>
    <xf numFmtId="0" fontId="10" fillId="5" borderId="8" xfId="34" applyFont="1" applyFill="1" applyBorder="1" applyAlignment="1">
      <alignment horizontal="center" vertical="center"/>
    </xf>
    <xf numFmtId="0" fontId="8" fillId="5" borderId="8" xfId="34" applyFont="1" applyFill="1" applyBorder="1" applyAlignment="1">
      <alignment horizontal="center" vertical="center"/>
    </xf>
    <xf numFmtId="0" fontId="10" fillId="5" borderId="8" xfId="34" applyFont="1" applyFill="1" applyBorder="1" applyAlignment="1">
      <alignment horizontal="center" vertical="center" wrapText="1"/>
    </xf>
    <xf numFmtId="0" fontId="10" fillId="5" borderId="8" xfId="34" applyFont="1" applyFill="1" applyBorder="1" applyAlignment="1">
      <alignment horizontal="left" vertical="center" wrapText="1"/>
    </xf>
    <xf numFmtId="0" fontId="8" fillId="5" borderId="8" xfId="34" applyFont="1" applyFill="1" applyBorder="1" applyAlignment="1">
      <alignment horizontal="center" vertical="center" wrapText="1"/>
    </xf>
    <xf numFmtId="0" fontId="7" fillId="5" borderId="8" xfId="34" applyFont="1" applyFill="1" applyBorder="1" applyAlignment="1">
      <alignment horizontal="center" vertical="center"/>
    </xf>
    <xf numFmtId="0" fontId="8" fillId="5" borderId="8" xfId="34" applyFont="1" applyFill="1" applyBorder="1" applyAlignment="1">
      <alignment horizontal="left" vertical="center" wrapText="1"/>
    </xf>
    <xf numFmtId="166" fontId="195" fillId="0" borderId="0" xfId="7" applyNumberFormat="1" applyFont="1" applyAlignment="1">
      <alignment horizontal="center" vertical="center"/>
    </xf>
    <xf numFmtId="0" fontId="6" fillId="5" borderId="8" xfId="34" applyFont="1" applyFill="1" applyBorder="1" applyAlignment="1">
      <alignment horizontal="center" vertical="center" wrapText="1"/>
    </xf>
    <xf numFmtId="0" fontId="5" fillId="5" borderId="8" xfId="34" applyFont="1" applyFill="1" applyBorder="1" applyAlignment="1">
      <alignment horizontal="center" vertical="center"/>
    </xf>
    <xf numFmtId="0" fontId="6" fillId="5" borderId="8" xfId="34" applyFont="1" applyFill="1" applyBorder="1" applyAlignment="1">
      <alignment horizontal="left" vertical="center" wrapText="1"/>
    </xf>
    <xf numFmtId="0" fontId="94" fillId="6" borderId="8" xfId="35" applyFont="1" applyFill="1" applyBorder="1" applyAlignment="1">
      <alignment horizontal="center" vertical="center"/>
    </xf>
    <xf numFmtId="0" fontId="99" fillId="6" borderId="8" xfId="35" applyFont="1" applyFill="1" applyBorder="1" applyAlignment="1">
      <alignment horizontal="center"/>
    </xf>
    <xf numFmtId="0" fontId="94" fillId="46" borderId="8" xfId="35" applyFont="1" applyFill="1" applyBorder="1" applyAlignment="1">
      <alignment horizontal="center" vertical="center"/>
    </xf>
    <xf numFmtId="0" fontId="99" fillId="46" borderId="8" xfId="35" applyFont="1" applyFill="1" applyBorder="1" applyAlignment="1">
      <alignment horizontal="center"/>
    </xf>
    <xf numFmtId="0" fontId="5" fillId="2" borderId="8" xfId="35" applyFont="1" applyFill="1" applyBorder="1" applyAlignment="1">
      <alignment horizontal="left"/>
    </xf>
    <xf numFmtId="0" fontId="5" fillId="2" borderId="8" xfId="35" applyFont="1" applyFill="1" applyBorder="1" applyAlignment="1">
      <alignment vertical="center"/>
    </xf>
    <xf numFmtId="0" fontId="95" fillId="2" borderId="8" xfId="35" applyFont="1" applyFill="1" applyBorder="1" applyAlignment="1">
      <alignment horizontal="left"/>
    </xf>
    <xf numFmtId="0" fontId="5" fillId="2" borderId="8" xfId="35" applyFont="1" applyFill="1" applyBorder="1" applyAlignment="1">
      <alignment horizontal="left" vertical="center"/>
    </xf>
    <xf numFmtId="0" fontId="164" fillId="2" borderId="8" xfId="0" quotePrefix="1" applyFont="1" applyFill="1" applyBorder="1" applyAlignment="1">
      <alignment horizontal="center" vertical="center"/>
    </xf>
    <xf numFmtId="0" fontId="4" fillId="2" borderId="8" xfId="35" applyFont="1" applyFill="1" applyBorder="1" applyAlignment="1">
      <alignment horizontal="center"/>
    </xf>
    <xf numFmtId="2" fontId="164" fillId="2" borderId="8" xfId="0" applyNumberFormat="1" applyFont="1" applyFill="1" applyBorder="1" applyAlignment="1">
      <alignment horizontal="center" vertical="center"/>
    </xf>
    <xf numFmtId="0" fontId="29" fillId="2" borderId="8" xfId="35" applyFont="1" applyFill="1" applyBorder="1" applyAlignment="1">
      <alignment horizontal="center" vertical="center"/>
    </xf>
    <xf numFmtId="0" fontId="12" fillId="2" borderId="8" xfId="35" applyFont="1" applyFill="1" applyBorder="1" applyAlignment="1">
      <alignment horizontal="center" vertical="center"/>
    </xf>
    <xf numFmtId="0" fontId="3" fillId="0" borderId="8" xfId="0" applyFont="1" applyBorder="1" applyAlignment="1">
      <alignment horizontal="center"/>
    </xf>
    <xf numFmtId="0" fontId="164" fillId="44" borderId="8" xfId="0" applyFont="1" applyFill="1" applyBorder="1" applyAlignment="1">
      <alignment vertical="center" wrapText="1"/>
    </xf>
    <xf numFmtId="2" fontId="164" fillId="5" borderId="8" xfId="0" applyNumberFormat="1" applyFont="1" applyFill="1" applyBorder="1" applyAlignment="1">
      <alignment horizontal="center" vertical="center"/>
    </xf>
    <xf numFmtId="0" fontId="2" fillId="2" borderId="8" xfId="35" applyFont="1" applyFill="1" applyBorder="1" applyAlignment="1">
      <alignment horizontal="left"/>
    </xf>
    <xf numFmtId="0" fontId="0" fillId="0" borderId="22" xfId="0" applyBorder="1"/>
    <xf numFmtId="2" fontId="164" fillId="44" borderId="8" xfId="0" applyNumberFormat="1" applyFont="1" applyFill="1" applyBorder="1" applyAlignment="1">
      <alignment horizontal="center" vertical="center"/>
    </xf>
    <xf numFmtId="0" fontId="164" fillId="0" borderId="8" xfId="0" applyFont="1" applyBorder="1" applyAlignment="1">
      <alignment vertical="center" wrapText="1"/>
    </xf>
    <xf numFmtId="0" fontId="164" fillId="44" borderId="8" xfId="0" applyFont="1" applyFill="1" applyBorder="1" applyAlignment="1">
      <alignment vertical="center"/>
    </xf>
    <xf numFmtId="0" fontId="164" fillId="5" borderId="8" xfId="0" quotePrefix="1" applyFont="1" applyFill="1" applyBorder="1" applyAlignment="1">
      <alignment horizontal="center" vertical="center"/>
    </xf>
    <xf numFmtId="0" fontId="164" fillId="44" borderId="8" xfId="0" quotePrefix="1" applyFont="1" applyFill="1" applyBorder="1" applyAlignment="1">
      <alignment horizontal="center" vertical="center"/>
    </xf>
    <xf numFmtId="0" fontId="162" fillId="31" borderId="8" xfId="26" applyFont="1" applyFill="1" applyBorder="1" applyAlignment="1">
      <alignment horizontal="center" vertical="center" wrapText="1"/>
    </xf>
    <xf numFmtId="0" fontId="164" fillId="0" borderId="8" xfId="26" applyFont="1" applyBorder="1" applyAlignment="1">
      <alignment horizontal="left" vertical="center" wrapText="1"/>
    </xf>
    <xf numFmtId="0" fontId="165" fillId="0" borderId="8" xfId="26" applyFont="1" applyBorder="1" applyAlignment="1">
      <alignment horizontal="left" vertical="center" wrapText="1"/>
    </xf>
    <xf numFmtId="0" fontId="135" fillId="0" borderId="8" xfId="26" applyFont="1" applyBorder="1" applyAlignment="1">
      <alignment horizontal="left" wrapText="1"/>
    </xf>
    <xf numFmtId="0" fontId="135" fillId="0" borderId="8" xfId="26" applyFont="1" applyBorder="1" applyAlignment="1">
      <alignment horizontal="center" wrapText="1"/>
    </xf>
    <xf numFmtId="0" fontId="162" fillId="31" borderId="8" xfId="26" applyFont="1" applyFill="1" applyBorder="1" applyAlignment="1">
      <alignment horizontal="center" wrapText="1"/>
    </xf>
    <xf numFmtId="0" fontId="94" fillId="6" borderId="8" xfId="26" applyFont="1" applyFill="1" applyBorder="1" applyAlignment="1">
      <alignment horizontal="center"/>
    </xf>
    <xf numFmtId="0" fontId="161" fillId="0" borderId="8" xfId="26" applyFont="1" applyBorder="1" applyAlignment="1">
      <alignment vertical="center" wrapText="1"/>
    </xf>
    <xf numFmtId="0" fontId="135" fillId="0" borderId="11" xfId="26" quotePrefix="1" applyFont="1" applyBorder="1" applyAlignment="1">
      <alignment horizontal="left" vertical="center" wrapText="1"/>
    </xf>
    <xf numFmtId="0" fontId="135" fillId="0" borderId="12" xfId="26" quotePrefix="1" applyFont="1" applyBorder="1" applyAlignment="1">
      <alignment horizontal="left" vertical="center" wrapText="1"/>
    </xf>
    <xf numFmtId="0" fontId="135" fillId="0" borderId="15" xfId="26" quotePrefix="1" applyFont="1" applyBorder="1" applyAlignment="1">
      <alignment horizontal="left" vertical="center" wrapText="1"/>
    </xf>
    <xf numFmtId="0" fontId="135" fillId="0" borderId="8" xfId="26" quotePrefix="1" applyFont="1" applyBorder="1" applyAlignment="1">
      <alignment horizontal="center" vertical="center" wrapText="1"/>
    </xf>
    <xf numFmtId="0" fontId="165" fillId="0" borderId="13" xfId="26" applyFont="1" applyBorder="1" applyAlignment="1">
      <alignment horizontal="left" vertical="center" wrapText="1"/>
    </xf>
    <xf numFmtId="0" fontId="165" fillId="0" borderId="24" xfId="26" applyFont="1" applyBorder="1" applyAlignment="1">
      <alignment horizontal="left" vertical="center" wrapText="1"/>
    </xf>
    <xf numFmtId="0" fontId="165" fillId="0" borderId="14" xfId="26" applyFont="1" applyBorder="1" applyAlignment="1">
      <alignment horizontal="left" vertical="center" wrapText="1"/>
    </xf>
    <xf numFmtId="0" fontId="165" fillId="0" borderId="25" xfId="26" applyFont="1" applyBorder="1" applyAlignment="1">
      <alignment horizontal="left" vertical="center" wrapText="1"/>
    </xf>
    <xf numFmtId="0" fontId="135" fillId="0" borderId="7" xfId="26" applyFont="1" applyBorder="1" applyAlignment="1">
      <alignment horizontal="center" vertical="center" wrapText="1"/>
    </xf>
    <xf numFmtId="0" fontId="135" fillId="0" borderId="33" xfId="26" applyFont="1" applyBorder="1" applyAlignment="1">
      <alignment horizontal="center" vertical="center" wrapText="1"/>
    </xf>
    <xf numFmtId="0" fontId="162" fillId="31" borderId="11" xfId="26" applyFont="1" applyFill="1" applyBorder="1" applyAlignment="1">
      <alignment horizontal="center" vertical="center" wrapText="1"/>
    </xf>
    <xf numFmtId="0" fontId="162" fillId="31" borderId="12" xfId="26" applyFont="1" applyFill="1" applyBorder="1" applyAlignment="1">
      <alignment horizontal="center" vertical="center" wrapText="1"/>
    </xf>
    <xf numFmtId="0" fontId="162" fillId="31" borderId="15" xfId="26" applyFont="1" applyFill="1" applyBorder="1" applyAlignment="1">
      <alignment horizontal="center" vertical="center" wrapText="1"/>
    </xf>
    <xf numFmtId="0" fontId="61" fillId="0" borderId="13" xfId="26" applyBorder="1" applyAlignment="1">
      <alignment horizontal="center"/>
    </xf>
    <xf numFmtId="0" fontId="61" fillId="0" borderId="51" xfId="26" applyBorder="1" applyAlignment="1">
      <alignment horizontal="center"/>
    </xf>
    <xf numFmtId="0" fontId="61" fillId="0" borderId="24" xfId="26" applyBorder="1" applyAlignment="1">
      <alignment horizontal="center"/>
    </xf>
    <xf numFmtId="0" fontId="61" fillId="0" borderId="21" xfId="26" applyBorder="1" applyAlignment="1">
      <alignment horizontal="center"/>
    </xf>
    <xf numFmtId="0" fontId="61" fillId="0" borderId="0" xfId="26" applyAlignment="1">
      <alignment horizontal="center"/>
    </xf>
    <xf numFmtId="0" fontId="61" fillId="0" borderId="17" xfId="26" applyBorder="1" applyAlignment="1">
      <alignment horizontal="center"/>
    </xf>
    <xf numFmtId="0" fontId="61" fillId="0" borderId="14" xfId="26" applyBorder="1" applyAlignment="1">
      <alignment horizontal="center"/>
    </xf>
    <xf numFmtId="0" fontId="61" fillId="0" borderId="32" xfId="26" applyBorder="1" applyAlignment="1">
      <alignment horizontal="center"/>
    </xf>
    <xf numFmtId="0" fontId="61" fillId="0" borderId="25" xfId="26" applyBorder="1" applyAlignment="1">
      <alignment horizontal="center"/>
    </xf>
    <xf numFmtId="0" fontId="135" fillId="0" borderId="13" xfId="26" applyFont="1" applyBorder="1" applyAlignment="1">
      <alignment horizontal="left" vertical="center" wrapText="1"/>
    </xf>
    <xf numFmtId="0" fontId="135" fillId="0" borderId="51" xfId="26" applyFont="1" applyBorder="1" applyAlignment="1">
      <alignment horizontal="left" vertical="center" wrapText="1"/>
    </xf>
    <xf numFmtId="0" fontId="135" fillId="0" borderId="24" xfId="26" applyFont="1" applyBorder="1" applyAlignment="1">
      <alignment horizontal="left" vertical="center" wrapText="1"/>
    </xf>
    <xf numFmtId="0" fontId="135" fillId="0" borderId="14" xfId="26" applyFont="1" applyBorder="1" applyAlignment="1">
      <alignment horizontal="left" vertical="center" wrapText="1"/>
    </xf>
    <xf numFmtId="0" fontId="135" fillId="0" borderId="32" xfId="26" applyFont="1" applyBorder="1" applyAlignment="1">
      <alignment horizontal="left" vertical="center" wrapText="1"/>
    </xf>
    <xf numFmtId="0" fontId="135" fillId="0" borderId="25" xfId="26" applyFont="1" applyBorder="1" applyAlignment="1">
      <alignment horizontal="left" vertical="center" wrapText="1"/>
    </xf>
    <xf numFmtId="0" fontId="129" fillId="27" borderId="8" xfId="0" applyFont="1" applyFill="1" applyBorder="1" applyAlignment="1">
      <alignment horizontal="left" vertical="center" wrapText="1"/>
    </xf>
    <xf numFmtId="0" fontId="130" fillId="0" borderId="8" xfId="0" applyFont="1" applyBorder="1" applyAlignment="1">
      <alignment horizontal="left" vertical="center" wrapText="1"/>
    </xf>
    <xf numFmtId="0" fontId="129" fillId="27" borderId="11" xfId="0" applyFont="1" applyFill="1" applyBorder="1" applyAlignment="1">
      <alignment horizontal="center" vertical="center" wrapText="1"/>
    </xf>
    <xf numFmtId="0" fontId="129" fillId="27" borderId="15" xfId="0" applyFont="1" applyFill="1" applyBorder="1" applyAlignment="1">
      <alignment horizontal="center" vertical="center" wrapText="1"/>
    </xf>
    <xf numFmtId="0" fontId="129" fillId="27" borderId="12" xfId="0" applyFont="1" applyFill="1" applyBorder="1" applyAlignment="1">
      <alignment horizontal="center" vertical="center" wrapText="1"/>
    </xf>
    <xf numFmtId="0" fontId="129" fillId="27" borderId="11" xfId="0" applyFont="1" applyFill="1" applyBorder="1" applyAlignment="1">
      <alignment horizontal="left" vertical="center" wrapText="1"/>
    </xf>
    <xf numFmtId="0" fontId="129" fillId="27" borderId="12" xfId="0" applyFont="1" applyFill="1" applyBorder="1" applyAlignment="1">
      <alignment horizontal="left" vertical="center" wrapText="1"/>
    </xf>
    <xf numFmtId="0" fontId="129" fillId="27" borderId="15" xfId="0" applyFont="1" applyFill="1" applyBorder="1" applyAlignment="1">
      <alignment horizontal="left" vertical="center" wrapText="1"/>
    </xf>
    <xf numFmtId="0" fontId="131" fillId="0" borderId="8" xfId="0" quotePrefix="1" applyFont="1" applyBorder="1" applyAlignment="1">
      <alignment horizontal="left" vertical="center" wrapText="1"/>
    </xf>
    <xf numFmtId="0" fontId="131" fillId="0" borderId="8" xfId="0" applyFont="1" applyBorder="1" applyAlignment="1">
      <alignment horizontal="left" vertical="center" wrapText="1"/>
    </xf>
    <xf numFmtId="0" fontId="139" fillId="2" borderId="8" xfId="0" applyFont="1" applyFill="1" applyBorder="1" applyAlignment="1">
      <alignment horizontal="left" vertical="center" wrapText="1"/>
    </xf>
    <xf numFmtId="0" fontId="139" fillId="2" borderId="19" xfId="0" applyFont="1" applyFill="1" applyBorder="1" applyAlignment="1">
      <alignment horizontal="left" vertical="center" wrapText="1"/>
    </xf>
    <xf numFmtId="0" fontId="132" fillId="0" borderId="8" xfId="0" applyFont="1" applyBorder="1" applyAlignment="1">
      <alignment horizontal="center" wrapText="1"/>
    </xf>
    <xf numFmtId="0" fontId="132" fillId="0" borderId="19" xfId="0" applyFont="1" applyBorder="1" applyAlignment="1">
      <alignment horizontal="center" wrapText="1"/>
    </xf>
    <xf numFmtId="0" fontId="100" fillId="0" borderId="7" xfId="0" applyFont="1" applyBorder="1" applyAlignment="1">
      <alignment horizontal="center" vertical="center" wrapText="1"/>
    </xf>
    <xf numFmtId="0" fontId="100" fillId="0" borderId="44" xfId="0" applyFont="1" applyBorder="1" applyAlignment="1">
      <alignment horizontal="center" vertical="center" wrapText="1"/>
    </xf>
    <xf numFmtId="0" fontId="100" fillId="0" borderId="33" xfId="0" applyFont="1" applyBorder="1" applyAlignment="1">
      <alignment horizontal="center" vertical="center" wrapText="1"/>
    </xf>
    <xf numFmtId="0" fontId="129" fillId="28" borderId="46" xfId="0" applyFont="1" applyFill="1" applyBorder="1" applyAlignment="1">
      <alignment horizontal="center" vertical="center" wrapText="1"/>
    </xf>
    <xf numFmtId="0" fontId="129" fillId="28" borderId="53" xfId="0" applyFont="1" applyFill="1" applyBorder="1" applyAlignment="1">
      <alignment horizontal="center" vertical="center" wrapText="1"/>
    </xf>
    <xf numFmtId="0" fontId="136" fillId="2" borderId="8" xfId="0" applyFont="1" applyFill="1" applyBorder="1" applyAlignment="1">
      <alignment horizontal="left" vertical="center" wrapText="1"/>
    </xf>
    <xf numFmtId="0" fontId="136" fillId="2" borderId="19" xfId="0" applyFont="1" applyFill="1" applyBorder="1" applyAlignment="1">
      <alignment horizontal="left" vertical="center" wrapText="1"/>
    </xf>
    <xf numFmtId="0" fontId="133" fillId="2" borderId="8" xfId="0" applyFont="1" applyFill="1" applyBorder="1" applyAlignment="1">
      <alignment horizontal="left" vertical="center" wrapText="1"/>
    </xf>
    <xf numFmtId="0" fontId="133" fillId="2" borderId="19" xfId="0" applyFont="1" applyFill="1" applyBorder="1" applyAlignment="1">
      <alignment horizontal="left" vertical="center" wrapText="1"/>
    </xf>
    <xf numFmtId="0" fontId="138" fillId="2" borderId="11" xfId="0" applyFont="1" applyFill="1" applyBorder="1" applyAlignment="1">
      <alignment horizontal="left" vertical="center" wrapText="1"/>
    </xf>
    <xf numFmtId="0" fontId="133" fillId="2" borderId="23" xfId="0" applyFont="1" applyFill="1" applyBorder="1" applyAlignment="1">
      <alignment horizontal="left" vertical="center" wrapText="1"/>
    </xf>
    <xf numFmtId="0" fontId="110" fillId="0" borderId="8" xfId="0" applyFont="1" applyBorder="1" applyAlignment="1">
      <alignment horizontal="center" vertical="center" wrapText="1" readingOrder="1"/>
    </xf>
    <xf numFmtId="16" fontId="110" fillId="0" borderId="8" xfId="0" applyNumberFormat="1" applyFont="1" applyBorder="1" applyAlignment="1">
      <alignment horizontal="center" vertical="center" wrapText="1" readingOrder="1"/>
    </xf>
    <xf numFmtId="0" fontId="110" fillId="5" borderId="8" xfId="0" applyFont="1" applyFill="1" applyBorder="1" applyAlignment="1">
      <alignment horizontal="center" vertical="center" wrapText="1" readingOrder="1"/>
    </xf>
    <xf numFmtId="0" fontId="110" fillId="5" borderId="7" xfId="0" applyFont="1" applyFill="1" applyBorder="1" applyAlignment="1">
      <alignment horizontal="center" vertical="center" wrapText="1" readingOrder="1"/>
    </xf>
    <xf numFmtId="0" fontId="110" fillId="5" borderId="33" xfId="0" applyFont="1" applyFill="1" applyBorder="1" applyAlignment="1">
      <alignment horizontal="center" vertical="center" wrapText="1" readingOrder="1"/>
    </xf>
    <xf numFmtId="0" fontId="124" fillId="25" borderId="8" xfId="0" applyFont="1" applyFill="1" applyBorder="1" applyAlignment="1">
      <alignment horizontal="center" vertical="center" wrapText="1" readingOrder="1"/>
    </xf>
    <xf numFmtId="1" fontId="91" fillId="0" borderId="8" xfId="10" applyNumberFormat="1" applyFont="1" applyBorder="1" applyAlignment="1">
      <alignment horizontal="center" vertical="center" wrapText="1"/>
    </xf>
    <xf numFmtId="49" fontId="91" fillId="0" borderId="8" xfId="10" applyNumberFormat="1" applyFont="1" applyBorder="1" applyAlignment="1">
      <alignment horizontal="center" vertical="center" wrapText="1"/>
    </xf>
    <xf numFmtId="167" fontId="91" fillId="0" borderId="8" xfId="10" applyNumberFormat="1" applyFont="1" applyBorder="1" applyAlignment="1">
      <alignment horizontal="center" vertical="center" wrapText="1"/>
    </xf>
    <xf numFmtId="0" fontId="105" fillId="0" borderId="8" xfId="10" applyFont="1" applyBorder="1" applyAlignment="1">
      <alignment horizontal="center" vertical="center" wrapText="1"/>
    </xf>
    <xf numFmtId="167" fontId="91" fillId="0" borderId="7" xfId="10" applyNumberFormat="1" applyFont="1" applyBorder="1" applyAlignment="1">
      <alignment horizontal="center" vertical="center" wrapText="1"/>
    </xf>
    <xf numFmtId="167" fontId="91" fillId="0" borderId="33" xfId="10" applyNumberFormat="1" applyFont="1" applyBorder="1" applyAlignment="1">
      <alignment horizontal="center" vertical="center" wrapText="1"/>
    </xf>
    <xf numFmtId="168" fontId="91" fillId="0" borderId="8" xfId="10" applyNumberFormat="1" applyFont="1" applyBorder="1" applyAlignment="1">
      <alignment horizontal="center" vertical="center" wrapText="1"/>
    </xf>
    <xf numFmtId="0" fontId="94" fillId="0" borderId="8" xfId="0" applyFont="1" applyBorder="1" applyAlignment="1">
      <alignment horizontal="center" vertical="center"/>
    </xf>
    <xf numFmtId="0" fontId="9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7" fillId="0" borderId="8" xfId="0" applyFont="1" applyBorder="1" applyAlignment="1">
      <alignment horizontal="center" vertical="center" wrapText="1"/>
    </xf>
    <xf numFmtId="0" fontId="47" fillId="0" borderId="8" xfId="0" applyFont="1" applyBorder="1" applyAlignment="1">
      <alignment horizontal="center" vertical="center"/>
    </xf>
    <xf numFmtId="0" fontId="188" fillId="42" borderId="71" xfId="0" applyFont="1" applyFill="1" applyBorder="1" applyAlignment="1">
      <alignment horizontal="left" vertical="center" wrapText="1" readingOrder="1"/>
    </xf>
    <xf numFmtId="0" fontId="188" fillId="42" borderId="73" xfId="0" applyFont="1" applyFill="1" applyBorder="1" applyAlignment="1">
      <alignment horizontal="left" vertical="center" readingOrder="1"/>
    </xf>
    <xf numFmtId="0" fontId="188" fillId="42" borderId="71" xfId="0" applyFont="1" applyFill="1" applyBorder="1" applyAlignment="1">
      <alignment horizontal="center" vertical="center" readingOrder="1"/>
    </xf>
    <xf numFmtId="0" fontId="188" fillId="42" borderId="73" xfId="0" applyFont="1" applyFill="1" applyBorder="1" applyAlignment="1">
      <alignment horizontal="center" vertical="center" readingOrder="1"/>
    </xf>
    <xf numFmtId="0" fontId="186" fillId="42" borderId="71"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8" fillId="42" borderId="71" xfId="0" applyFont="1" applyFill="1" applyBorder="1" applyAlignment="1">
      <alignment horizontal="center" vertical="center" wrapText="1" readingOrder="1"/>
    </xf>
    <xf numFmtId="0" fontId="188" fillId="42" borderId="72" xfId="0" applyFont="1" applyFill="1" applyBorder="1" applyAlignment="1">
      <alignment horizontal="center" vertical="center" readingOrder="1"/>
    </xf>
    <xf numFmtId="0" fontId="190" fillId="43" borderId="8" xfId="0" applyFont="1" applyFill="1" applyBorder="1" applyAlignment="1">
      <alignment horizontal="center" vertical="center" wrapText="1" readingOrder="1"/>
    </xf>
    <xf numFmtId="0" fontId="189" fillId="43" borderId="8" xfId="0" applyFont="1" applyFill="1" applyBorder="1" applyAlignment="1">
      <alignment horizontal="center" vertical="center" wrapText="1" readingOrder="1"/>
    </xf>
    <xf numFmtId="0" fontId="143" fillId="21" borderId="9" xfId="0" applyFont="1" applyFill="1" applyBorder="1" applyAlignment="1">
      <alignment horizontal="center" vertical="center" wrapText="1"/>
    </xf>
    <xf numFmtId="0" fontId="143" fillId="21" borderId="10" xfId="0" applyFont="1" applyFill="1" applyBorder="1" applyAlignment="1">
      <alignment horizontal="center" vertical="center" wrapText="1"/>
    </xf>
    <xf numFmtId="0" fontId="143" fillId="21" borderId="29" xfId="0" applyFont="1" applyFill="1" applyBorder="1" applyAlignment="1">
      <alignment horizontal="center" vertical="center" wrapText="1"/>
    </xf>
    <xf numFmtId="15" fontId="144" fillId="2" borderId="8" xfId="0" applyNumberFormat="1" applyFont="1" applyFill="1" applyBorder="1" applyAlignment="1">
      <alignment horizontal="left" vertical="center"/>
    </xf>
    <xf numFmtId="15" fontId="144" fillId="2" borderId="11" xfId="0" applyNumberFormat="1" applyFont="1" applyFill="1" applyBorder="1" applyAlignment="1">
      <alignment horizontal="left" vertical="center" wrapText="1"/>
    </xf>
    <xf numFmtId="15" fontId="144" fillId="2" borderId="12" xfId="0" applyNumberFormat="1" applyFont="1" applyFill="1" applyBorder="1" applyAlignment="1">
      <alignment horizontal="left" vertical="center" wrapText="1"/>
    </xf>
    <xf numFmtId="15" fontId="144" fillId="2" borderId="15" xfId="0" applyNumberFormat="1" applyFont="1" applyFill="1" applyBorder="1" applyAlignment="1">
      <alignment horizontal="left" vertical="center" wrapText="1"/>
    </xf>
    <xf numFmtId="0" fontId="144" fillId="0" borderId="8" xfId="0" applyFont="1" applyBorder="1" applyAlignment="1">
      <alignment horizontal="center" vertical="center" wrapText="1"/>
    </xf>
    <xf numFmtId="16" fontId="144" fillId="0" borderId="8" xfId="0" quotePrefix="1" applyNumberFormat="1" applyFont="1" applyBorder="1" applyAlignment="1">
      <alignment horizontal="center" vertical="center" wrapText="1"/>
    </xf>
    <xf numFmtId="16" fontId="144" fillId="0" borderId="8" xfId="0" applyNumberFormat="1" applyFont="1" applyBorder="1" applyAlignment="1">
      <alignment horizontal="center" vertical="center" wrapText="1"/>
    </xf>
    <xf numFmtId="0" fontId="144" fillId="11" borderId="8" xfId="0" applyFont="1" applyFill="1" applyBorder="1" applyAlignment="1">
      <alignment horizontal="center" vertical="center" wrapText="1"/>
    </xf>
    <xf numFmtId="0" fontId="144" fillId="2" borderId="11" xfId="0" applyFont="1" applyFill="1" applyBorder="1" applyAlignment="1">
      <alignment horizontal="center" vertical="center" wrapText="1"/>
    </xf>
    <xf numFmtId="0" fontId="144" fillId="2" borderId="23" xfId="0" applyFont="1" applyFill="1" applyBorder="1" applyAlignment="1">
      <alignment horizontal="center" vertical="center" wrapText="1"/>
    </xf>
    <xf numFmtId="0" fontId="144" fillId="11" borderId="46" xfId="0" applyFont="1" applyFill="1" applyBorder="1" applyAlignment="1">
      <alignment horizontal="left" vertical="center" wrapText="1"/>
    </xf>
    <xf numFmtId="0" fontId="144" fillId="11" borderId="53" xfId="0" applyFont="1" applyFill="1" applyBorder="1" applyAlignment="1">
      <alignment horizontal="left" vertical="center" wrapText="1"/>
    </xf>
    <xf numFmtId="1" fontId="144" fillId="2" borderId="11" xfId="0" applyNumberFormat="1" applyFont="1" applyFill="1" applyBorder="1" applyAlignment="1">
      <alignment horizontal="left" vertical="center" wrapText="1"/>
    </xf>
    <xf numFmtId="1" fontId="144" fillId="2" borderId="23" xfId="0" applyNumberFormat="1" applyFont="1" applyFill="1" applyBorder="1" applyAlignment="1">
      <alignment horizontal="left" vertical="center" wrapText="1"/>
    </xf>
    <xf numFmtId="0" fontId="144" fillId="2" borderId="23" xfId="0" applyFont="1" applyFill="1" applyBorder="1" applyAlignment="1">
      <alignment horizontal="left" vertical="center" wrapText="1"/>
    </xf>
    <xf numFmtId="0" fontId="144" fillId="0" borderId="7" xfId="0" applyFont="1" applyBorder="1" applyAlignment="1">
      <alignment horizontal="center" vertical="center" wrapText="1"/>
    </xf>
    <xf numFmtId="0" fontId="144" fillId="0" borderId="50" xfId="0" applyFont="1" applyBorder="1" applyAlignment="1">
      <alignment horizontal="center" vertical="center" wrapText="1"/>
    </xf>
    <xf numFmtId="0" fontId="144" fillId="11" borderId="46" xfId="0" applyFont="1" applyFill="1" applyBorder="1" applyAlignment="1">
      <alignment horizontal="center" vertical="center" wrapText="1"/>
    </xf>
    <xf numFmtId="0" fontId="144" fillId="11" borderId="53" xfId="0" applyFont="1" applyFill="1" applyBorder="1" applyAlignment="1">
      <alignment horizontal="center" vertical="center" wrapText="1"/>
    </xf>
    <xf numFmtId="0" fontId="144" fillId="2" borderId="11" xfId="0" applyFont="1" applyFill="1" applyBorder="1" applyAlignment="1">
      <alignment horizontal="left" vertical="center" wrapText="1"/>
    </xf>
    <xf numFmtId="0" fontId="149" fillId="0" borderId="11" xfId="0" applyFont="1" applyBorder="1" applyAlignment="1">
      <alignment horizontal="left" vertical="center" wrapText="1"/>
    </xf>
    <xf numFmtId="0" fontId="149" fillId="0" borderId="23" xfId="0" applyFont="1" applyBorder="1" applyAlignment="1">
      <alignment horizontal="left" vertical="center" wrapText="1"/>
    </xf>
    <xf numFmtId="0" fontId="144" fillId="0" borderId="16" xfId="0" applyFont="1" applyBorder="1" applyAlignment="1">
      <alignment horizontal="center" vertical="center" wrapText="1"/>
    </xf>
    <xf numFmtId="0" fontId="144" fillId="0" borderId="47" xfId="0" applyFont="1" applyBorder="1" applyAlignment="1">
      <alignment horizontal="center" vertical="center" wrapText="1"/>
    </xf>
    <xf numFmtId="0" fontId="0" fillId="0" borderId="10" xfId="0" applyBorder="1" applyAlignment="1">
      <alignment horizontal="center" vertical="center" wrapText="1"/>
    </xf>
    <xf numFmtId="0" fontId="144" fillId="2" borderId="64" xfId="0" applyFont="1" applyFill="1" applyBorder="1" applyAlignment="1">
      <alignment horizontal="center" vertical="center" wrapText="1"/>
    </xf>
    <xf numFmtId="0" fontId="144" fillId="2" borderId="14" xfId="0" applyFont="1" applyFill="1" applyBorder="1" applyAlignment="1">
      <alignment horizontal="center" vertical="center" wrapText="1"/>
    </xf>
    <xf numFmtId="0" fontId="144" fillId="2" borderId="7" xfId="0" applyFont="1" applyFill="1" applyBorder="1" applyAlignment="1">
      <alignment horizontal="center" vertical="center" wrapText="1"/>
    </xf>
    <xf numFmtId="0" fontId="144" fillId="2" borderId="33" xfId="0" applyFont="1" applyFill="1" applyBorder="1" applyAlignment="1">
      <alignment horizontal="center" vertical="center" wrapText="1"/>
    </xf>
    <xf numFmtId="15" fontId="144" fillId="2" borderId="7" xfId="0" applyNumberFormat="1" applyFont="1" applyFill="1" applyBorder="1" applyAlignment="1">
      <alignment horizontal="center" vertical="center" wrapText="1"/>
    </xf>
    <xf numFmtId="15" fontId="144" fillId="2" borderId="33" xfId="0" applyNumberFormat="1" applyFont="1" applyFill="1" applyBorder="1" applyAlignment="1">
      <alignment horizontal="center" vertical="center" wrapText="1"/>
    </xf>
    <xf numFmtId="15" fontId="144" fillId="2" borderId="50" xfId="0" applyNumberFormat="1" applyFont="1" applyFill="1" applyBorder="1" applyAlignment="1">
      <alignment horizontal="center" vertical="center" wrapText="1"/>
    </xf>
    <xf numFmtId="15" fontId="144" fillId="2" borderId="41" xfId="0" applyNumberFormat="1" applyFont="1" applyFill="1" applyBorder="1" applyAlignment="1">
      <alignment horizontal="center" vertical="center" wrapText="1"/>
    </xf>
    <xf numFmtId="0" fontId="144" fillId="0" borderId="19" xfId="0" applyFont="1" applyBorder="1" applyAlignment="1">
      <alignment horizontal="center" vertical="center" wrapText="1"/>
    </xf>
    <xf numFmtId="0" fontId="184" fillId="0" borderId="8" xfId="0" applyFont="1" applyBorder="1" applyAlignment="1">
      <alignment horizontal="center" vertical="center"/>
    </xf>
    <xf numFmtId="0" fontId="184" fillId="0" borderId="8" xfId="0" applyFont="1" applyBorder="1" applyAlignment="1">
      <alignment horizontal="center" vertical="center" wrapText="1"/>
    </xf>
    <xf numFmtId="0" fontId="192" fillId="0" borderId="8" xfId="27" applyFont="1" applyBorder="1" applyAlignment="1">
      <alignment horizontal="center" vertical="center"/>
    </xf>
    <xf numFmtId="0" fontId="174" fillId="35" borderId="1" xfId="27" applyFont="1" applyFill="1" applyBorder="1" applyAlignment="1">
      <alignment horizontal="center" vertical="center"/>
    </xf>
    <xf numFmtId="0" fontId="174" fillId="35" borderId="2" xfId="27" applyFont="1" applyFill="1" applyBorder="1" applyAlignment="1">
      <alignment horizontal="center" vertical="center"/>
    </xf>
    <xf numFmtId="0" fontId="174" fillId="35" borderId="18" xfId="27" applyFont="1" applyFill="1" applyBorder="1" applyAlignment="1">
      <alignment horizontal="center" vertical="center"/>
    </xf>
    <xf numFmtId="0" fontId="170" fillId="33" borderId="46" xfId="27" applyFont="1" applyFill="1" applyBorder="1" applyAlignment="1">
      <alignment horizontal="center" vertical="center" wrapText="1"/>
    </xf>
    <xf numFmtId="0" fontId="170" fillId="33" borderId="53" xfId="27" applyFont="1" applyFill="1" applyBorder="1" applyAlignment="1">
      <alignment horizontal="center" vertical="center" wrapText="1"/>
    </xf>
    <xf numFmtId="0" fontId="170" fillId="33" borderId="8" xfId="27" applyFont="1" applyFill="1" applyBorder="1" applyAlignment="1">
      <alignment horizontal="center" vertical="center" wrapText="1"/>
    </xf>
    <xf numFmtId="0" fontId="170" fillId="33" borderId="19" xfId="27" applyFont="1" applyFill="1" applyBorder="1" applyAlignment="1">
      <alignment horizontal="center" vertical="center" wrapText="1"/>
    </xf>
    <xf numFmtId="0" fontId="170" fillId="33" borderId="11" xfId="27" applyFont="1" applyFill="1" applyBorder="1" applyAlignment="1">
      <alignment horizontal="center" vertical="center"/>
    </xf>
    <xf numFmtId="0" fontId="170" fillId="33" borderId="12" xfId="27" applyFont="1" applyFill="1" applyBorder="1" applyAlignment="1">
      <alignment horizontal="center" vertical="center"/>
    </xf>
    <xf numFmtId="0" fontId="170" fillId="33" borderId="23" xfId="27" applyFont="1" applyFill="1" applyBorder="1" applyAlignment="1">
      <alignment horizontal="center" vertical="center"/>
    </xf>
    <xf numFmtId="0" fontId="170" fillId="33" borderId="26" xfId="27" applyFont="1" applyFill="1" applyBorder="1" applyAlignment="1">
      <alignment horizontal="center" vertical="center"/>
    </xf>
    <xf numFmtId="0" fontId="170" fillId="33" borderId="48" xfId="27" applyFont="1" applyFill="1" applyBorder="1" applyAlignment="1">
      <alignment horizontal="center" vertical="center"/>
    </xf>
    <xf numFmtId="0" fontId="170" fillId="33" borderId="27" xfId="27" applyFont="1" applyFill="1" applyBorder="1" applyAlignment="1">
      <alignment horizontal="center" vertical="center"/>
    </xf>
    <xf numFmtId="0" fontId="169" fillId="38" borderId="19" xfId="27" applyFont="1" applyFill="1" applyBorder="1" applyAlignment="1">
      <alignment horizontal="left" vertical="center" wrapText="1"/>
    </xf>
    <xf numFmtId="0" fontId="175" fillId="0" borderId="0" xfId="27" applyFont="1" applyAlignment="1">
      <alignment horizontal="center" wrapText="1"/>
    </xf>
    <xf numFmtId="0" fontId="169" fillId="0" borderId="30" xfId="27" applyFont="1" applyBorder="1" applyAlignment="1">
      <alignment horizontal="center" vertical="center"/>
    </xf>
    <xf numFmtId="0" fontId="169" fillId="0" borderId="8" xfId="27" applyFont="1" applyBorder="1" applyAlignment="1">
      <alignment horizontal="center" vertical="center" wrapText="1"/>
    </xf>
    <xf numFmtId="0" fontId="169" fillId="38" borderId="7" xfId="27" applyFont="1" applyFill="1" applyBorder="1" applyAlignment="1">
      <alignment horizontal="center" vertical="center"/>
    </xf>
    <xf numFmtId="0" fontId="169" fillId="38" borderId="33" xfId="27" applyFont="1" applyFill="1" applyBorder="1" applyAlignment="1">
      <alignment horizontal="center" vertical="center"/>
    </xf>
    <xf numFmtId="176" fontId="169" fillId="38" borderId="8" xfId="28" applyFont="1" applyFill="1" applyBorder="1" applyAlignment="1">
      <alignment horizontal="center" vertical="center"/>
    </xf>
    <xf numFmtId="176" fontId="169" fillId="38" borderId="7" xfId="28" applyFont="1" applyFill="1" applyBorder="1" applyAlignment="1">
      <alignment horizontal="center" vertical="center"/>
    </xf>
    <xf numFmtId="176" fontId="169" fillId="38" borderId="33" xfId="28" applyFont="1" applyFill="1" applyBorder="1" applyAlignment="1">
      <alignment horizontal="center" vertical="center"/>
    </xf>
    <xf numFmtId="176" fontId="169" fillId="36" borderId="8" xfId="28" applyFont="1" applyFill="1" applyBorder="1" applyAlignment="1">
      <alignment horizontal="center" vertical="center"/>
    </xf>
    <xf numFmtId="0" fontId="169" fillId="36" borderId="8" xfId="27" applyFont="1" applyFill="1" applyBorder="1" applyAlignment="1">
      <alignment horizontal="center" vertical="center" wrapText="1"/>
    </xf>
    <xf numFmtId="176" fontId="169" fillId="36" borderId="7" xfId="28" applyFont="1" applyFill="1" applyBorder="1" applyAlignment="1">
      <alignment horizontal="center" vertical="center"/>
    </xf>
    <xf numFmtId="176" fontId="169" fillId="36" borderId="44" xfId="28" applyFont="1" applyFill="1" applyBorder="1" applyAlignment="1">
      <alignment horizontal="center" vertical="center"/>
    </xf>
    <xf numFmtId="176" fontId="169" fillId="36" borderId="40" xfId="28" applyFont="1" applyFill="1" applyBorder="1" applyAlignment="1">
      <alignment horizontal="center" vertical="center"/>
    </xf>
    <xf numFmtId="0" fontId="169" fillId="36" borderId="50" xfId="27" applyFont="1" applyFill="1" applyBorder="1" applyAlignment="1">
      <alignment horizontal="left" vertical="center" wrapText="1"/>
    </xf>
    <xf numFmtId="0" fontId="169" fillId="36" borderId="52" xfId="27" applyFont="1" applyFill="1" applyBorder="1" applyAlignment="1">
      <alignment horizontal="left" vertical="center"/>
    </xf>
    <xf numFmtId="0" fontId="169" fillId="36" borderId="49" xfId="27" applyFont="1" applyFill="1" applyBorder="1" applyAlignment="1">
      <alignment horizontal="left" vertical="center"/>
    </xf>
    <xf numFmtId="0" fontId="169" fillId="36" borderId="41" xfId="27" applyFont="1" applyFill="1" applyBorder="1" applyAlignment="1">
      <alignment horizontal="left" vertical="center"/>
    </xf>
    <xf numFmtId="0" fontId="176" fillId="39" borderId="35" xfId="27" applyFont="1" applyFill="1" applyBorder="1" applyAlignment="1">
      <alignment horizontal="center" vertical="center"/>
    </xf>
    <xf numFmtId="0" fontId="176" fillId="39" borderId="36" xfId="27" applyFont="1" applyFill="1" applyBorder="1" applyAlignment="1">
      <alignment horizontal="center" vertical="center"/>
    </xf>
    <xf numFmtId="0" fontId="169" fillId="0" borderId="38" xfId="27" applyFont="1" applyBorder="1" applyAlignment="1">
      <alignment horizontal="center" vertical="center"/>
    </xf>
    <xf numFmtId="0" fontId="169" fillId="0" borderId="8" xfId="27" applyFont="1" applyBorder="1" applyAlignment="1">
      <alignment horizontal="center" vertical="center"/>
    </xf>
    <xf numFmtId="0" fontId="169" fillId="0" borderId="16" xfId="27" applyFont="1" applyBorder="1" applyAlignment="1">
      <alignment horizontal="center" vertical="center"/>
    </xf>
    <xf numFmtId="0" fontId="169" fillId="0" borderId="16" xfId="27" applyFont="1" applyBorder="1" applyAlignment="1">
      <alignment horizontal="center" vertical="center" wrapText="1"/>
    </xf>
    <xf numFmtId="0" fontId="169" fillId="36" borderId="16" xfId="27" applyFont="1" applyFill="1" applyBorder="1" applyAlignment="1">
      <alignment horizontal="center" vertical="center" wrapText="1"/>
    </xf>
    <xf numFmtId="176" fontId="169" fillId="36" borderId="16" xfId="28" applyFont="1" applyFill="1" applyBorder="1" applyAlignment="1">
      <alignment horizontal="center" vertical="center"/>
    </xf>
    <xf numFmtId="0" fontId="94" fillId="0" borderId="11" xfId="0" applyFont="1" applyBorder="1" applyAlignment="1">
      <alignment horizontal="center"/>
    </xf>
    <xf numFmtId="0" fontId="94" fillId="0" borderId="15" xfId="0" applyFont="1" applyBorder="1" applyAlignment="1">
      <alignment horizontal="center"/>
    </xf>
    <xf numFmtId="0" fontId="94" fillId="0" borderId="32" xfId="0" applyFont="1" applyBorder="1" applyAlignment="1">
      <alignment horizontal="center"/>
    </xf>
    <xf numFmtId="0" fontId="195" fillId="2" borderId="8" xfId="7" applyFont="1" applyFill="1" applyBorder="1" applyAlignment="1">
      <alignment horizontal="center" vertical="center"/>
    </xf>
    <xf numFmtId="166" fontId="197" fillId="34" borderId="8" xfId="7" applyNumberFormat="1" applyFont="1" applyFill="1" applyBorder="1" applyAlignment="1">
      <alignment horizontal="center" vertical="center" wrapText="1"/>
    </xf>
    <xf numFmtId="166" fontId="195" fillId="2" borderId="8" xfId="7" applyNumberFormat="1" applyFont="1" applyFill="1" applyBorder="1" applyAlignment="1">
      <alignment horizontal="center" vertical="center" wrapText="1"/>
    </xf>
    <xf numFmtId="166" fontId="195" fillId="2" borderId="8" xfId="7" applyNumberFormat="1" applyFont="1" applyFill="1" applyBorder="1" applyAlignment="1">
      <alignment horizontal="center" vertical="center"/>
    </xf>
    <xf numFmtId="0" fontId="197" fillId="34" borderId="8" xfId="7" applyFont="1" applyFill="1" applyBorder="1" applyAlignment="1">
      <alignment horizontal="center" vertical="center" wrapText="1"/>
    </xf>
    <xf numFmtId="0" fontId="197" fillId="2" borderId="8" xfId="7" applyFont="1" applyFill="1" applyBorder="1" applyAlignment="1">
      <alignment horizontal="center" vertical="center" wrapText="1"/>
    </xf>
    <xf numFmtId="0" fontId="94" fillId="0" borderId="8" xfId="0" applyFont="1" applyBorder="1" applyAlignment="1">
      <alignment horizontal="center"/>
    </xf>
    <xf numFmtId="166" fontId="43" fillId="0" borderId="8" xfId="0" applyNumberFormat="1" applyFont="1" applyBorder="1" applyAlignment="1">
      <alignment horizontal="center" vertical="center" wrapText="1"/>
    </xf>
    <xf numFmtId="0" fontId="43" fillId="0" borderId="8" xfId="0" applyFont="1" applyBorder="1" applyAlignment="1">
      <alignment horizontal="center" vertical="center" wrapText="1"/>
    </xf>
    <xf numFmtId="166" fontId="95" fillId="0" borderId="8" xfId="13"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2" fontId="43" fillId="0" borderId="8" xfId="0" applyNumberFormat="1" applyFont="1" applyBorder="1" applyAlignment="1">
      <alignment horizontal="center" vertical="center" wrapText="1"/>
    </xf>
    <xf numFmtId="2" fontId="95" fillId="0" borderId="8" xfId="13" applyNumberFormat="1" applyFont="1" applyBorder="1" applyAlignment="1">
      <alignment horizontal="center" vertical="center" wrapText="1"/>
    </xf>
    <xf numFmtId="2" fontId="95" fillId="0" borderId="8" xfId="0" applyNumberFormat="1" applyFont="1" applyBorder="1" applyAlignment="1">
      <alignment horizontal="center" vertical="center"/>
    </xf>
    <xf numFmtId="0" fontId="95" fillId="0" borderId="8" xfId="0" applyFont="1" applyBorder="1" applyAlignment="1">
      <alignment horizontal="center" vertical="center"/>
    </xf>
    <xf numFmtId="166" fontId="95" fillId="0" borderId="8" xfId="0" applyNumberFormat="1" applyFont="1" applyBorder="1" applyAlignment="1">
      <alignment horizontal="center" vertical="center"/>
    </xf>
    <xf numFmtId="0" fontId="43" fillId="0" borderId="8" xfId="0" applyFont="1" applyBorder="1" applyAlignment="1">
      <alignment horizontal="center" vertical="center"/>
    </xf>
    <xf numFmtId="0" fontId="94" fillId="34" borderId="8" xfId="33" applyFont="1" applyFill="1" applyBorder="1" applyAlignment="1">
      <alignment horizontal="center" vertical="center" wrapText="1"/>
    </xf>
    <xf numFmtId="166" fontId="94" fillId="34" borderId="8" xfId="33" applyNumberFormat="1" applyFont="1" applyFill="1" applyBorder="1" applyAlignment="1">
      <alignment horizontal="center" vertical="center" wrapText="1"/>
    </xf>
    <xf numFmtId="0" fontId="99" fillId="6" borderId="8" xfId="33" applyFont="1" applyFill="1" applyBorder="1" applyAlignment="1">
      <alignment horizontal="center" vertical="center" wrapText="1"/>
    </xf>
    <xf numFmtId="2" fontId="94" fillId="34" borderId="8" xfId="33" applyNumberFormat="1" applyFont="1" applyFill="1" applyBorder="1" applyAlignment="1">
      <alignment horizontal="center" vertical="center" wrapText="1"/>
    </xf>
    <xf numFmtId="2" fontId="43" fillId="0" borderId="7" xfId="33" applyNumberFormat="1" applyFont="1" applyBorder="1" applyAlignment="1">
      <alignment horizontal="center" vertical="center"/>
    </xf>
    <xf numFmtId="0" fontId="43" fillId="0" borderId="33" xfId="33" applyFont="1" applyBorder="1" applyAlignment="1">
      <alignment horizontal="center" vertical="center"/>
    </xf>
    <xf numFmtId="166" fontId="43" fillId="0" borderId="8" xfId="0" applyNumberFormat="1" applyFont="1" applyBorder="1" applyAlignment="1">
      <alignment horizontal="center" vertical="center"/>
    </xf>
    <xf numFmtId="0" fontId="164" fillId="5" borderId="7" xfId="0" applyFont="1" applyFill="1" applyBorder="1" applyAlignment="1">
      <alignment horizontal="center" vertical="center"/>
    </xf>
    <xf numFmtId="0" fontId="164" fillId="5" borderId="33" xfId="0" applyFont="1" applyFill="1" applyBorder="1" applyAlignment="1">
      <alignment horizontal="center" vertical="center"/>
    </xf>
    <xf numFmtId="0" fontId="165" fillId="3" borderId="7" xfId="0" applyFont="1" applyFill="1" applyBorder="1" applyAlignment="1">
      <alignment horizontal="center" vertical="center"/>
    </xf>
    <xf numFmtId="0" fontId="165" fillId="3" borderId="33" xfId="0" applyFont="1" applyFill="1" applyBorder="1" applyAlignment="1">
      <alignment horizontal="center" vertical="center"/>
    </xf>
    <xf numFmtId="0" fontId="165" fillId="3" borderId="11" xfId="0" applyFont="1" applyFill="1" applyBorder="1" applyAlignment="1">
      <alignment horizontal="center" vertical="center"/>
    </xf>
    <xf numFmtId="0" fontId="165" fillId="3" borderId="12" xfId="0" applyFont="1" applyFill="1" applyBorder="1" applyAlignment="1">
      <alignment horizontal="center" vertical="center"/>
    </xf>
    <xf numFmtId="0" fontId="165" fillId="3" borderId="15" xfId="0" applyFont="1" applyFill="1" applyBorder="1" applyAlignment="1">
      <alignment horizontal="center" vertical="center"/>
    </xf>
    <xf numFmtId="0" fontId="165" fillId="3" borderId="7" xfId="0" applyFont="1" applyFill="1" applyBorder="1" applyAlignment="1">
      <alignment horizontal="center" vertical="center" wrapText="1"/>
    </xf>
    <xf numFmtId="0" fontId="165" fillId="3" borderId="33" xfId="0" applyFont="1" applyFill="1" applyBorder="1" applyAlignment="1">
      <alignment horizontal="center" vertical="center" wrapText="1"/>
    </xf>
    <xf numFmtId="0" fontId="166" fillId="0" borderId="0" xfId="10" applyFont="1" applyAlignment="1">
      <alignment horizontal="left" vertical="center"/>
    </xf>
    <xf numFmtId="0" fontId="195" fillId="0" borderId="7" xfId="7" applyFont="1" applyBorder="1" applyAlignment="1">
      <alignment horizontal="center" vertical="center"/>
    </xf>
    <xf numFmtId="0" fontId="195" fillId="0" borderId="44" xfId="7" applyFont="1" applyBorder="1" applyAlignment="1">
      <alignment horizontal="center" vertical="center"/>
    </xf>
    <xf numFmtId="0" fontId="195" fillId="0" borderId="33" xfId="7" applyFont="1" applyBorder="1" applyAlignment="1">
      <alignment horizontal="center" vertical="center"/>
    </xf>
    <xf numFmtId="0" fontId="195" fillId="2" borderId="44" xfId="7" applyFont="1" applyFill="1" applyBorder="1" applyAlignment="1">
      <alignment horizontal="center" vertical="center"/>
    </xf>
    <xf numFmtId="0" fontId="95" fillId="0" borderId="8" xfId="0" applyFont="1" applyBorder="1" applyAlignment="1">
      <alignment horizontal="center" vertical="center" wrapText="1"/>
    </xf>
    <xf numFmtId="0" fontId="94" fillId="46" borderId="8" xfId="0" applyFont="1" applyFill="1" applyBorder="1" applyAlignment="1">
      <alignment horizontal="center"/>
    </xf>
    <xf numFmtId="0" fontId="94" fillId="6" borderId="8" xfId="0" applyFont="1" applyFill="1" applyBorder="1" applyAlignment="1">
      <alignment horizontal="center"/>
    </xf>
    <xf numFmtId="15" fontId="94" fillId="0" borderId="8" xfId="35" applyNumberFormat="1" applyFont="1" applyBorder="1" applyAlignment="1">
      <alignment horizontal="center"/>
    </xf>
    <xf numFmtId="0" fontId="94" fillId="0" borderId="8" xfId="35" applyFont="1" applyBorder="1" applyAlignment="1">
      <alignment horizontal="center"/>
    </xf>
    <xf numFmtId="0" fontId="94" fillId="2" borderId="8" xfId="35" applyFont="1" applyFill="1" applyBorder="1" applyAlignment="1">
      <alignment horizontal="center"/>
    </xf>
    <xf numFmtId="0" fontId="94" fillId="6" borderId="11" xfId="35" applyFont="1" applyFill="1" applyBorder="1" applyAlignment="1">
      <alignment horizontal="center" vertical="center"/>
    </xf>
    <xf numFmtId="0" fontId="94" fillId="6" borderId="15" xfId="35" applyFont="1" applyFill="1" applyBorder="1" applyAlignment="1">
      <alignment horizontal="center" vertical="center"/>
    </xf>
    <xf numFmtId="0" fontId="94" fillId="46" borderId="11" xfId="35" applyFont="1" applyFill="1" applyBorder="1" applyAlignment="1">
      <alignment horizontal="center" vertical="center"/>
    </xf>
    <xf numFmtId="0" fontId="94" fillId="46" borderId="15" xfId="35" applyFont="1" applyFill="1" applyBorder="1" applyAlignment="1">
      <alignment horizontal="center" vertical="center"/>
    </xf>
    <xf numFmtId="0" fontId="87" fillId="6" borderId="8" xfId="34" applyFont="1" applyFill="1" applyBorder="1" applyAlignment="1">
      <alignment horizontal="center" vertical="top"/>
    </xf>
    <xf numFmtId="0" fontId="43" fillId="0" borderId="7" xfId="0" applyFont="1" applyBorder="1" applyAlignment="1">
      <alignment horizontal="left" vertical="center" wrapText="1"/>
    </xf>
    <xf numFmtId="0" fontId="53" fillId="0" borderId="44" xfId="0" applyFont="1" applyBorder="1" applyAlignment="1">
      <alignment horizontal="left" vertical="center" wrapText="1"/>
    </xf>
    <xf numFmtId="0" fontId="53" fillId="0" borderId="33" xfId="0" applyFont="1" applyBorder="1" applyAlignment="1">
      <alignment horizontal="left" vertical="center" wrapText="1"/>
    </xf>
    <xf numFmtId="0" fontId="94" fillId="0" borderId="12" xfId="0" applyFont="1" applyBorder="1" applyAlignment="1">
      <alignment horizontal="center"/>
    </xf>
    <xf numFmtId="0" fontId="94" fillId="0" borderId="7" xfId="0" applyFont="1" applyBorder="1" applyAlignment="1">
      <alignment horizontal="center" vertical="center" wrapText="1"/>
    </xf>
    <xf numFmtId="0" fontId="94" fillId="0" borderId="33" xfId="0" applyFont="1" applyBorder="1" applyAlignment="1">
      <alignment horizontal="center" vertical="center" wrapText="1"/>
    </xf>
    <xf numFmtId="0" fontId="94" fillId="0" borderId="7" xfId="0" applyFont="1" applyBorder="1" applyAlignment="1">
      <alignment horizontal="center" vertical="center"/>
    </xf>
    <xf numFmtId="0" fontId="94" fillId="0" borderId="33" xfId="0" applyFont="1" applyBorder="1" applyAlignment="1">
      <alignment horizontal="center" vertical="center"/>
    </xf>
    <xf numFmtId="0" fontId="94" fillId="6" borderId="8" xfId="39" applyFont="1" applyFill="1" applyBorder="1" applyAlignment="1">
      <alignment horizontal="center"/>
    </xf>
    <xf numFmtId="0" fontId="94" fillId="6" borderId="8" xfId="39" applyFont="1" applyFill="1" applyBorder="1" applyAlignment="1">
      <alignment horizontal="center" vertical="center"/>
    </xf>
    <xf numFmtId="0" fontId="94" fillId="6" borderId="8" xfId="39" applyFont="1" applyFill="1" applyBorder="1" applyAlignment="1">
      <alignment horizontal="center" vertical="center" wrapText="1"/>
    </xf>
    <xf numFmtId="0" fontId="36" fillId="0" borderId="8" xfId="39" applyBorder="1" applyAlignment="1">
      <alignment horizontal="center" vertical="center"/>
    </xf>
    <xf numFmtId="0" fontId="94" fillId="46" borderId="8" xfId="39" applyFont="1" applyFill="1" applyBorder="1" applyAlignment="1">
      <alignment horizontal="center"/>
    </xf>
    <xf numFmtId="0" fontId="94" fillId="46" borderId="8" xfId="39" applyFont="1" applyFill="1" applyBorder="1" applyAlignment="1">
      <alignment horizontal="center" vertical="center"/>
    </xf>
    <xf numFmtId="0" fontId="94" fillId="6" borderId="11" xfId="39" applyFont="1" applyFill="1" applyBorder="1" applyAlignment="1">
      <alignment horizontal="center"/>
    </xf>
    <xf numFmtId="0" fontId="94" fillId="6" borderId="12" xfId="39" applyFont="1" applyFill="1" applyBorder="1" applyAlignment="1">
      <alignment horizontal="center"/>
    </xf>
    <xf numFmtId="0" fontId="94" fillId="6" borderId="15" xfId="39" applyFont="1" applyFill="1" applyBorder="1" applyAlignment="1">
      <alignment horizontal="center"/>
    </xf>
    <xf numFmtId="0" fontId="36" fillId="0" borderId="7" xfId="39" applyBorder="1" applyAlignment="1">
      <alignment horizontal="center" vertical="center"/>
    </xf>
    <xf numFmtId="0" fontId="36" fillId="0" borderId="44" xfId="39" applyBorder="1" applyAlignment="1">
      <alignment horizontal="center" vertical="center"/>
    </xf>
    <xf numFmtId="0" fontId="36" fillId="0" borderId="33" xfId="39" applyBorder="1" applyAlignment="1">
      <alignment horizontal="center" vertical="center"/>
    </xf>
    <xf numFmtId="0" fontId="118" fillId="6" borderId="8" xfId="29" applyFont="1" applyFill="1" applyBorder="1" applyAlignment="1">
      <alignment horizontal="center" vertical="center"/>
    </xf>
    <xf numFmtId="0" fontId="118" fillId="0" borderId="8" xfId="29" applyFont="1" applyBorder="1" applyAlignment="1">
      <alignment horizontal="center" vertical="center" wrapText="1"/>
    </xf>
    <xf numFmtId="0" fontId="118" fillId="6" borderId="8" xfId="29" applyFont="1" applyFill="1" applyBorder="1" applyAlignment="1">
      <alignment horizontal="center" vertical="center" wrapText="1"/>
    </xf>
    <xf numFmtId="0" fontId="87" fillId="6" borderId="8" xfId="30" applyFont="1" applyFill="1" applyBorder="1" applyAlignment="1">
      <alignment horizontal="center"/>
    </xf>
    <xf numFmtId="0" fontId="178" fillId="6" borderId="8" xfId="29" applyFont="1" applyFill="1" applyBorder="1" applyAlignment="1">
      <alignment horizontal="center" vertical="center"/>
    </xf>
    <xf numFmtId="0" fontId="118" fillId="0" borderId="8" xfId="29" applyFont="1" applyBorder="1" applyAlignment="1">
      <alignment horizontal="center" vertical="center"/>
    </xf>
    <xf numFmtId="0" fontId="91" fillId="0" borderId="8" xfId="10" applyFont="1" applyBorder="1" applyAlignment="1">
      <alignment horizontal="center" vertical="center"/>
    </xf>
    <xf numFmtId="0" fontId="105" fillId="0" borderId="21" xfId="10" applyFont="1" applyBorder="1" applyAlignment="1">
      <alignment horizontal="center" vertical="center" wrapText="1"/>
    </xf>
    <xf numFmtId="1" fontId="91" fillId="0" borderId="7" xfId="10" applyNumberFormat="1" applyFont="1" applyBorder="1" applyAlignment="1">
      <alignment horizontal="center" vertical="center" wrapText="1"/>
    </xf>
    <xf numFmtId="1" fontId="91" fillId="0" borderId="33" xfId="10" applyNumberFormat="1" applyFont="1" applyBorder="1" applyAlignment="1">
      <alignment horizontal="center" vertical="center" wrapText="1"/>
    </xf>
    <xf numFmtId="0" fontId="105" fillId="0" borderId="0" xfId="10" applyFont="1" applyAlignment="1">
      <alignment horizontal="center" vertical="center" wrapText="1"/>
    </xf>
    <xf numFmtId="0" fontId="118" fillId="0" borderId="8" xfId="0" applyFont="1" applyBorder="1" applyAlignment="1">
      <alignment horizontal="center"/>
    </xf>
    <xf numFmtId="0" fontId="118" fillId="0" borderId="11" xfId="0" applyFont="1" applyBorder="1" applyAlignment="1">
      <alignment horizontal="right" vertical="center"/>
    </xf>
    <xf numFmtId="0" fontId="118" fillId="0" borderId="12" xfId="0" applyFont="1" applyBorder="1" applyAlignment="1">
      <alignment horizontal="right" vertical="center"/>
    </xf>
    <xf numFmtId="0" fontId="118" fillId="0" borderId="15" xfId="0" applyFont="1" applyBorder="1" applyAlignment="1">
      <alignment horizontal="right" vertical="center"/>
    </xf>
    <xf numFmtId="0" fontId="87" fillId="0" borderId="1" xfId="0" applyFont="1" applyBorder="1" applyAlignment="1">
      <alignment horizontal="center"/>
    </xf>
    <xf numFmtId="0" fontId="87" fillId="0" borderId="2" xfId="0" applyFont="1" applyBorder="1" applyAlignment="1">
      <alignment horizontal="center"/>
    </xf>
    <xf numFmtId="0" fontId="0" fillId="0" borderId="0" xfId="0" applyAlignment="1">
      <alignment horizontal="center" vertical="center"/>
    </xf>
    <xf numFmtId="49" fontId="111" fillId="19" borderId="34" xfId="0" applyNumberFormat="1" applyFont="1" applyFill="1" applyBorder="1" applyAlignment="1">
      <alignment horizontal="center" vertical="center" wrapText="1"/>
    </xf>
    <xf numFmtId="49" fontId="111" fillId="19" borderId="30" xfId="0" applyNumberFormat="1" applyFont="1" applyFill="1" applyBorder="1" applyAlignment="1">
      <alignment horizontal="center" vertical="center" wrapText="1"/>
    </xf>
    <xf numFmtId="49" fontId="111" fillId="19" borderId="42" xfId="0" applyNumberFormat="1" applyFont="1" applyFill="1" applyBorder="1" applyAlignment="1">
      <alignment horizontal="center" vertical="center" wrapText="1"/>
    </xf>
    <xf numFmtId="49" fontId="111" fillId="19" borderId="63" xfId="0" applyNumberFormat="1" applyFont="1" applyFill="1" applyBorder="1" applyAlignment="1">
      <alignment horizontal="center" vertical="center" wrapText="1"/>
    </xf>
    <xf numFmtId="49" fontId="111" fillId="19" borderId="44" xfId="0" applyNumberFormat="1" applyFont="1" applyFill="1" applyBorder="1" applyAlignment="1">
      <alignment horizontal="center" vertical="center" wrapText="1"/>
    </xf>
    <xf numFmtId="49" fontId="111" fillId="19" borderId="46" xfId="0" applyNumberFormat="1" applyFont="1" applyFill="1" applyBorder="1" applyAlignment="1">
      <alignment horizontal="center" vertical="center" wrapText="1"/>
    </xf>
    <xf numFmtId="49" fontId="111" fillId="19" borderId="8" xfId="0" applyNumberFormat="1" applyFont="1" applyFill="1" applyBorder="1" applyAlignment="1">
      <alignment horizontal="center" vertical="center" wrapText="1"/>
    </xf>
    <xf numFmtId="49" fontId="111" fillId="19" borderId="7" xfId="0" applyNumberFormat="1" applyFont="1" applyFill="1" applyBorder="1" applyAlignment="1">
      <alignment horizontal="center" vertical="center" wrapText="1"/>
    </xf>
    <xf numFmtId="1" fontId="111" fillId="19" borderId="46" xfId="0" applyNumberFormat="1" applyFont="1" applyFill="1" applyBorder="1" applyAlignment="1">
      <alignment horizontal="center" vertical="center" wrapText="1"/>
    </xf>
    <xf numFmtId="1" fontId="111" fillId="19" borderId="8" xfId="0" applyNumberFormat="1" applyFont="1" applyFill="1" applyBorder="1" applyAlignment="1">
      <alignment horizontal="center" vertical="center" wrapText="1"/>
    </xf>
    <xf numFmtId="1" fontId="111" fillId="19" borderId="7" xfId="0" applyNumberFormat="1" applyFont="1" applyFill="1" applyBorder="1" applyAlignment="1">
      <alignment horizontal="center" vertical="center" wrapText="1"/>
    </xf>
    <xf numFmtId="49" fontId="111" fillId="19" borderId="33" xfId="0" applyNumberFormat="1" applyFont="1" applyFill="1" applyBorder="1" applyAlignment="1">
      <alignment horizontal="center" vertical="center" wrapText="1"/>
    </xf>
    <xf numFmtId="49" fontId="111" fillId="19" borderId="64" xfId="0" applyNumberFormat="1" applyFont="1" applyFill="1" applyBorder="1" applyAlignment="1">
      <alignment horizontal="center" vertical="center" wrapText="1"/>
    </xf>
    <xf numFmtId="49" fontId="111" fillId="19" borderId="65" xfId="0" applyNumberFormat="1" applyFont="1" applyFill="1" applyBorder="1" applyAlignment="1">
      <alignment horizontal="center" vertical="center" wrapText="1"/>
    </xf>
    <xf numFmtId="49" fontId="111" fillId="19" borderId="14" xfId="0" applyNumberFormat="1" applyFont="1" applyFill="1" applyBorder="1" applyAlignment="1">
      <alignment horizontal="center" vertical="center" wrapText="1"/>
    </xf>
    <xf numFmtId="49" fontId="111" fillId="19" borderId="25" xfId="0" applyNumberFormat="1" applyFont="1" applyFill="1" applyBorder="1" applyAlignment="1">
      <alignment horizontal="center" vertical="center" wrapText="1"/>
    </xf>
    <xf numFmtId="49" fontId="111" fillId="19" borderId="38" xfId="0" applyNumberFormat="1" applyFont="1" applyFill="1" applyBorder="1" applyAlignment="1">
      <alignment horizontal="center" vertical="center" wrapText="1"/>
    </xf>
    <xf numFmtId="49" fontId="111" fillId="19" borderId="40" xfId="0" applyNumberFormat="1" applyFont="1" applyFill="1" applyBorder="1" applyAlignment="1">
      <alignment horizontal="center" vertical="center" wrapText="1"/>
    </xf>
    <xf numFmtId="49" fontId="111" fillId="19" borderId="16" xfId="0" applyNumberFormat="1" applyFont="1" applyFill="1" applyBorder="1" applyAlignment="1">
      <alignment horizontal="center" vertical="center" wrapText="1"/>
    </xf>
    <xf numFmtId="1" fontId="111" fillId="19" borderId="16" xfId="0" applyNumberFormat="1" applyFont="1" applyFill="1" applyBorder="1" applyAlignment="1">
      <alignment horizontal="center" vertical="center" wrapText="1"/>
    </xf>
    <xf numFmtId="0" fontId="152" fillId="0" borderId="56" xfId="0" applyFont="1" applyBorder="1" applyAlignment="1">
      <alignment horizontal="left"/>
    </xf>
    <xf numFmtId="0" fontId="152" fillId="0" borderId="32" xfId="0" applyFont="1" applyBorder="1" applyAlignment="1">
      <alignment horizontal="left"/>
    </xf>
    <xf numFmtId="0" fontId="152" fillId="0" borderId="8" xfId="0" applyFont="1" applyBorder="1" applyAlignment="1">
      <alignment horizontal="center"/>
    </xf>
    <xf numFmtId="0" fontId="152" fillId="15" borderId="8" xfId="0" applyFont="1" applyFill="1" applyBorder="1" applyAlignment="1">
      <alignment horizontal="center"/>
    </xf>
    <xf numFmtId="0" fontId="152" fillId="15" borderId="8" xfId="0" applyFont="1" applyFill="1" applyBorder="1" applyAlignment="1">
      <alignment horizontal="center" vertical="center" wrapText="1"/>
    </xf>
    <xf numFmtId="0" fontId="152" fillId="15" borderId="8" xfId="0" applyFont="1" applyFill="1" applyBorder="1" applyAlignment="1">
      <alignment horizontal="center" vertical="center"/>
    </xf>
    <xf numFmtId="0" fontId="87" fillId="0" borderId="56" xfId="0" applyFont="1" applyBorder="1" applyAlignment="1">
      <alignment horizontal="center"/>
    </xf>
    <xf numFmtId="0" fontId="87" fillId="0" borderId="32" xfId="0" applyFont="1" applyBorder="1" applyAlignment="1">
      <alignment horizontal="center"/>
    </xf>
    <xf numFmtId="0" fontId="87" fillId="15" borderId="8" xfId="0" applyFont="1" applyFill="1" applyBorder="1" applyAlignment="1">
      <alignment horizontal="center"/>
    </xf>
    <xf numFmtId="0" fontId="87" fillId="15" borderId="8" xfId="0" applyFont="1" applyFill="1" applyBorder="1" applyAlignment="1">
      <alignment horizontal="center" vertical="center" wrapText="1"/>
    </xf>
    <xf numFmtId="0" fontId="87" fillId="15" borderId="8" xfId="0" applyFont="1" applyFill="1" applyBorder="1" applyAlignment="1">
      <alignment horizontal="center" vertical="center"/>
    </xf>
    <xf numFmtId="0" fontId="156" fillId="0" borderId="38" xfId="22" applyFont="1" applyBorder="1" applyAlignment="1">
      <alignment horizontal="center" vertical="center"/>
    </xf>
    <xf numFmtId="0" fontId="156" fillId="0" borderId="16" xfId="22" applyFont="1" applyBorder="1" applyAlignment="1">
      <alignment horizontal="center" vertical="center"/>
    </xf>
    <xf numFmtId="0" fontId="152" fillId="0" borderId="0" xfId="22" applyFont="1" applyAlignment="1">
      <alignment horizontal="center" vertical="center"/>
    </xf>
    <xf numFmtId="0" fontId="152" fillId="0" borderId="0" xfId="22" applyFont="1" applyAlignment="1">
      <alignment horizontal="left" vertical="center"/>
    </xf>
    <xf numFmtId="0" fontId="152" fillId="0" borderId="0" xfId="22" applyFont="1" applyAlignment="1">
      <alignment horizontal="center" vertical="center" wrapText="1"/>
    </xf>
    <xf numFmtId="0" fontId="152" fillId="0" borderId="0" xfId="22" applyFont="1" applyAlignment="1">
      <alignment horizontal="left" vertical="center" wrapText="1"/>
    </xf>
    <xf numFmtId="0" fontId="155" fillId="0" borderId="0" xfId="22" applyFont="1" applyAlignment="1">
      <alignment horizontal="center" vertical="center"/>
    </xf>
    <xf numFmtId="0" fontId="156" fillId="0" borderId="36" xfId="10" applyFont="1" applyBorder="1" applyAlignment="1">
      <alignment horizontal="center" vertical="center" wrapText="1"/>
    </xf>
    <xf numFmtId="0" fontId="156" fillId="0" borderId="34" xfId="22" applyFont="1" applyBorder="1" applyAlignment="1">
      <alignment horizontal="center" vertical="center"/>
    </xf>
    <xf numFmtId="0" fontId="156" fillId="0" borderId="46" xfId="22" applyFont="1" applyBorder="1" applyAlignment="1">
      <alignment horizontal="center" vertical="center"/>
    </xf>
    <xf numFmtId="0" fontId="86" fillId="10" borderId="9" xfId="0" applyFont="1" applyFill="1" applyBorder="1" applyAlignment="1">
      <alignment horizontal="center" vertical="center"/>
    </xf>
    <xf numFmtId="0" fontId="86" fillId="10" borderId="10" xfId="0" applyFont="1" applyFill="1" applyBorder="1" applyAlignment="1">
      <alignment horizontal="center" vertical="center"/>
    </xf>
    <xf numFmtId="0" fontId="86" fillId="10" borderId="29" xfId="0" applyFont="1" applyFill="1" applyBorder="1" applyAlignment="1">
      <alignment horizontal="center" vertical="center"/>
    </xf>
    <xf numFmtId="0" fontId="86" fillId="11" borderId="35" xfId="0" applyFont="1" applyFill="1" applyBorder="1" applyAlignment="1">
      <alignment horizontal="center" vertical="center"/>
    </xf>
    <xf numFmtId="0" fontId="86" fillId="11" borderId="36" xfId="0" applyFont="1" applyFill="1" applyBorder="1" applyAlignment="1">
      <alignment horizontal="center" vertical="center"/>
    </xf>
    <xf numFmtId="0" fontId="86" fillId="11" borderId="45" xfId="0" applyFont="1" applyFill="1" applyBorder="1" applyAlignment="1">
      <alignment horizontal="center" vertical="center"/>
    </xf>
    <xf numFmtId="0" fontId="86" fillId="11" borderId="1" xfId="0" applyFont="1" applyFill="1" applyBorder="1" applyAlignment="1">
      <alignment horizontal="center" vertical="center"/>
    </xf>
    <xf numFmtId="0" fontId="86" fillId="11" borderId="2" xfId="0" applyFont="1" applyFill="1" applyBorder="1" applyAlignment="1">
      <alignment horizontal="center" vertical="center"/>
    </xf>
    <xf numFmtId="0" fontId="86" fillId="11" borderId="18" xfId="0" applyFont="1" applyFill="1" applyBorder="1" applyAlignment="1">
      <alignment horizontal="center" vertical="center"/>
    </xf>
    <xf numFmtId="0" fontId="94" fillId="0" borderId="37" xfId="0" applyFont="1" applyBorder="1" applyAlignment="1">
      <alignment horizontal="center" vertical="center"/>
    </xf>
    <xf numFmtId="0" fontId="94" fillId="0" borderId="34" xfId="0" applyFont="1" applyBorder="1" applyAlignment="1">
      <alignment horizontal="center" vertical="center"/>
    </xf>
    <xf numFmtId="0" fontId="94" fillId="0" borderId="46" xfId="0" applyFont="1" applyBorder="1" applyAlignment="1">
      <alignment horizontal="center" vertical="center"/>
    </xf>
    <xf numFmtId="0" fontId="94" fillId="0" borderId="16" xfId="0" applyFont="1" applyBorder="1" applyAlignment="1">
      <alignment horizontal="center" vertical="center" wrapText="1"/>
    </xf>
    <xf numFmtId="0" fontId="99" fillId="0" borderId="33" xfId="0" applyFont="1" applyBorder="1" applyAlignment="1">
      <alignment horizontal="center" vertical="center" wrapText="1"/>
    </xf>
    <xf numFmtId="0" fontId="99" fillId="0" borderId="16" xfId="0" applyFont="1" applyBorder="1" applyAlignment="1">
      <alignment horizontal="center" vertical="center" wrapText="1"/>
    </xf>
    <xf numFmtId="0" fontId="94" fillId="0" borderId="41" xfId="0" applyFont="1" applyBorder="1" applyAlignment="1">
      <alignment horizontal="center" vertical="center"/>
    </xf>
    <xf numFmtId="0" fontId="94" fillId="0" borderId="47" xfId="0" applyFont="1" applyBorder="1" applyAlignment="1">
      <alignment horizontal="center" vertical="center"/>
    </xf>
    <xf numFmtId="0" fontId="94" fillId="0" borderId="53" xfId="0" applyFont="1" applyBorder="1" applyAlignment="1">
      <alignment horizontal="center" vertical="center"/>
    </xf>
    <xf numFmtId="0" fontId="94" fillId="6" borderId="4" xfId="0" applyFont="1" applyFill="1" applyBorder="1" applyAlignment="1">
      <alignment horizontal="left" vertical="center"/>
    </xf>
    <xf numFmtId="0" fontId="94" fillId="6" borderId="5" xfId="0" applyFont="1" applyFill="1" applyBorder="1" applyAlignment="1">
      <alignment horizontal="left" vertical="center"/>
    </xf>
    <xf numFmtId="0" fontId="94" fillId="6" borderId="1" xfId="0" applyFont="1" applyFill="1" applyBorder="1" applyAlignment="1">
      <alignment horizontal="left" vertical="center"/>
    </xf>
    <xf numFmtId="0" fontId="94" fillId="6" borderId="43" xfId="0" applyFont="1" applyFill="1" applyBorder="1" applyAlignment="1">
      <alignment horizontal="left" vertical="center"/>
    </xf>
    <xf numFmtId="0" fontId="94" fillId="6" borderId="2" xfId="0" applyFont="1" applyFill="1" applyBorder="1" applyAlignment="1">
      <alignment horizontal="left" vertical="center"/>
    </xf>
    <xf numFmtId="0" fontId="94" fillId="0" borderId="34" xfId="0" applyFont="1" applyBorder="1" applyAlignment="1">
      <alignment horizontal="center" vertical="center" wrapText="1"/>
    </xf>
    <xf numFmtId="0" fontId="94" fillId="0" borderId="30" xfId="0" applyFont="1" applyBorder="1" applyAlignment="1">
      <alignment horizontal="center" vertical="center" wrapText="1"/>
    </xf>
    <xf numFmtId="0" fontId="94" fillId="0" borderId="38" xfId="0" applyFont="1" applyBorder="1" applyAlignment="1">
      <alignment horizontal="center" vertical="center" wrapText="1"/>
    </xf>
    <xf numFmtId="0" fontId="94" fillId="0" borderId="29" xfId="0" applyFont="1" applyBorder="1" applyAlignment="1">
      <alignment horizontal="center" vertical="center"/>
    </xf>
    <xf numFmtId="0" fontId="94" fillId="0" borderId="22" xfId="0" applyFont="1" applyBorder="1" applyAlignment="1">
      <alignment horizontal="center" vertical="center"/>
    </xf>
    <xf numFmtId="0" fontId="94"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4" fillId="0" borderId="46" xfId="0" applyFont="1" applyBorder="1" applyAlignment="1">
      <alignment horizontal="center" vertical="center" wrapText="1"/>
    </xf>
    <xf numFmtId="0" fontId="99" fillId="0" borderId="46" xfId="0" applyFont="1" applyBorder="1" applyAlignment="1">
      <alignment horizontal="center" vertical="center" wrapText="1"/>
    </xf>
    <xf numFmtId="0" fontId="96" fillId="7" borderId="8" xfId="13" applyFont="1" applyFill="1" applyBorder="1" applyAlignment="1">
      <alignment horizontal="center" vertical="top" wrapText="1"/>
    </xf>
    <xf numFmtId="0" fontId="97" fillId="9" borderId="8" xfId="13" applyFill="1" applyBorder="1" applyAlignment="1">
      <alignment horizontal="left" vertical="top" wrapText="1"/>
    </xf>
    <xf numFmtId="2" fontId="164" fillId="6" borderId="8" xfId="0" applyNumberFormat="1" applyFont="1" applyFill="1" applyBorder="1" applyAlignment="1">
      <alignment horizontal="center" vertical="center"/>
    </xf>
    <xf numFmtId="0" fontId="164" fillId="6" borderId="8" xfId="0" applyFont="1" applyFill="1" applyBorder="1" applyAlignment="1">
      <alignment vertical="center"/>
    </xf>
    <xf numFmtId="0" fontId="61" fillId="0" borderId="0" xfId="26" applyBorder="1" applyAlignment="1">
      <alignment horizontal="center"/>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85">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CBBD55"/>
      <color rgb="FF92D050"/>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43"/>
      <c r="B1" s="1229" t="s">
        <v>569</v>
      </c>
      <c r="C1" s="1229"/>
      <c r="D1" s="1230" t="s">
        <v>2</v>
      </c>
      <c r="E1" s="1230"/>
      <c r="F1" s="1231" t="s">
        <v>570</v>
      </c>
      <c r="G1" s="1232"/>
      <c r="H1" s="410">
        <f ca="1">TODAY()</f>
        <v>46084</v>
      </c>
      <c r="I1" s="1231" t="s">
        <v>571</v>
      </c>
      <c r="J1" s="1233"/>
      <c r="K1" s="1232"/>
      <c r="L1" s="431">
        <v>45041</v>
      </c>
      <c r="M1" s="1234" t="s">
        <v>572</v>
      </c>
      <c r="N1" s="1235"/>
      <c r="O1" s="1236"/>
      <c r="P1" s="1238" t="s">
        <v>573</v>
      </c>
      <c r="Q1" s="1238"/>
      <c r="S1" s="406"/>
      <c r="T1" s="406"/>
      <c r="U1" s="406"/>
    </row>
    <row r="2" spans="1:32">
      <c r="A2" s="1244"/>
      <c r="B2" s="1229" t="s">
        <v>574</v>
      </c>
      <c r="C2" s="1229"/>
      <c r="D2" s="1237" t="s">
        <v>1</v>
      </c>
      <c r="E2" s="1238"/>
      <c r="F2" s="1238"/>
      <c r="G2" s="1238"/>
      <c r="H2" s="1238"/>
      <c r="I2" s="1231" t="s">
        <v>575</v>
      </c>
      <c r="J2" s="1233"/>
      <c r="K2" s="1232"/>
      <c r="L2" s="431">
        <v>45498</v>
      </c>
      <c r="M2" s="1234" t="s">
        <v>576</v>
      </c>
      <c r="N2" s="1235"/>
      <c r="O2" s="1236"/>
      <c r="P2" s="1238" t="s">
        <v>577</v>
      </c>
      <c r="Q2" s="1238"/>
      <c r="S2" s="406"/>
      <c r="T2" s="406"/>
      <c r="U2" s="406"/>
    </row>
    <row r="3" spans="1:32">
      <c r="A3" s="1244"/>
      <c r="B3" s="1229" t="s">
        <v>578</v>
      </c>
      <c r="C3" s="1229"/>
      <c r="D3" s="1237" t="s">
        <v>579</v>
      </c>
      <c r="E3" s="1238"/>
      <c r="F3" s="1238"/>
      <c r="G3" s="1238"/>
      <c r="H3" s="1238"/>
      <c r="I3" s="1231" t="s">
        <v>580</v>
      </c>
      <c r="J3" s="1233"/>
      <c r="K3" s="1232"/>
      <c r="L3" s="431">
        <v>45498</v>
      </c>
      <c r="M3" s="1234" t="s">
        <v>581</v>
      </c>
      <c r="N3" s="1235"/>
      <c r="O3" s="1236"/>
      <c r="P3" s="1238" t="s">
        <v>582</v>
      </c>
      <c r="Q3" s="1238"/>
      <c r="S3" s="406"/>
      <c r="T3" s="406"/>
      <c r="U3" s="406"/>
    </row>
    <row r="4" spans="1:32" ht="28">
      <c r="A4" s="1245"/>
      <c r="B4" s="1229" t="s">
        <v>583</v>
      </c>
      <c r="C4" s="1229"/>
      <c r="D4" s="1237" t="s">
        <v>584</v>
      </c>
      <c r="E4" s="1238"/>
      <c r="F4" s="1238"/>
      <c r="G4" s="1238"/>
      <c r="H4" s="1238"/>
      <c r="I4" s="1231" t="s">
        <v>585</v>
      </c>
      <c r="J4" s="1233"/>
      <c r="K4" s="1232"/>
      <c r="L4" s="432" t="s">
        <v>586</v>
      </c>
      <c r="M4" s="1234" t="s">
        <v>587</v>
      </c>
      <c r="N4" s="1235"/>
      <c r="O4" s="1236"/>
      <c r="P4" s="1238" t="s">
        <v>588</v>
      </c>
      <c r="Q4" s="1238"/>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46" t="s">
        <v>19</v>
      </c>
      <c r="Q5" s="124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48" t="s">
        <v>604</v>
      </c>
      <c r="Q6" s="124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50" t="s">
        <v>606</v>
      </c>
      <c r="Q7" s="125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52" t="s">
        <v>607</v>
      </c>
      <c r="Q8" s="125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39"/>
      <c r="Q9" s="124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39"/>
      <c r="Q10" s="124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39" t="s">
        <v>611</v>
      </c>
      <c r="Q11" s="124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39" t="s">
        <v>613</v>
      </c>
      <c r="Q12" s="124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41"/>
      <c r="Q13" s="124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59" t="s">
        <v>617</v>
      </c>
      <c r="C2" s="1259"/>
      <c r="D2" s="1259" t="s">
        <v>618</v>
      </c>
      <c r="E2" s="1259"/>
      <c r="F2" s="1259" t="s">
        <v>619</v>
      </c>
      <c r="G2" s="1259"/>
      <c r="H2" s="396" t="s">
        <v>616</v>
      </c>
      <c r="I2" s="1259" t="s">
        <v>620</v>
      </c>
      <c r="J2" s="1259" t="s">
        <v>28</v>
      </c>
      <c r="K2" s="1259"/>
    </row>
    <row r="3" spans="1:11" ht="35.25" customHeight="1">
      <c r="A3" s="396" t="s">
        <v>621</v>
      </c>
      <c r="B3" s="1259"/>
      <c r="C3" s="1259"/>
      <c r="D3" s="1259" t="s">
        <v>622</v>
      </c>
      <c r="E3" s="1259"/>
      <c r="F3" s="1259" t="s">
        <v>623</v>
      </c>
      <c r="G3" s="1259"/>
      <c r="H3" s="396" t="s">
        <v>624</v>
      </c>
      <c r="I3" s="1259"/>
      <c r="J3" s="1259" t="s">
        <v>625</v>
      </c>
      <c r="K3" s="1259"/>
    </row>
    <row r="4" spans="1:11">
      <c r="A4" s="397"/>
      <c r="B4" s="396" t="s">
        <v>626</v>
      </c>
      <c r="C4" s="396" t="s">
        <v>627</v>
      </c>
      <c r="D4" s="396" t="s">
        <v>626</v>
      </c>
      <c r="E4" s="396" t="s">
        <v>627</v>
      </c>
      <c r="F4" s="396" t="s">
        <v>626</v>
      </c>
      <c r="G4" s="396" t="s">
        <v>627</v>
      </c>
      <c r="H4" s="397"/>
      <c r="I4" s="1259"/>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54" t="s">
        <v>633</v>
      </c>
      <c r="B6" s="1255">
        <v>45076</v>
      </c>
      <c r="C6" s="1256" t="s">
        <v>629</v>
      </c>
      <c r="D6" s="1255">
        <v>45137</v>
      </c>
      <c r="E6" s="1256" t="s">
        <v>629</v>
      </c>
      <c r="F6" s="1255">
        <v>45126</v>
      </c>
      <c r="G6" s="1256" t="s">
        <v>634</v>
      </c>
      <c r="H6" s="1256" t="s">
        <v>631</v>
      </c>
      <c r="I6" s="1256" t="s">
        <v>635</v>
      </c>
      <c r="J6" s="1254" t="s">
        <v>636</v>
      </c>
      <c r="K6" s="1257" t="s">
        <v>629</v>
      </c>
    </row>
    <row r="7" spans="1:11">
      <c r="A7" s="1254"/>
      <c r="B7" s="1255"/>
      <c r="C7" s="1256"/>
      <c r="D7" s="1255"/>
      <c r="E7" s="1256"/>
      <c r="F7" s="1255"/>
      <c r="G7" s="1256"/>
      <c r="H7" s="1256"/>
      <c r="I7" s="1256"/>
      <c r="J7" s="1254"/>
      <c r="K7" s="1258"/>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46084</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60" t="s">
        <v>40</v>
      </c>
      <c r="B4" s="1260" t="s">
        <v>41</v>
      </c>
      <c r="C4" s="1261" t="s">
        <v>42</v>
      </c>
      <c r="D4" s="1262" t="s">
        <v>43</v>
      </c>
      <c r="E4" s="1262" t="s">
        <v>44</v>
      </c>
      <c r="F4" s="1262" t="s">
        <v>45</v>
      </c>
      <c r="G4" s="1264" t="s">
        <v>46</v>
      </c>
      <c r="H4" s="1266" t="s">
        <v>47</v>
      </c>
      <c r="I4" s="1262" t="s">
        <v>48</v>
      </c>
      <c r="J4" s="1263" t="s">
        <v>49</v>
      </c>
      <c r="K4" s="1263" t="s">
        <v>50</v>
      </c>
      <c r="L4" s="1263" t="s">
        <v>51</v>
      </c>
      <c r="M4" s="1263" t="s">
        <v>19</v>
      </c>
    </row>
    <row r="5" spans="1:13" s="159" customFormat="1" ht="12">
      <c r="A5" s="1260"/>
      <c r="B5" s="1260"/>
      <c r="C5" s="1261"/>
      <c r="D5" s="1262"/>
      <c r="E5" s="1262"/>
      <c r="F5" s="1262"/>
      <c r="G5" s="1265"/>
      <c r="H5" s="1266"/>
      <c r="I5" s="1262"/>
      <c r="J5" s="1263"/>
      <c r="K5" s="1263"/>
      <c r="L5" s="1263"/>
      <c r="M5" s="1263"/>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84" priority="221" stopIfTrue="1"/>
  </conditionalFormatting>
  <conditionalFormatting sqref="D1:D65220">
    <cfRule type="duplicateValues" dxfId="3583" priority="224" stopIfTrue="1"/>
  </conditionalFormatting>
  <conditionalFormatting sqref="D6">
    <cfRule type="expression" dxfId="3582" priority="23" stopIfTrue="1">
      <formula>IF(#REF!="TEN",TRUE,FALSE)</formula>
    </cfRule>
  </conditionalFormatting>
  <conditionalFormatting sqref="D10:D12">
    <cfRule type="expression" dxfId="3581"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8"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1786</v>
      </c>
      <c r="D2" s="10" t="s">
        <v>2426</v>
      </c>
      <c r="E2" s="10" t="s">
        <v>10</v>
      </c>
      <c r="F2" s="10" t="s">
        <v>2711</v>
      </c>
      <c r="G2" s="756" t="s">
        <v>2710</v>
      </c>
      <c r="H2" s="756" t="s">
        <v>2713</v>
      </c>
      <c r="I2" s="756" t="s">
        <v>2714</v>
      </c>
      <c r="J2" s="756" t="s">
        <v>593</v>
      </c>
      <c r="K2" s="756" t="s">
        <v>22</v>
      </c>
      <c r="L2" s="756" t="s">
        <v>2717</v>
      </c>
      <c r="M2" s="756" t="s">
        <v>19</v>
      </c>
    </row>
    <row r="3" spans="3:21">
      <c r="C3" s="1270">
        <v>1</v>
      </c>
      <c r="D3" s="1269" t="s">
        <v>2715</v>
      </c>
      <c r="E3" s="33" t="s">
        <v>2712</v>
      </c>
      <c r="F3" s="33" t="s">
        <v>615</v>
      </c>
      <c r="G3" s="33">
        <v>144</v>
      </c>
      <c r="H3" s="33">
        <v>70</v>
      </c>
      <c r="I3" s="853">
        <v>129.35999999999999</v>
      </c>
      <c r="J3" s="853">
        <f t="shared" ref="J3:J10" si="0">G3-I3</f>
        <v>14.640000000000015</v>
      </c>
      <c r="K3" s="33"/>
      <c r="L3" s="33">
        <v>2</v>
      </c>
      <c r="M3" s="75"/>
    </row>
    <row r="4" spans="3:21">
      <c r="C4" s="1270"/>
      <c r="D4" s="1269"/>
      <c r="E4" s="33" t="s">
        <v>28</v>
      </c>
      <c r="F4" s="33" t="s">
        <v>608</v>
      </c>
      <c r="G4" s="33">
        <v>434</v>
      </c>
      <c r="H4" s="33">
        <v>17</v>
      </c>
      <c r="I4" s="33">
        <v>2</v>
      </c>
      <c r="J4" s="853">
        <f t="shared" si="0"/>
        <v>432</v>
      </c>
      <c r="K4" s="33">
        <v>4</v>
      </c>
      <c r="L4" s="33">
        <v>3</v>
      </c>
      <c r="M4" s="75"/>
    </row>
    <row r="5" spans="3:21">
      <c r="C5" s="1270">
        <v>2</v>
      </c>
      <c r="D5" s="1269" t="s">
        <v>2716</v>
      </c>
      <c r="E5" s="33" t="s">
        <v>2712</v>
      </c>
      <c r="F5" s="33" t="s">
        <v>615</v>
      </c>
      <c r="G5" s="853">
        <v>33.103000000000002</v>
      </c>
      <c r="H5" s="33">
        <v>20</v>
      </c>
      <c r="I5" s="853">
        <v>8.56</v>
      </c>
      <c r="J5" s="853">
        <f t="shared" si="0"/>
        <v>24.542999999999999</v>
      </c>
      <c r="K5" s="33">
        <v>0.3</v>
      </c>
      <c r="L5" s="33">
        <v>1</v>
      </c>
      <c r="M5" s="75"/>
    </row>
    <row r="6" spans="3:21">
      <c r="C6" s="1270"/>
      <c r="D6" s="1269"/>
      <c r="E6" s="33" t="s">
        <v>28</v>
      </c>
      <c r="F6" s="33" t="s">
        <v>608</v>
      </c>
      <c r="G6" s="33">
        <v>129</v>
      </c>
      <c r="H6" s="33"/>
      <c r="I6" s="33"/>
      <c r="J6" s="853">
        <f t="shared" si="0"/>
        <v>129</v>
      </c>
      <c r="K6" s="33"/>
      <c r="L6" s="33"/>
      <c r="M6" s="75"/>
    </row>
    <row r="7" spans="3:21">
      <c r="C7" s="1270">
        <v>3</v>
      </c>
      <c r="D7" s="1269" t="s">
        <v>2718</v>
      </c>
      <c r="E7" s="33" t="s">
        <v>2712</v>
      </c>
      <c r="F7" s="33" t="s">
        <v>615</v>
      </c>
      <c r="G7" s="853">
        <v>2.1800000000000002</v>
      </c>
      <c r="H7" s="853">
        <v>2.1800000000000002</v>
      </c>
      <c r="I7" s="853">
        <v>2.1800000000000002</v>
      </c>
      <c r="J7" s="755">
        <f t="shared" si="0"/>
        <v>0</v>
      </c>
      <c r="K7" s="75"/>
      <c r="L7" s="75"/>
      <c r="M7" s="75"/>
    </row>
    <row r="8" spans="3:21">
      <c r="C8" s="1270"/>
      <c r="D8" s="1269"/>
      <c r="E8" s="33" t="s">
        <v>28</v>
      </c>
      <c r="F8" s="33" t="s">
        <v>608</v>
      </c>
      <c r="G8" s="33">
        <v>14</v>
      </c>
      <c r="H8" s="33">
        <v>6</v>
      </c>
      <c r="I8" s="75"/>
      <c r="J8" s="853">
        <f t="shared" si="0"/>
        <v>14</v>
      </c>
      <c r="K8" s="75"/>
      <c r="L8" s="75"/>
      <c r="M8" s="75"/>
    </row>
    <row r="9" spans="3:21">
      <c r="C9" s="1267"/>
      <c r="D9" s="1268"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267"/>
      <c r="D10" s="1268"/>
      <c r="E10" s="10" t="s">
        <v>28</v>
      </c>
      <c r="F10" s="10" t="s">
        <v>608</v>
      </c>
      <c r="G10" s="10">
        <f t="shared" si="1"/>
        <v>577</v>
      </c>
      <c r="H10" s="10">
        <f t="shared" si="1"/>
        <v>23</v>
      </c>
      <c r="I10" s="10">
        <f t="shared" si="1"/>
        <v>2</v>
      </c>
      <c r="J10" s="854">
        <f t="shared" si="0"/>
        <v>575</v>
      </c>
      <c r="K10" s="10">
        <f>K8+K6+K4</f>
        <v>4</v>
      </c>
      <c r="L10" s="10">
        <f>L8+L6+L4</f>
        <v>3</v>
      </c>
      <c r="M10" s="856"/>
    </row>
    <row r="13" spans="3:21">
      <c r="P13" s="9" t="s">
        <v>1786</v>
      </c>
      <c r="Q13" s="9" t="s">
        <v>3268</v>
      </c>
      <c r="R13" s="9" t="s">
        <v>1405</v>
      </c>
      <c r="S13" s="9" t="s">
        <v>1786</v>
      </c>
      <c r="T13" s="9" t="s">
        <v>3268</v>
      </c>
      <c r="U13" s="9" t="s">
        <v>1405</v>
      </c>
    </row>
    <row r="14" spans="3:21">
      <c r="P14" s="13">
        <v>1</v>
      </c>
      <c r="Q14" s="13" t="s">
        <v>3237</v>
      </c>
      <c r="R14" s="13" t="s">
        <v>1277</v>
      </c>
      <c r="S14" s="13">
        <f>10+1</f>
        <v>11</v>
      </c>
      <c r="T14" s="13" t="s">
        <v>3000</v>
      </c>
      <c r="U14" s="13" t="s">
        <v>1992</v>
      </c>
    </row>
    <row r="15" spans="3:21">
      <c r="P15" s="13">
        <f>P14+1</f>
        <v>2</v>
      </c>
      <c r="Q15" s="13" t="s">
        <v>529</v>
      </c>
      <c r="R15" s="13" t="s">
        <v>76</v>
      </c>
      <c r="S15" s="13">
        <f>S14+1</f>
        <v>12</v>
      </c>
      <c r="T15" s="13" t="s">
        <v>3205</v>
      </c>
      <c r="U15" s="13" t="s">
        <v>62</v>
      </c>
    </row>
    <row r="16" spans="3:21">
      <c r="P16" s="13">
        <f t="shared" ref="P16:P23" si="2">P15+1</f>
        <v>3</v>
      </c>
      <c r="Q16" s="13" t="s">
        <v>3204</v>
      </c>
      <c r="R16" s="13" t="s">
        <v>76</v>
      </c>
      <c r="S16" s="2"/>
    </row>
    <row r="17" spans="16:19">
      <c r="P17" s="13">
        <f t="shared" si="2"/>
        <v>4</v>
      </c>
      <c r="Q17" s="13" t="s">
        <v>3036</v>
      </c>
      <c r="R17" s="1183" t="s">
        <v>1277</v>
      </c>
      <c r="S17" s="2"/>
    </row>
    <row r="18" spans="16:19">
      <c r="P18" s="13">
        <f t="shared" si="2"/>
        <v>5</v>
      </c>
      <c r="Q18" s="13" t="s">
        <v>2548</v>
      </c>
      <c r="R18" s="13" t="s">
        <v>76</v>
      </c>
      <c r="S18" s="2"/>
    </row>
    <row r="19" spans="16:19">
      <c r="P19" s="13">
        <f t="shared" si="2"/>
        <v>6</v>
      </c>
      <c r="Q19" s="13" t="s">
        <v>3213</v>
      </c>
      <c r="R19" s="13" t="s">
        <v>76</v>
      </c>
      <c r="S19" s="2"/>
    </row>
    <row r="20" spans="16:19">
      <c r="P20" s="13">
        <f t="shared" si="2"/>
        <v>7</v>
      </c>
      <c r="Q20" s="13" t="s">
        <v>3067</v>
      </c>
      <c r="R20" s="13" t="s">
        <v>1277</v>
      </c>
      <c r="S20" s="2"/>
    </row>
    <row r="21" spans="16:19">
      <c r="P21" s="13">
        <f t="shared" si="2"/>
        <v>8</v>
      </c>
      <c r="Q21" s="13" t="s">
        <v>2963</v>
      </c>
      <c r="R21" s="13" t="s">
        <v>1361</v>
      </c>
      <c r="S21" s="2"/>
    </row>
    <row r="22" spans="16:19">
      <c r="P22" s="13">
        <f t="shared" si="2"/>
        <v>9</v>
      </c>
      <c r="Q22" s="13" t="s">
        <v>2549</v>
      </c>
      <c r="R22" s="13" t="s">
        <v>62</v>
      </c>
      <c r="S22" s="2"/>
    </row>
    <row r="23" spans="16:19">
      <c r="P23" s="13">
        <f t="shared" si="2"/>
        <v>10</v>
      </c>
      <c r="Q23" s="13" t="s">
        <v>2958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70" t="s">
        <v>2719</v>
      </c>
      <c r="C3" s="857" t="s">
        <v>2726</v>
      </c>
      <c r="D3" s="1272" t="s">
        <v>2395</v>
      </c>
      <c r="E3" s="1270">
        <v>25</v>
      </c>
      <c r="F3" s="33">
        <v>10</v>
      </c>
      <c r="G3" s="1270">
        <v>35</v>
      </c>
      <c r="H3" s="33">
        <v>10</v>
      </c>
      <c r="I3" s="1270">
        <v>40</v>
      </c>
      <c r="J3" s="33">
        <v>20</v>
      </c>
      <c r="K3" s="1270">
        <f>E3+G3+I3</f>
        <v>100</v>
      </c>
      <c r="L3" s="1270">
        <f>F3+H3+J3+F5+H5+J5</f>
        <v>110</v>
      </c>
    </row>
    <row r="4" spans="2:12">
      <c r="B4" s="1270"/>
      <c r="C4" s="857" t="s">
        <v>2717</v>
      </c>
      <c r="D4" s="1272"/>
      <c r="E4" s="1270"/>
      <c r="F4" s="33">
        <v>3</v>
      </c>
      <c r="G4" s="1270"/>
      <c r="H4" s="33">
        <v>3</v>
      </c>
      <c r="I4" s="1270"/>
      <c r="J4" s="33">
        <v>6</v>
      </c>
      <c r="K4" s="1270"/>
      <c r="L4" s="1270"/>
    </row>
    <row r="5" spans="2:12">
      <c r="B5" s="1270"/>
      <c r="C5" s="857" t="s">
        <v>2726</v>
      </c>
      <c r="D5" s="1272" t="s">
        <v>2400</v>
      </c>
      <c r="E5" s="1270"/>
      <c r="F5" s="33">
        <v>15</v>
      </c>
      <c r="G5" s="1270"/>
      <c r="H5" s="33">
        <v>25</v>
      </c>
      <c r="I5" s="1270"/>
      <c r="J5" s="33">
        <v>30</v>
      </c>
      <c r="K5" s="1270"/>
      <c r="L5" s="1270"/>
    </row>
    <row r="6" spans="2:12">
      <c r="B6" s="1270"/>
      <c r="C6" s="857" t="s">
        <v>2717</v>
      </c>
      <c r="D6" s="1272"/>
      <c r="E6" s="1270"/>
      <c r="F6" s="33">
        <v>5</v>
      </c>
      <c r="G6" s="1270"/>
      <c r="H6" s="33">
        <v>6</v>
      </c>
      <c r="I6" s="1270"/>
      <c r="J6" s="33">
        <v>6</v>
      </c>
      <c r="K6" s="1270"/>
      <c r="L6" s="1270"/>
    </row>
    <row r="7" spans="2:12">
      <c r="B7" s="1271" t="s">
        <v>2728</v>
      </c>
      <c r="C7" s="857" t="s">
        <v>2726</v>
      </c>
      <c r="D7" s="1272" t="s">
        <v>2395</v>
      </c>
      <c r="E7" s="1270">
        <v>2</v>
      </c>
      <c r="F7" s="33"/>
      <c r="G7" s="1270">
        <v>7</v>
      </c>
      <c r="H7" s="33">
        <v>5</v>
      </c>
      <c r="I7" s="1270">
        <v>10</v>
      </c>
      <c r="J7" s="33">
        <v>8</v>
      </c>
      <c r="K7" s="1270">
        <f>E7+G7+I7</f>
        <v>19</v>
      </c>
      <c r="L7" s="1270">
        <f>F7+H7+J7</f>
        <v>13</v>
      </c>
    </row>
    <row r="8" spans="2:12">
      <c r="B8" s="1269"/>
      <c r="C8" s="857" t="s">
        <v>2717</v>
      </c>
      <c r="D8" s="1272"/>
      <c r="E8" s="1270"/>
      <c r="F8" s="33"/>
      <c r="G8" s="1270"/>
      <c r="H8" s="33">
        <v>3</v>
      </c>
      <c r="I8" s="1270"/>
      <c r="J8" s="33">
        <v>4</v>
      </c>
      <c r="K8" s="1270"/>
      <c r="L8" s="1270"/>
    </row>
    <row r="9" spans="2:12">
      <c r="B9" s="1271" t="s">
        <v>2729</v>
      </c>
      <c r="C9" s="857" t="s">
        <v>2726</v>
      </c>
      <c r="D9" s="1272" t="s">
        <v>2727</v>
      </c>
      <c r="E9" s="1270">
        <v>2</v>
      </c>
      <c r="F9" s="33"/>
      <c r="G9" s="1270">
        <v>2</v>
      </c>
      <c r="H9" s="33">
        <v>1</v>
      </c>
      <c r="I9" s="1270"/>
      <c r="J9" s="33">
        <v>1</v>
      </c>
      <c r="K9" s="1270">
        <f>E9+G9+I9</f>
        <v>4</v>
      </c>
      <c r="L9" s="1270">
        <f>F9+H9+J9</f>
        <v>2</v>
      </c>
    </row>
    <row r="10" spans="2:12">
      <c r="B10" s="1269"/>
      <c r="C10" s="857" t="s">
        <v>2717</v>
      </c>
      <c r="D10" s="1272"/>
      <c r="E10" s="1270"/>
      <c r="F10" s="33"/>
      <c r="G10" s="1270"/>
      <c r="H10" s="33">
        <v>1</v>
      </c>
      <c r="I10" s="1270"/>
      <c r="J10" s="33">
        <v>1</v>
      </c>
      <c r="K10" s="1270"/>
      <c r="L10" s="1270"/>
    </row>
    <row r="11" spans="2:12">
      <c r="B11" s="1268" t="s">
        <v>994</v>
      </c>
      <c r="C11" s="10" t="s">
        <v>2726</v>
      </c>
      <c r="D11" s="9"/>
      <c r="E11" s="1267">
        <f>E9+E7+E3</f>
        <v>29</v>
      </c>
      <c r="F11" s="9">
        <f>F3+F5+F7+F9</f>
        <v>25</v>
      </c>
      <c r="G11" s="1267">
        <f>G9+G7+G3</f>
        <v>44</v>
      </c>
      <c r="H11" s="9">
        <f>H3+H5+H7+H9</f>
        <v>41</v>
      </c>
      <c r="I11" s="1267">
        <f>I9+I7+I3</f>
        <v>50</v>
      </c>
      <c r="J11" s="9">
        <f>J3+J5+J7+J9</f>
        <v>59</v>
      </c>
      <c r="K11" s="1267">
        <f>K9+K7+K3</f>
        <v>123</v>
      </c>
      <c r="L11" s="1267">
        <f>L9+L7+L3</f>
        <v>125</v>
      </c>
    </row>
    <row r="12" spans="2:12">
      <c r="B12" s="1268"/>
      <c r="C12" s="10" t="s">
        <v>2717</v>
      </c>
      <c r="D12" s="9"/>
      <c r="E12" s="1267"/>
      <c r="F12" s="9">
        <f>F6+F4+F8+F10</f>
        <v>8</v>
      </c>
      <c r="G12" s="1267"/>
      <c r="H12" s="9">
        <f>H6+H4+H8+H10</f>
        <v>13</v>
      </c>
      <c r="I12" s="1267"/>
      <c r="J12" s="9">
        <f>J6+J4+J8+J10</f>
        <v>17</v>
      </c>
      <c r="K12" s="1267"/>
      <c r="L12" s="1267"/>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77" t="s">
        <v>2426</v>
      </c>
      <c r="E6" s="1277" t="s">
        <v>2732</v>
      </c>
      <c r="F6" s="1277" t="s">
        <v>1433</v>
      </c>
      <c r="G6" s="860" t="s">
        <v>1439</v>
      </c>
      <c r="H6" s="1277" t="s">
        <v>2195</v>
      </c>
      <c r="I6" s="859" t="s">
        <v>2733</v>
      </c>
      <c r="J6" s="1277" t="s">
        <v>19</v>
      </c>
    </row>
    <row r="7" spans="4:10" ht="18.5">
      <c r="D7" s="1278"/>
      <c r="E7" s="1278"/>
      <c r="F7" s="1278"/>
      <c r="G7" s="862" t="s">
        <v>615</v>
      </c>
      <c r="H7" s="1278"/>
      <c r="I7" s="861" t="s">
        <v>2734</v>
      </c>
      <c r="J7" s="1278"/>
    </row>
    <row r="8" spans="4:10" ht="35">
      <c r="D8" s="1275" t="s">
        <v>2719</v>
      </c>
      <c r="E8" s="863" t="s">
        <v>2395</v>
      </c>
      <c r="F8" s="863" t="s">
        <v>2735</v>
      </c>
      <c r="G8" s="863">
        <v>47</v>
      </c>
      <c r="H8" s="1279" t="s">
        <v>2747</v>
      </c>
      <c r="I8" s="858" t="s">
        <v>2743</v>
      </c>
      <c r="J8" s="1273" t="s">
        <v>2748</v>
      </c>
    </row>
    <row r="9" spans="4:10" ht="52.5">
      <c r="D9" s="1276"/>
      <c r="E9" s="1275" t="s">
        <v>2400</v>
      </c>
      <c r="F9" s="863" t="s">
        <v>2736</v>
      </c>
      <c r="G9" s="863">
        <v>47</v>
      </c>
      <c r="H9" s="1276"/>
      <c r="I9" s="858" t="s">
        <v>2744</v>
      </c>
      <c r="J9" s="1274"/>
    </row>
    <row r="10" spans="4:10" ht="35">
      <c r="D10" s="1276"/>
      <c r="E10" s="1276"/>
      <c r="F10" s="863" t="s">
        <v>2737</v>
      </c>
      <c r="G10" s="863">
        <v>48</v>
      </c>
      <c r="H10" s="1276"/>
      <c r="I10" s="858" t="s">
        <v>2745</v>
      </c>
      <c r="J10" s="1274"/>
    </row>
    <row r="11" spans="4:10" ht="70" customHeight="1">
      <c r="D11" s="863" t="s">
        <v>2728</v>
      </c>
      <c r="E11" s="863"/>
      <c r="F11" s="863" t="s">
        <v>2738</v>
      </c>
      <c r="G11" s="863">
        <v>33</v>
      </c>
      <c r="H11" s="1276"/>
      <c r="I11" s="858" t="s">
        <v>2746</v>
      </c>
      <c r="J11" s="866" t="s">
        <v>2739</v>
      </c>
    </row>
    <row r="12" spans="4:10" ht="17.5">
      <c r="D12" s="864" t="s">
        <v>2740</v>
      </c>
      <c r="E12" s="864" t="s">
        <v>2741</v>
      </c>
      <c r="F12" s="864" t="s">
        <v>2742</v>
      </c>
      <c r="G12" s="864">
        <v>2.1</v>
      </c>
      <c r="H12" s="1280"/>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7" t="s">
        <v>2426</v>
      </c>
      <c r="C3" s="867" t="s">
        <v>2732</v>
      </c>
      <c r="D3" s="867" t="s">
        <v>1433</v>
      </c>
      <c r="E3" s="867" t="s">
        <v>2749</v>
      </c>
      <c r="F3" s="867" t="s">
        <v>2750</v>
      </c>
      <c r="G3" s="867" t="s">
        <v>2751</v>
      </c>
      <c r="H3" s="867" t="s">
        <v>2752</v>
      </c>
    </row>
    <row r="4" spans="2:8" ht="19">
      <c r="B4" s="1281" t="s">
        <v>2719</v>
      </c>
      <c r="C4" s="868" t="s">
        <v>2395</v>
      </c>
      <c r="D4" s="868" t="s">
        <v>2735</v>
      </c>
      <c r="E4" s="868">
        <v>133</v>
      </c>
      <c r="F4" s="869">
        <v>41</v>
      </c>
      <c r="G4" s="868">
        <v>40</v>
      </c>
      <c r="H4" s="869">
        <f>F4-G4</f>
        <v>1</v>
      </c>
    </row>
    <row r="5" spans="2:8" ht="19">
      <c r="B5" s="1281"/>
      <c r="C5" s="1281" t="s">
        <v>2400</v>
      </c>
      <c r="D5" s="868" t="s">
        <v>2736</v>
      </c>
      <c r="E5" s="868">
        <v>129</v>
      </c>
      <c r="F5" s="868">
        <v>60</v>
      </c>
      <c r="G5" s="868">
        <v>50</v>
      </c>
      <c r="H5" s="869">
        <f>F5-G5</f>
        <v>10</v>
      </c>
    </row>
    <row r="6" spans="2:8" ht="19">
      <c r="B6" s="1281"/>
      <c r="C6" s="1281"/>
      <c r="D6" s="868" t="s">
        <v>2737</v>
      </c>
      <c r="E6" s="868">
        <v>140</v>
      </c>
      <c r="F6" s="868">
        <v>45</v>
      </c>
      <c r="G6" s="868">
        <v>43</v>
      </c>
      <c r="H6" s="869">
        <f>F6-G6</f>
        <v>2</v>
      </c>
    </row>
    <row r="7" spans="2:8" ht="38">
      <c r="B7" s="868" t="s">
        <v>2728</v>
      </c>
      <c r="C7" s="868" t="s">
        <v>2395</v>
      </c>
      <c r="D7" s="868" t="s">
        <v>2738</v>
      </c>
      <c r="E7" s="868">
        <v>124</v>
      </c>
      <c r="F7" s="868">
        <v>7</v>
      </c>
      <c r="G7" s="868">
        <v>7</v>
      </c>
      <c r="H7" s="869"/>
    </row>
    <row r="8" spans="2:8" ht="38">
      <c r="B8" s="868" t="s">
        <v>2740</v>
      </c>
      <c r="C8" s="868" t="s">
        <v>2727</v>
      </c>
      <c r="D8" s="868" t="s">
        <v>2742</v>
      </c>
      <c r="E8" s="868">
        <v>13</v>
      </c>
      <c r="F8" s="868"/>
      <c r="G8" s="868"/>
      <c r="H8" s="868"/>
    </row>
    <row r="9" spans="2:8" ht="19">
      <c r="B9" s="1282" t="s">
        <v>994</v>
      </c>
      <c r="C9" s="1282"/>
      <c r="D9" s="1282"/>
      <c r="E9" s="867">
        <f>SUM(E4:E8)</f>
        <v>539</v>
      </c>
      <c r="F9" s="867">
        <f>SUM(F4:F8)</f>
        <v>153</v>
      </c>
      <c r="G9" s="867">
        <f>SUM(G4:G8)</f>
        <v>140</v>
      </c>
      <c r="H9" s="867">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F0"/>
  </sheetPr>
  <dimension ref="A1:W48"/>
  <sheetViews>
    <sheetView showZeros="0" tabSelected="1" topLeftCell="A3" zoomScale="90" zoomScaleNormal="90" workbookViewId="0">
      <selection activeCell="E12" sqref="E12"/>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00"/>
      <c r="B1" s="662" t="s">
        <v>569</v>
      </c>
      <c r="C1" s="663" t="s">
        <v>1768</v>
      </c>
      <c r="D1" s="662" t="s">
        <v>570</v>
      </c>
      <c r="E1" s="671">
        <v>46083</v>
      </c>
      <c r="F1" s="662"/>
      <c r="G1" s="663"/>
      <c r="H1" s="662" t="s">
        <v>1755</v>
      </c>
      <c r="I1" s="663" t="s">
        <v>1769</v>
      </c>
      <c r="J1" s="1214"/>
      <c r="K1" s="1215"/>
      <c r="L1" s="1215"/>
      <c r="M1" s="1215"/>
      <c r="N1" s="1215"/>
      <c r="O1" s="1216"/>
    </row>
    <row r="2" spans="1:18" ht="53" customHeight="1">
      <c r="A2" s="1200"/>
      <c r="B2" s="662" t="s">
        <v>574</v>
      </c>
      <c r="C2" s="1201" t="s">
        <v>1770</v>
      </c>
      <c r="D2" s="1202"/>
      <c r="E2" s="1203"/>
      <c r="F2" s="662" t="s">
        <v>571</v>
      </c>
      <c r="G2" s="671">
        <v>45793</v>
      </c>
      <c r="H2" s="662" t="s">
        <v>1774</v>
      </c>
      <c r="I2" s="663" t="s">
        <v>573</v>
      </c>
      <c r="J2" s="1217"/>
      <c r="K2" s="1530"/>
      <c r="L2" s="1530"/>
      <c r="M2" s="1530"/>
      <c r="N2" s="1530"/>
      <c r="O2" s="1219"/>
    </row>
    <row r="3" spans="1:18" ht="29.25" customHeight="1">
      <c r="A3" s="1200"/>
      <c r="B3" s="662" t="s">
        <v>578</v>
      </c>
      <c r="C3" s="1204" t="s">
        <v>1772</v>
      </c>
      <c r="D3" s="1204"/>
      <c r="E3" s="1204"/>
      <c r="F3" s="662" t="s">
        <v>575</v>
      </c>
      <c r="G3" s="671">
        <v>46461</v>
      </c>
      <c r="H3" s="662" t="s">
        <v>576</v>
      </c>
      <c r="I3" s="663" t="s">
        <v>1771</v>
      </c>
      <c r="J3" s="1217"/>
      <c r="K3" s="1530"/>
      <c r="L3" s="1530"/>
      <c r="M3" s="1530"/>
      <c r="N3" s="1530"/>
      <c r="O3" s="1219"/>
    </row>
    <row r="4" spans="1:18" ht="30" customHeight="1">
      <c r="A4" s="1200"/>
      <c r="B4" s="662" t="s">
        <v>1756</v>
      </c>
      <c r="C4" s="1204"/>
      <c r="D4" s="1204"/>
      <c r="E4" s="1204"/>
      <c r="F4" s="662" t="s">
        <v>1836</v>
      </c>
      <c r="G4" s="663" t="s">
        <v>1778</v>
      </c>
      <c r="H4" s="662" t="s">
        <v>587</v>
      </c>
      <c r="I4" s="663" t="s">
        <v>1773</v>
      </c>
      <c r="J4" s="1220"/>
      <c r="K4" s="1221"/>
      <c r="L4" s="1221"/>
      <c r="M4" s="1221"/>
      <c r="N4" s="1221"/>
      <c r="O4" s="1222"/>
    </row>
    <row r="5" spans="1:18">
      <c r="A5" s="1199" t="s">
        <v>2771</v>
      </c>
      <c r="B5" s="1199"/>
      <c r="C5" s="1199"/>
      <c r="D5" s="1199"/>
      <c r="E5" s="1199"/>
      <c r="F5" s="1199"/>
      <c r="G5" s="1199"/>
      <c r="H5" s="1199"/>
      <c r="I5" s="1199"/>
      <c r="J5" s="1199"/>
      <c r="K5" s="1199"/>
      <c r="L5" s="1199"/>
      <c r="M5" s="1199"/>
      <c r="N5" s="1199"/>
      <c r="O5" s="1199"/>
    </row>
    <row r="6" spans="1:18">
      <c r="A6" s="1198" t="s">
        <v>1757</v>
      </c>
      <c r="B6" s="1198"/>
      <c r="C6" s="1198"/>
      <c r="D6" s="1198"/>
      <c r="E6" s="1198"/>
      <c r="F6" s="1198"/>
      <c r="G6" s="1198"/>
      <c r="H6" s="1198"/>
      <c r="I6" s="1198"/>
      <c r="J6" s="1198"/>
      <c r="K6" s="1198"/>
      <c r="L6" s="1198"/>
      <c r="M6" s="1198"/>
      <c r="N6" s="1198"/>
      <c r="O6" s="1198"/>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193" t="s">
        <v>19</v>
      </c>
      <c r="O7" s="1193"/>
    </row>
    <row r="8" spans="1:18" ht="26" customHeight="1">
      <c r="A8" s="663" t="s">
        <v>27</v>
      </c>
      <c r="B8" s="664">
        <v>46.92</v>
      </c>
      <c r="C8" s="663">
        <v>49</v>
      </c>
      <c r="D8" s="664">
        <v>46.44</v>
      </c>
      <c r="E8" s="663"/>
      <c r="F8" s="663"/>
      <c r="G8" s="665"/>
      <c r="H8" s="798"/>
      <c r="I8" s="663">
        <f t="shared" ref="I8:I13" si="0">+C8+E8</f>
        <v>49</v>
      </c>
      <c r="J8" s="664">
        <f t="shared" ref="J8:J13" si="1">+H8+D8</f>
        <v>46.44</v>
      </c>
      <c r="K8" s="1053">
        <f t="shared" ref="K8:K13" si="2">+B8-J8</f>
        <v>0.48000000000000398</v>
      </c>
      <c r="L8" s="663"/>
      <c r="M8" s="663"/>
      <c r="N8" s="1194" t="s">
        <v>2859</v>
      </c>
      <c r="O8" s="1194"/>
      <c r="P8" s="817"/>
    </row>
    <row r="9" spans="1:18">
      <c r="A9" s="663" t="s">
        <v>28</v>
      </c>
      <c r="B9" s="663">
        <v>129</v>
      </c>
      <c r="C9" s="663">
        <v>74</v>
      </c>
      <c r="D9" s="664">
        <v>67</v>
      </c>
      <c r="E9" s="663">
        <v>16</v>
      </c>
      <c r="F9" s="663">
        <v>30</v>
      </c>
      <c r="G9" s="665"/>
      <c r="H9" s="665"/>
      <c r="I9" s="663">
        <f>+C9+E9</f>
        <v>90</v>
      </c>
      <c r="J9" s="663">
        <f t="shared" si="1"/>
        <v>67</v>
      </c>
      <c r="K9" s="663">
        <f t="shared" si="2"/>
        <v>62</v>
      </c>
      <c r="L9" s="663">
        <v>7</v>
      </c>
      <c r="M9" s="663">
        <v>8</v>
      </c>
      <c r="N9" s="1194"/>
      <c r="O9" s="1194"/>
      <c r="R9" s="1132"/>
    </row>
    <row r="10" spans="1:18" s="644" customFormat="1">
      <c r="A10" s="666" t="s">
        <v>609</v>
      </c>
      <c r="B10" s="663">
        <v>129</v>
      </c>
      <c r="C10" s="666">
        <v>81</v>
      </c>
      <c r="D10" s="967">
        <v>54</v>
      </c>
      <c r="E10" s="663">
        <v>16</v>
      </c>
      <c r="F10" s="666">
        <v>30</v>
      </c>
      <c r="G10" s="667"/>
      <c r="H10" s="667">
        <v>1</v>
      </c>
      <c r="I10" s="663">
        <f t="shared" si="0"/>
        <v>97</v>
      </c>
      <c r="J10" s="663">
        <f t="shared" si="1"/>
        <v>55</v>
      </c>
      <c r="K10" s="663">
        <f t="shared" si="2"/>
        <v>74</v>
      </c>
      <c r="L10" s="666"/>
      <c r="M10" s="666"/>
      <c r="N10" s="1195"/>
      <c r="O10" s="1194"/>
      <c r="R10" s="1133"/>
    </row>
    <row r="11" spans="1:18">
      <c r="A11" s="668" t="s">
        <v>610</v>
      </c>
      <c r="B11" s="663">
        <v>129</v>
      </c>
      <c r="C11" s="668">
        <v>45</v>
      </c>
      <c r="D11" s="1111">
        <v>26</v>
      </c>
      <c r="E11" s="668">
        <v>16</v>
      </c>
      <c r="F11" s="668">
        <v>25</v>
      </c>
      <c r="G11" s="669"/>
      <c r="H11" s="669"/>
      <c r="I11" s="663">
        <f t="shared" si="0"/>
        <v>61</v>
      </c>
      <c r="J11" s="664">
        <f>+H11+D11</f>
        <v>26</v>
      </c>
      <c r="K11" s="663">
        <f t="shared" si="2"/>
        <v>103</v>
      </c>
      <c r="L11" s="668">
        <v>3</v>
      </c>
      <c r="M11" s="668">
        <v>5</v>
      </c>
      <c r="N11" s="1196" t="s">
        <v>3408</v>
      </c>
      <c r="O11" s="1196"/>
      <c r="R11" s="1134"/>
    </row>
    <row r="12" spans="1:18">
      <c r="A12" s="668" t="s">
        <v>612</v>
      </c>
      <c r="B12" s="663">
        <v>129</v>
      </c>
      <c r="C12" s="668">
        <v>45</v>
      </c>
      <c r="D12" s="796">
        <v>0</v>
      </c>
      <c r="E12" s="668">
        <v>16</v>
      </c>
      <c r="F12" s="668">
        <v>25</v>
      </c>
      <c r="G12" s="669"/>
      <c r="H12" s="669"/>
      <c r="I12" s="663">
        <f t="shared" si="0"/>
        <v>61</v>
      </c>
      <c r="J12" s="663">
        <f t="shared" si="1"/>
        <v>0</v>
      </c>
      <c r="K12" s="663">
        <f t="shared" si="2"/>
        <v>129</v>
      </c>
      <c r="L12" s="668">
        <v>0</v>
      </c>
      <c r="M12" s="668">
        <v>0</v>
      </c>
      <c r="N12" s="1197"/>
      <c r="O12" s="1197"/>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197"/>
      <c r="O13" s="1197"/>
    </row>
    <row r="14" spans="1:18">
      <c r="A14" s="1199" t="s">
        <v>2857</v>
      </c>
      <c r="B14" s="1199"/>
      <c r="C14" s="1199"/>
      <c r="D14" s="1199"/>
      <c r="E14" s="1199"/>
      <c r="F14" s="1199"/>
      <c r="G14" s="1199"/>
      <c r="H14" s="1199"/>
      <c r="I14" s="1199"/>
      <c r="J14" s="1199"/>
      <c r="K14" s="1199"/>
      <c r="L14" s="1199"/>
      <c r="M14" s="1199"/>
      <c r="N14" s="1199"/>
      <c r="O14" s="1199"/>
    </row>
    <row r="15" spans="1:18">
      <c r="A15" s="1198" t="s">
        <v>1757</v>
      </c>
      <c r="B15" s="1198"/>
      <c r="C15" s="1198"/>
      <c r="D15" s="1198"/>
      <c r="E15" s="1198"/>
      <c r="F15" s="1198"/>
      <c r="G15" s="1198"/>
      <c r="H15" s="1198"/>
      <c r="I15" s="1198"/>
      <c r="J15" s="1198"/>
      <c r="K15" s="1198"/>
      <c r="L15" s="1198"/>
      <c r="M15" s="1198"/>
      <c r="N15" s="1198"/>
      <c r="O15" s="1198"/>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193" t="s">
        <v>19</v>
      </c>
      <c r="O16" s="1193"/>
    </row>
    <row r="17" spans="1:23" ht="53.5" customHeight="1">
      <c r="A17" s="663" t="s">
        <v>27</v>
      </c>
      <c r="B17" s="664">
        <v>90</v>
      </c>
      <c r="C17" s="663">
        <v>95</v>
      </c>
      <c r="D17" s="664">
        <v>85</v>
      </c>
      <c r="E17" s="663"/>
      <c r="F17" s="663"/>
      <c r="G17" s="950"/>
      <c r="H17" s="798"/>
      <c r="I17" s="663">
        <f t="shared" ref="I17:I22" si="3">+C17+E17</f>
        <v>95</v>
      </c>
      <c r="J17" s="664">
        <v>85</v>
      </c>
      <c r="K17" s="664">
        <f t="shared" ref="K17:K22" si="4">+B17-J17</f>
        <v>5</v>
      </c>
      <c r="L17" s="663"/>
      <c r="M17" s="663">
        <v>2</v>
      </c>
      <c r="N17" s="1194" t="s">
        <v>3384</v>
      </c>
      <c r="O17" s="1194"/>
      <c r="R17" s="1136"/>
      <c r="S17" s="1136"/>
      <c r="T17" s="1136"/>
      <c r="U17" s="1136"/>
      <c r="V17" s="1135"/>
      <c r="W17" s="1135"/>
    </row>
    <row r="18" spans="1:23">
      <c r="A18" s="663" t="s">
        <v>28</v>
      </c>
      <c r="B18" s="663">
        <v>258</v>
      </c>
      <c r="C18" s="663">
        <v>133</v>
      </c>
      <c r="D18" s="664">
        <v>135</v>
      </c>
      <c r="E18" s="663">
        <v>29</v>
      </c>
      <c r="F18" s="663">
        <v>38</v>
      </c>
      <c r="G18" s="665">
        <v>1</v>
      </c>
      <c r="H18" s="665">
        <v>1</v>
      </c>
      <c r="I18" s="663">
        <f>+C18+E18</f>
        <v>162</v>
      </c>
      <c r="J18" s="663">
        <f t="shared" ref="J18:J22" si="5">+H18+D18</f>
        <v>136</v>
      </c>
      <c r="K18" s="663">
        <f t="shared" si="4"/>
        <v>122</v>
      </c>
      <c r="L18" s="663">
        <v>10</v>
      </c>
      <c r="M18" s="663">
        <v>11</v>
      </c>
      <c r="N18" s="1194"/>
      <c r="O18" s="1194"/>
      <c r="R18" s="1108"/>
    </row>
    <row r="19" spans="1:23">
      <c r="A19" s="666" t="s">
        <v>609</v>
      </c>
      <c r="B19" s="663">
        <v>258</v>
      </c>
      <c r="C19" s="666">
        <v>133</v>
      </c>
      <c r="D19" s="967">
        <v>118</v>
      </c>
      <c r="E19" s="663">
        <v>29</v>
      </c>
      <c r="F19" s="663">
        <v>38</v>
      </c>
      <c r="G19" s="667"/>
      <c r="H19" s="667"/>
      <c r="I19" s="663">
        <f t="shared" si="3"/>
        <v>162</v>
      </c>
      <c r="J19" s="663">
        <f t="shared" si="5"/>
        <v>118</v>
      </c>
      <c r="K19" s="663">
        <f t="shared" si="4"/>
        <v>140</v>
      </c>
      <c r="L19" s="666">
        <v>0</v>
      </c>
      <c r="M19" s="666"/>
      <c r="N19" s="1195"/>
      <c r="O19" s="1194"/>
    </row>
    <row r="20" spans="1:23">
      <c r="A20" s="668" t="s">
        <v>610</v>
      </c>
      <c r="B20" s="663">
        <v>258</v>
      </c>
      <c r="C20" s="668">
        <v>80</v>
      </c>
      <c r="D20" s="1111">
        <v>29</v>
      </c>
      <c r="E20" s="668">
        <v>29</v>
      </c>
      <c r="F20" s="668">
        <v>50</v>
      </c>
      <c r="G20" s="669">
        <v>2</v>
      </c>
      <c r="H20" s="669">
        <v>2</v>
      </c>
      <c r="I20" s="663">
        <f t="shared" si="3"/>
        <v>109</v>
      </c>
      <c r="J20" s="663">
        <f t="shared" si="5"/>
        <v>31</v>
      </c>
      <c r="K20" s="663">
        <f t="shared" si="4"/>
        <v>227</v>
      </c>
      <c r="L20" s="668">
        <v>5</v>
      </c>
      <c r="M20" s="668">
        <v>5</v>
      </c>
      <c r="N20" s="1197"/>
      <c r="O20" s="1197"/>
      <c r="S20" s="643">
        <v>157405</v>
      </c>
    </row>
    <row r="21" spans="1:23">
      <c r="A21" s="668" t="s">
        <v>612</v>
      </c>
      <c r="B21" s="663">
        <v>258</v>
      </c>
      <c r="C21" s="668">
        <v>80</v>
      </c>
      <c r="D21" s="796">
        <v>0</v>
      </c>
      <c r="E21" s="668">
        <v>29</v>
      </c>
      <c r="F21" s="668">
        <v>50</v>
      </c>
      <c r="G21" s="669"/>
      <c r="H21" s="669"/>
      <c r="I21" s="663">
        <f t="shared" si="3"/>
        <v>109</v>
      </c>
      <c r="J21" s="663">
        <f t="shared" si="5"/>
        <v>0</v>
      </c>
      <c r="K21" s="663">
        <f t="shared" si="4"/>
        <v>258</v>
      </c>
      <c r="L21" s="668">
        <v>0</v>
      </c>
      <c r="M21" s="668">
        <v>0</v>
      </c>
      <c r="N21" s="1197"/>
      <c r="O21" s="1197"/>
      <c r="Q21" s="643">
        <f>97200/12</f>
        <v>8100</v>
      </c>
      <c r="R21" s="643">
        <f>67500</f>
        <v>67500</v>
      </c>
      <c r="S21" s="643">
        <f>R21*12%</f>
        <v>8100</v>
      </c>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197"/>
      <c r="O22" s="1197"/>
      <c r="S22" s="643">
        <f>S20-S21</f>
        <v>149305</v>
      </c>
    </row>
    <row r="23" spans="1:23">
      <c r="A23" s="1199" t="s">
        <v>1776</v>
      </c>
      <c r="B23" s="1199"/>
      <c r="C23" s="1199"/>
      <c r="D23" s="1199"/>
      <c r="E23" s="1199"/>
      <c r="F23" s="1199"/>
      <c r="G23" s="1199"/>
      <c r="H23" s="1199"/>
      <c r="I23" s="1199"/>
      <c r="J23" s="1199"/>
      <c r="K23" s="1199"/>
      <c r="L23" s="1199"/>
      <c r="M23" s="1199"/>
      <c r="N23" s="1199"/>
      <c r="O23" s="1199"/>
    </row>
    <row r="24" spans="1:23">
      <c r="A24" s="1198" t="s">
        <v>1757</v>
      </c>
      <c r="B24" s="1198"/>
      <c r="C24" s="1198"/>
      <c r="D24" s="1198"/>
      <c r="E24" s="1198"/>
      <c r="F24" s="1198"/>
      <c r="G24" s="1198"/>
      <c r="H24" s="1198"/>
      <c r="I24" s="1198"/>
      <c r="J24" s="1198"/>
      <c r="K24" s="1198"/>
      <c r="L24" s="1198"/>
      <c r="M24" s="1198"/>
      <c r="N24" s="1198"/>
      <c r="O24" s="1198"/>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193" t="s">
        <v>19</v>
      </c>
      <c r="O25" s="1193"/>
    </row>
    <row r="26" spans="1:23" ht="35" customHeight="1">
      <c r="A26" s="663" t="s">
        <v>27</v>
      </c>
      <c r="B26" s="664">
        <v>33.103000000000002</v>
      </c>
      <c r="C26" s="664">
        <v>33.103000000000002</v>
      </c>
      <c r="D26" s="664">
        <v>33.103000000000002</v>
      </c>
      <c r="E26" s="664"/>
      <c r="F26" s="663"/>
      <c r="G26" s="798"/>
      <c r="H26" s="1031"/>
      <c r="I26" s="664">
        <f t="shared" ref="I26:I31" si="6">+C26+E26</f>
        <v>33.103000000000002</v>
      </c>
      <c r="J26" s="664">
        <f>+H26+D26</f>
        <v>33.103000000000002</v>
      </c>
      <c r="K26" s="664">
        <f t="shared" ref="K26" si="7">+B26-J26</f>
        <v>0</v>
      </c>
      <c r="L26" s="663"/>
      <c r="M26" s="663">
        <v>1</v>
      </c>
      <c r="N26" s="1194" t="s">
        <v>3375</v>
      </c>
      <c r="O26" s="1194"/>
      <c r="Q26" s="817"/>
    </row>
    <row r="27" spans="1:23">
      <c r="A27" s="663" t="s">
        <v>28</v>
      </c>
      <c r="B27" s="663">
        <v>129</v>
      </c>
      <c r="C27" s="663">
        <v>39</v>
      </c>
      <c r="D27" s="663">
        <v>37</v>
      </c>
      <c r="E27" s="663">
        <v>11</v>
      </c>
      <c r="F27" s="663">
        <v>11</v>
      </c>
      <c r="G27" s="665"/>
      <c r="H27" s="665"/>
      <c r="I27" s="663">
        <f t="shared" si="6"/>
        <v>50</v>
      </c>
      <c r="J27" s="663">
        <f t="shared" ref="J27:J31" si="8">+H27+D27</f>
        <v>37</v>
      </c>
      <c r="K27" s="664">
        <f t="shared" ref="K27" si="9">+B27-J27</f>
        <v>92</v>
      </c>
      <c r="L27" s="663">
        <v>3</v>
      </c>
      <c r="M27" s="663">
        <v>6</v>
      </c>
      <c r="N27" s="1194"/>
      <c r="O27" s="1195"/>
      <c r="R27" s="1108"/>
    </row>
    <row r="28" spans="1:23">
      <c r="A28" s="666" t="s">
        <v>609</v>
      </c>
      <c r="B28" s="663">
        <v>129</v>
      </c>
      <c r="C28" s="666">
        <v>39</v>
      </c>
      <c r="D28" s="666">
        <v>24</v>
      </c>
      <c r="E28" s="666">
        <v>11</v>
      </c>
      <c r="F28" s="666">
        <v>11</v>
      </c>
      <c r="G28" s="667"/>
      <c r="H28" s="667"/>
      <c r="I28" s="663">
        <f t="shared" si="6"/>
        <v>50</v>
      </c>
      <c r="J28" s="663">
        <f t="shared" si="8"/>
        <v>24</v>
      </c>
      <c r="K28" s="664">
        <f t="shared" ref="K28:K31" si="10">+B28-J28</f>
        <v>105</v>
      </c>
      <c r="L28" s="666">
        <v>0</v>
      </c>
      <c r="M28" s="666"/>
      <c r="N28" s="1195"/>
      <c r="O28" s="1194"/>
    </row>
    <row r="29" spans="1:23">
      <c r="A29" s="668" t="s">
        <v>610</v>
      </c>
      <c r="B29" s="663">
        <v>129</v>
      </c>
      <c r="C29" s="668">
        <v>0</v>
      </c>
      <c r="D29" s="668">
        <v>0</v>
      </c>
      <c r="E29" s="668">
        <v>5</v>
      </c>
      <c r="F29" s="668">
        <v>5</v>
      </c>
      <c r="G29" s="669"/>
      <c r="H29" s="669"/>
      <c r="I29" s="663">
        <f t="shared" si="6"/>
        <v>5</v>
      </c>
      <c r="J29" s="663">
        <f t="shared" si="8"/>
        <v>0</v>
      </c>
      <c r="K29" s="664">
        <f t="shared" si="10"/>
        <v>129</v>
      </c>
      <c r="L29" s="668">
        <v>0</v>
      </c>
      <c r="M29" s="668">
        <v>0</v>
      </c>
      <c r="N29" s="1197"/>
      <c r="O29" s="1197"/>
    </row>
    <row r="30" spans="1:23">
      <c r="A30" s="668" t="s">
        <v>612</v>
      </c>
      <c r="B30" s="663">
        <v>129</v>
      </c>
      <c r="C30" s="668">
        <v>0</v>
      </c>
      <c r="D30" s="668">
        <v>0</v>
      </c>
      <c r="E30" s="668">
        <v>5</v>
      </c>
      <c r="F30" s="668">
        <v>5</v>
      </c>
      <c r="G30" s="669"/>
      <c r="H30" s="669"/>
      <c r="I30" s="663">
        <f t="shared" si="6"/>
        <v>5</v>
      </c>
      <c r="J30" s="663">
        <f t="shared" si="8"/>
        <v>0</v>
      </c>
      <c r="K30" s="664">
        <f t="shared" si="10"/>
        <v>129</v>
      </c>
      <c r="L30" s="668">
        <v>0</v>
      </c>
      <c r="M30" s="668">
        <v>0</v>
      </c>
      <c r="N30" s="1197"/>
      <c r="O30" s="1197"/>
    </row>
    <row r="31" spans="1:23">
      <c r="A31" s="668" t="s">
        <v>614</v>
      </c>
      <c r="B31" s="664">
        <v>33.103000000000002</v>
      </c>
      <c r="C31" s="668">
        <v>0</v>
      </c>
      <c r="D31" s="1111">
        <v>0</v>
      </c>
      <c r="E31" s="668"/>
      <c r="F31" s="668"/>
      <c r="G31" s="669"/>
      <c r="H31" s="669"/>
      <c r="I31" s="663">
        <f t="shared" si="6"/>
        <v>0</v>
      </c>
      <c r="J31" s="663">
        <f t="shared" si="8"/>
        <v>0</v>
      </c>
      <c r="K31" s="664">
        <f t="shared" si="10"/>
        <v>33.103000000000002</v>
      </c>
      <c r="L31" s="668">
        <v>0</v>
      </c>
      <c r="M31" s="668">
        <v>0</v>
      </c>
      <c r="N31" s="1197"/>
      <c r="O31" s="1197"/>
    </row>
    <row r="32" spans="1:23">
      <c r="A32" s="1199" t="s">
        <v>1777</v>
      </c>
      <c r="B32" s="1199"/>
      <c r="C32" s="1199"/>
      <c r="D32" s="1199"/>
      <c r="E32" s="1199"/>
      <c r="F32" s="1199"/>
      <c r="G32" s="1199"/>
      <c r="H32" s="1199"/>
      <c r="I32" s="1199"/>
      <c r="J32" s="1199"/>
      <c r="K32" s="1199"/>
      <c r="L32" s="1199"/>
      <c r="M32" s="1199"/>
      <c r="N32" s="1199"/>
      <c r="O32" s="1199"/>
    </row>
    <row r="33" spans="1:15">
      <c r="A33" s="1198" t="s">
        <v>1757</v>
      </c>
      <c r="B33" s="1198"/>
      <c r="C33" s="1198"/>
      <c r="D33" s="1198"/>
      <c r="E33" s="1198"/>
      <c r="F33" s="1198"/>
      <c r="G33" s="1198"/>
      <c r="H33" s="1198"/>
      <c r="I33" s="1198"/>
      <c r="J33" s="1198"/>
      <c r="K33" s="1198"/>
      <c r="L33" s="1198"/>
      <c r="M33" s="1198"/>
      <c r="N33" s="1198"/>
      <c r="O33" s="1198"/>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193" t="s">
        <v>19</v>
      </c>
      <c r="O34" s="1193"/>
    </row>
    <row r="35" spans="1:15" ht="18.5" customHeight="1">
      <c r="A35" s="663" t="s">
        <v>27</v>
      </c>
      <c r="B35" s="670">
        <v>2.5710000000000002</v>
      </c>
      <c r="C35" s="670">
        <v>2.1</v>
      </c>
      <c r="D35" s="670">
        <v>2.5710000000000002</v>
      </c>
      <c r="F35" s="663"/>
      <c r="G35" s="665"/>
      <c r="H35" s="665"/>
      <c r="I35" s="663">
        <f>+C35+F35</f>
        <v>2.1</v>
      </c>
      <c r="J35" s="1053">
        <f t="shared" ref="J35:J40" si="11">+H35+D35</f>
        <v>2.5710000000000002</v>
      </c>
      <c r="K35" s="664">
        <f t="shared" ref="K35:K40" si="12">+B35-J35</f>
        <v>0</v>
      </c>
      <c r="L35" s="663"/>
      <c r="M35" s="663"/>
      <c r="N35" s="1205"/>
      <c r="O35" s="1206"/>
    </row>
    <row r="36" spans="1:15" ht="64"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07"/>
      <c r="O36" s="1208"/>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195"/>
      <c r="O37" s="1194"/>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197"/>
      <c r="O38" s="1197"/>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197"/>
      <c r="O39" s="1197"/>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197"/>
      <c r="O40" s="1197"/>
    </row>
    <row r="41" spans="1:15">
      <c r="A41" s="1199" t="s">
        <v>2866</v>
      </c>
      <c r="B41" s="1199"/>
      <c r="C41" s="1199"/>
      <c r="D41" s="1199"/>
      <c r="E41" s="1199"/>
      <c r="F41" s="1199"/>
      <c r="G41" s="1199"/>
      <c r="H41" s="1199"/>
      <c r="I41" s="1199"/>
      <c r="J41" s="1199"/>
      <c r="K41" s="1199"/>
      <c r="L41" s="1199"/>
      <c r="M41" s="1199"/>
      <c r="N41" s="1199"/>
      <c r="O41" s="1199"/>
    </row>
    <row r="42" spans="1:15" ht="37.5">
      <c r="A42" s="662" t="s">
        <v>2426</v>
      </c>
      <c r="B42" s="662" t="s">
        <v>2867</v>
      </c>
      <c r="C42" s="662" t="s">
        <v>2858</v>
      </c>
      <c r="D42" s="662" t="s">
        <v>3392</v>
      </c>
      <c r="E42" s="662" t="s">
        <v>3393</v>
      </c>
      <c r="F42" s="1211" t="s">
        <v>19</v>
      </c>
      <c r="G42" s="1212"/>
      <c r="H42" s="1213"/>
      <c r="I42" s="1214"/>
      <c r="J42" s="1215"/>
      <c r="K42" s="1215"/>
      <c r="L42" s="1215"/>
      <c r="M42" s="1215"/>
      <c r="N42" s="1215"/>
      <c r="O42" s="1216"/>
    </row>
    <row r="43" spans="1:15" ht="30" customHeight="1">
      <c r="A43" s="1209" t="s">
        <v>2719</v>
      </c>
      <c r="B43" s="949" t="s">
        <v>2868</v>
      </c>
      <c r="C43" s="947">
        <v>387</v>
      </c>
      <c r="D43" s="947">
        <f>100+120+150+64</f>
        <v>434</v>
      </c>
      <c r="E43" s="947">
        <v>327</v>
      </c>
      <c r="F43" s="1223"/>
      <c r="G43" s="1224"/>
      <c r="H43" s="1225"/>
      <c r="I43" s="1217"/>
      <c r="J43" s="1218"/>
      <c r="K43" s="1218"/>
      <c r="L43" s="1218"/>
      <c r="M43" s="1218"/>
      <c r="N43" s="1218"/>
      <c r="O43" s="1219"/>
    </row>
    <row r="44" spans="1:15" ht="30" customHeight="1">
      <c r="A44" s="1210"/>
      <c r="B44" s="949" t="s">
        <v>2869</v>
      </c>
      <c r="C44" s="947">
        <v>387</v>
      </c>
      <c r="D44" s="947">
        <f>101+115</f>
        <v>216</v>
      </c>
      <c r="E44" s="947">
        <v>266</v>
      </c>
      <c r="F44" s="1226"/>
      <c r="G44" s="1227"/>
      <c r="H44" s="1228"/>
      <c r="I44" s="1217"/>
      <c r="J44" s="1218"/>
      <c r="K44" s="1218"/>
      <c r="L44" s="1218"/>
      <c r="M44" s="1218"/>
      <c r="N44" s="1218"/>
      <c r="O44" s="1219"/>
    </row>
    <row r="45" spans="1:15" ht="30" customHeight="1">
      <c r="A45" s="1209" t="s">
        <v>2870</v>
      </c>
      <c r="B45" s="949" t="s">
        <v>2868</v>
      </c>
      <c r="C45" s="947">
        <v>129</v>
      </c>
      <c r="D45" s="947">
        <v>129</v>
      </c>
      <c r="E45" s="947">
        <v>63</v>
      </c>
      <c r="F45" s="1223"/>
      <c r="G45" s="1224"/>
      <c r="H45" s="1225"/>
      <c r="I45" s="1217"/>
      <c r="J45" s="1218"/>
      <c r="K45" s="1218"/>
      <c r="L45" s="1218"/>
      <c r="M45" s="1218"/>
      <c r="N45" s="1218"/>
      <c r="O45" s="1219"/>
    </row>
    <row r="46" spans="1:15" ht="30" customHeight="1">
      <c r="A46" s="1210"/>
      <c r="B46" s="949" t="s">
        <v>2869</v>
      </c>
      <c r="C46" s="947">
        <v>129</v>
      </c>
      <c r="D46" s="947">
        <v>129</v>
      </c>
      <c r="E46" s="947">
        <v>41</v>
      </c>
      <c r="F46" s="1226"/>
      <c r="G46" s="1227"/>
      <c r="H46" s="1228"/>
      <c r="I46" s="1217"/>
      <c r="J46" s="1218"/>
      <c r="K46" s="1218"/>
      <c r="L46" s="1218"/>
      <c r="M46" s="1218"/>
      <c r="N46" s="1218"/>
      <c r="O46" s="1219"/>
    </row>
    <row r="47" spans="1:15" ht="30" customHeight="1">
      <c r="A47" s="1209" t="s">
        <v>2871</v>
      </c>
      <c r="B47" s="949" t="s">
        <v>2868</v>
      </c>
      <c r="C47" s="947">
        <v>16</v>
      </c>
      <c r="D47" s="947">
        <v>14</v>
      </c>
      <c r="E47" s="947">
        <v>10</v>
      </c>
      <c r="F47" s="1223"/>
      <c r="G47" s="1224"/>
      <c r="H47" s="1225"/>
      <c r="I47" s="1217"/>
      <c r="J47" s="1218"/>
      <c r="K47" s="1218"/>
      <c r="L47" s="1218"/>
      <c r="M47" s="1218"/>
      <c r="N47" s="1218"/>
      <c r="O47" s="1219"/>
    </row>
    <row r="48" spans="1:15" ht="30" customHeight="1">
      <c r="A48" s="1210"/>
      <c r="B48" s="949" t="s">
        <v>2869</v>
      </c>
      <c r="C48" s="947">
        <v>16</v>
      </c>
      <c r="D48" s="947">
        <v>14</v>
      </c>
      <c r="E48" s="947"/>
      <c r="F48" s="1226"/>
      <c r="G48" s="1227"/>
      <c r="H48" s="1228"/>
      <c r="I48" s="1220"/>
      <c r="J48" s="1221"/>
      <c r="K48" s="1221"/>
      <c r="L48" s="1221"/>
      <c r="M48" s="1221"/>
      <c r="N48" s="1221"/>
      <c r="O48" s="1222"/>
    </row>
  </sheetData>
  <mergeCells count="49">
    <mergeCell ref="A45:A46"/>
    <mergeCell ref="A47:A48"/>
    <mergeCell ref="A41:O41"/>
    <mergeCell ref="F42:H42"/>
    <mergeCell ref="I42:O48"/>
    <mergeCell ref="F43:H44"/>
    <mergeCell ref="F45:H46"/>
    <mergeCell ref="F47:H48"/>
    <mergeCell ref="A43:A44"/>
    <mergeCell ref="N37:O37"/>
    <mergeCell ref="N38:O38"/>
    <mergeCell ref="N39:O39"/>
    <mergeCell ref="N40:O40"/>
    <mergeCell ref="N35:O36"/>
    <mergeCell ref="J1:O4"/>
    <mergeCell ref="A1:A4"/>
    <mergeCell ref="C2:E2"/>
    <mergeCell ref="C3:E3"/>
    <mergeCell ref="C4:E4"/>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83" t="s">
        <v>0</v>
      </c>
      <c r="B1" s="1284"/>
      <c r="C1" s="1284"/>
      <c r="D1" s="1284"/>
      <c r="E1" s="1284"/>
      <c r="F1" s="1284"/>
      <c r="G1" s="1284"/>
      <c r="H1" s="1284"/>
      <c r="I1" s="1284"/>
      <c r="J1" s="1284"/>
      <c r="K1" s="1284"/>
      <c r="L1" s="1284"/>
      <c r="M1" s="1284"/>
      <c r="N1" s="1284"/>
      <c r="O1" s="1284"/>
      <c r="P1" s="1284"/>
      <c r="Q1" s="1284"/>
      <c r="R1" s="1285"/>
    </row>
    <row r="2" spans="1:20" ht="13.5" customHeight="1">
      <c r="A2" s="1311" t="s">
        <v>1</v>
      </c>
      <c r="C2" s="464"/>
      <c r="D2" s="464" t="s">
        <v>2</v>
      </c>
      <c r="E2" s="464"/>
      <c r="F2" s="464"/>
      <c r="G2" s="1313" t="s">
        <v>3</v>
      </c>
      <c r="H2" s="466"/>
      <c r="I2" s="501" t="s">
        <v>4</v>
      </c>
      <c r="J2" s="502"/>
      <c r="K2" s="466"/>
      <c r="L2" s="1286" t="s">
        <v>5</v>
      </c>
      <c r="M2" s="1286"/>
      <c r="N2" s="1287">
        <v>45747</v>
      </c>
      <c r="O2" s="1288"/>
      <c r="P2" s="1289"/>
      <c r="Q2" s="1315" t="s">
        <v>6</v>
      </c>
      <c r="R2" s="1317">
        <f ca="1">TODAY()</f>
        <v>46084</v>
      </c>
    </row>
    <row r="3" spans="1:20" ht="12.65" customHeight="1">
      <c r="A3" s="1312"/>
      <c r="C3" s="465"/>
      <c r="D3" s="465" t="s">
        <v>7</v>
      </c>
      <c r="E3" s="465"/>
      <c r="F3" s="465"/>
      <c r="G3" s="1314"/>
      <c r="I3" s="503" t="s">
        <v>8</v>
      </c>
      <c r="J3" s="504"/>
      <c r="K3" s="505"/>
      <c r="L3" s="1286" t="s">
        <v>5</v>
      </c>
      <c r="M3" s="1286"/>
      <c r="N3" s="1287">
        <v>45747</v>
      </c>
      <c r="O3" s="1288"/>
      <c r="P3" s="1289"/>
      <c r="Q3" s="1316"/>
      <c r="R3" s="1318"/>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90" t="s">
        <v>10</v>
      </c>
      <c r="B5" s="469" t="s">
        <v>11</v>
      </c>
      <c r="C5" s="1290" t="s">
        <v>12</v>
      </c>
      <c r="D5" s="1290" t="s">
        <v>13</v>
      </c>
      <c r="E5" s="1290"/>
      <c r="F5" s="1290" t="s">
        <v>14</v>
      </c>
      <c r="G5" s="1290"/>
      <c r="H5" s="1291" t="s">
        <v>1704</v>
      </c>
      <c r="I5" s="1292"/>
      <c r="J5" s="469" t="s">
        <v>16</v>
      </c>
      <c r="K5" s="1291" t="s">
        <v>1741</v>
      </c>
      <c r="L5" s="1292"/>
      <c r="M5" s="1292"/>
      <c r="N5" s="1292"/>
      <c r="O5" s="1290" t="s">
        <v>18</v>
      </c>
      <c r="P5" s="1290"/>
      <c r="Q5" s="1290" t="s">
        <v>19</v>
      </c>
      <c r="R5" s="1319"/>
    </row>
    <row r="6" spans="1:20" ht="21" customHeight="1" thickBot="1">
      <c r="A6" s="1290"/>
      <c r="B6" s="469"/>
      <c r="C6" s="1290"/>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90"/>
      <c r="R6" s="1319"/>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93"/>
      <c r="R7" s="1293"/>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94"/>
      <c r="R8" s="129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94"/>
      <c r="R9" s="1295"/>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96"/>
      <c r="R10" s="1297"/>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94"/>
      <c r="R11" s="1295"/>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94"/>
      <c r="R12" s="1295"/>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96"/>
      <c r="R13" s="1297"/>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05"/>
      <c r="R14" s="1300"/>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05"/>
      <c r="R15" s="1300"/>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01"/>
      <c r="R16" s="1302"/>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96"/>
      <c r="R17" s="1297"/>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98"/>
      <c r="R18" s="1299"/>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98" t="s">
        <v>1754</v>
      </c>
      <c r="R19" s="1300"/>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01"/>
      <c r="R20" s="1302"/>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03"/>
      <c r="R21" s="1304"/>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98"/>
      <c r="R22" s="1300"/>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98"/>
      <c r="R23" s="1300"/>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08"/>
      <c r="R24" s="1309"/>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03"/>
      <c r="R25" s="1304"/>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98"/>
      <c r="R26" s="1300"/>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06"/>
      <c r="R27" s="1307"/>
    </row>
    <row r="28" spans="1:19">
      <c r="A28" s="498" t="s">
        <v>31</v>
      </c>
      <c r="B28" s="479"/>
      <c r="C28" s="499"/>
      <c r="D28" s="479"/>
      <c r="E28" s="479"/>
      <c r="F28" s="479"/>
      <c r="G28" s="479"/>
      <c r="H28" s="479"/>
      <c r="I28" s="479"/>
      <c r="J28" s="479"/>
      <c r="K28" s="479"/>
      <c r="L28" s="526" t="s">
        <v>1718</v>
      </c>
      <c r="M28" s="479"/>
      <c r="N28" s="479"/>
      <c r="O28" s="479"/>
      <c r="P28" s="479"/>
      <c r="Q28" s="1308"/>
      <c r="R28" s="1309"/>
    </row>
    <row r="29" spans="1:19">
      <c r="Q29" s="1310"/>
      <c r="R29" s="1310"/>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26" t="s">
        <v>1789</v>
      </c>
      <c r="D1" s="1326"/>
      <c r="E1" s="1326"/>
      <c r="F1" s="1326"/>
      <c r="G1" s="1326"/>
      <c r="H1" s="1327"/>
      <c r="W1" s="674"/>
      <c r="X1" s="674"/>
      <c r="Y1" s="674"/>
      <c r="Z1" s="675" t="s">
        <v>1790</v>
      </c>
      <c r="AA1" s="675" t="s">
        <v>1791</v>
      </c>
    </row>
    <row r="2" spans="1:27" s="676" customFormat="1">
      <c r="B2" s="677" t="s">
        <v>1792</v>
      </c>
      <c r="C2" s="1328" t="s">
        <v>1793</v>
      </c>
      <c r="D2" s="1328"/>
      <c r="E2" s="1328"/>
      <c r="F2" s="1328"/>
      <c r="G2" s="1328"/>
      <c r="H2" s="1329"/>
      <c r="W2" s="674"/>
      <c r="X2" s="674"/>
      <c r="Y2" s="674"/>
      <c r="Z2" s="675" t="s">
        <v>1794</v>
      </c>
      <c r="AA2" s="675" t="s">
        <v>1795</v>
      </c>
    </row>
    <row r="3" spans="1:27" s="672" customFormat="1">
      <c r="B3" s="677" t="s">
        <v>1796</v>
      </c>
      <c r="C3" s="1328" t="s">
        <v>1768</v>
      </c>
      <c r="D3" s="1328"/>
      <c r="E3" s="1328"/>
      <c r="F3" s="1328"/>
      <c r="G3" s="1328"/>
      <c r="H3" s="1329"/>
      <c r="W3" s="674"/>
      <c r="X3" s="674"/>
      <c r="Y3" s="674"/>
      <c r="Z3" s="675"/>
      <c r="AA3" s="675" t="s">
        <v>1794</v>
      </c>
    </row>
    <row r="4" spans="1:27">
      <c r="A4" s="672"/>
      <c r="B4" s="677" t="s">
        <v>1797</v>
      </c>
      <c r="C4" s="1330" t="s">
        <v>1798</v>
      </c>
      <c r="D4" s="1331"/>
      <c r="E4" s="1331"/>
      <c r="F4" s="1331"/>
      <c r="G4" s="1331"/>
      <c r="H4" s="1332"/>
      <c r="W4" s="679"/>
      <c r="X4" s="679"/>
      <c r="Y4" s="679"/>
      <c r="Z4" s="679"/>
      <c r="AA4" s="679"/>
    </row>
    <row r="5" spans="1:27" ht="12" thickBot="1">
      <c r="A5" s="672"/>
      <c r="B5" s="680" t="s">
        <v>1799</v>
      </c>
      <c r="C5" s="1333" t="s">
        <v>1800</v>
      </c>
      <c r="D5" s="1334"/>
      <c r="E5" s="1334"/>
      <c r="F5" s="1334"/>
      <c r="G5" s="1334"/>
      <c r="H5" s="1335"/>
      <c r="W5" s="679"/>
      <c r="X5" s="679"/>
      <c r="Y5" s="679"/>
      <c r="Z5" s="679"/>
      <c r="AA5" s="679"/>
    </row>
    <row r="6" spans="1:27" ht="12" thickBot="1">
      <c r="B6" s="681"/>
      <c r="C6" s="682"/>
      <c r="D6" s="682"/>
      <c r="E6" s="682"/>
      <c r="F6" s="682"/>
      <c r="G6" s="682"/>
      <c r="H6" s="682"/>
      <c r="I6" s="682"/>
      <c r="J6" s="682"/>
      <c r="K6" s="682"/>
      <c r="L6" s="682"/>
    </row>
    <row r="7" spans="1:27" ht="25" customHeight="1" thickBot="1">
      <c r="B7" s="1323" t="s">
        <v>1801</v>
      </c>
      <c r="C7" s="1324"/>
      <c r="D7" s="1324"/>
      <c r="E7" s="1324"/>
      <c r="F7" s="1324"/>
      <c r="G7" s="1325"/>
      <c r="H7" s="1323" t="s">
        <v>1802</v>
      </c>
      <c r="I7" s="1324"/>
      <c r="J7" s="1324"/>
      <c r="K7" s="1324"/>
      <c r="L7" s="1324"/>
      <c r="M7" s="1325"/>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38" t="s">
        <v>2395</v>
      </c>
      <c r="C9" s="1339" t="s">
        <v>1814</v>
      </c>
      <c r="D9" s="687" t="s">
        <v>1815</v>
      </c>
      <c r="E9" s="1339"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38"/>
      <c r="C10" s="1339"/>
      <c r="D10" s="687" t="s">
        <v>1818</v>
      </c>
      <c r="E10" s="1339"/>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3189</v>
      </c>
    </row>
    <row r="11" spans="1:27" ht="20" customHeight="1">
      <c r="B11" s="1338"/>
      <c r="C11" s="1339"/>
      <c r="D11" s="687" t="s">
        <v>1820</v>
      </c>
      <c r="E11" s="1339"/>
      <c r="F11" s="1340" t="s">
        <v>1821</v>
      </c>
      <c r="G11" s="1342">
        <v>2.1800000000000002</v>
      </c>
      <c r="H11" s="1343">
        <v>2.1800000000000002</v>
      </c>
      <c r="I11" s="1343">
        <f t="shared" si="0"/>
        <v>0</v>
      </c>
      <c r="J11" s="1343">
        <v>2.1800000000000002</v>
      </c>
      <c r="K11" s="1343">
        <v>2.1800000000000002</v>
      </c>
      <c r="L11" s="1343">
        <f t="shared" si="1"/>
        <v>0</v>
      </c>
      <c r="M11" s="1336" t="s">
        <v>2390</v>
      </c>
      <c r="N11" s="1337"/>
      <c r="O11" s="1337"/>
      <c r="P11" s="1337"/>
      <c r="Q11" s="1337"/>
      <c r="R11" s="1337"/>
      <c r="S11" s="1337"/>
      <c r="T11" s="1337"/>
      <c r="U11" s="1337"/>
      <c r="V11" s="1337"/>
      <c r="W11" s="1337"/>
    </row>
    <row r="12" spans="1:27" ht="20" customHeight="1">
      <c r="B12" s="1338"/>
      <c r="C12" s="1339"/>
      <c r="D12" s="687" t="s">
        <v>1822</v>
      </c>
      <c r="E12" s="1339"/>
      <c r="F12" s="1341"/>
      <c r="G12" s="1342"/>
      <c r="H12" s="1344"/>
      <c r="I12" s="1344">
        <f t="shared" si="0"/>
        <v>0</v>
      </c>
      <c r="J12" s="1344"/>
      <c r="K12" s="1344"/>
      <c r="L12" s="1344">
        <f t="shared" si="1"/>
        <v>0</v>
      </c>
      <c r="M12" s="1336"/>
    </row>
    <row r="13" spans="1:27" ht="25.5" customHeight="1">
      <c r="B13" s="1338" t="s">
        <v>2400</v>
      </c>
      <c r="C13" s="1339" t="s">
        <v>1823</v>
      </c>
      <c r="D13" s="687" t="s">
        <v>1824</v>
      </c>
      <c r="E13" s="1339" t="s">
        <v>1825</v>
      </c>
      <c r="F13" s="1346" t="s">
        <v>1826</v>
      </c>
      <c r="G13" s="1345">
        <v>47.25</v>
      </c>
      <c r="H13" s="1345">
        <v>46.473999999999997</v>
      </c>
      <c r="I13" s="1345">
        <f t="shared" si="0"/>
        <v>0.77600000000000335</v>
      </c>
      <c r="J13" s="1345">
        <v>45.892000000000003</v>
      </c>
      <c r="K13" s="1345">
        <f>13.05+32.842</f>
        <v>45.891999999999996</v>
      </c>
      <c r="L13" s="1345">
        <f t="shared" si="1"/>
        <v>0</v>
      </c>
      <c r="M13" s="1350"/>
    </row>
    <row r="14" spans="1:27" ht="20" customHeight="1">
      <c r="B14" s="1338"/>
      <c r="C14" s="1339"/>
      <c r="D14" s="687" t="s">
        <v>1827</v>
      </c>
      <c r="E14" s="1339"/>
      <c r="F14" s="1346"/>
      <c r="G14" s="1345"/>
      <c r="H14" s="1345"/>
      <c r="I14" s="1345">
        <f t="shared" si="0"/>
        <v>0</v>
      </c>
      <c r="J14" s="1345"/>
      <c r="K14" s="1345"/>
      <c r="L14" s="1345">
        <f t="shared" si="1"/>
        <v>0</v>
      </c>
      <c r="M14" s="1351"/>
    </row>
    <row r="15" spans="1:27" ht="20" customHeight="1">
      <c r="B15" s="1338"/>
      <c r="C15" s="1339"/>
      <c r="D15" s="687" t="s">
        <v>1828</v>
      </c>
      <c r="E15" s="1339"/>
      <c r="F15" s="1346"/>
      <c r="G15" s="1345"/>
      <c r="H15" s="1345"/>
      <c r="I15" s="1345">
        <f t="shared" si="0"/>
        <v>0</v>
      </c>
      <c r="J15" s="1345"/>
      <c r="K15" s="1345"/>
      <c r="L15" s="1345">
        <f t="shared" si="1"/>
        <v>0</v>
      </c>
      <c r="M15" s="1351"/>
    </row>
    <row r="16" spans="1:27" ht="48.5" customHeight="1">
      <c r="B16" s="1338"/>
      <c r="C16" s="1339"/>
      <c r="D16" s="687" t="s">
        <v>1829</v>
      </c>
      <c r="E16" s="1339"/>
      <c r="F16" s="1346"/>
      <c r="G16" s="1345"/>
      <c r="H16" s="1345"/>
      <c r="I16" s="1345"/>
      <c r="J16" s="1345"/>
      <c r="K16" s="1345"/>
      <c r="L16" s="1345">
        <f t="shared" si="1"/>
        <v>0</v>
      </c>
      <c r="M16" s="1353"/>
      <c r="N16" s="797"/>
    </row>
    <row r="17" spans="2:13" ht="20" customHeight="1">
      <c r="B17" s="1338" t="s">
        <v>2400</v>
      </c>
      <c r="C17" s="1357" t="s">
        <v>1830</v>
      </c>
      <c r="D17" s="694" t="s">
        <v>1831</v>
      </c>
      <c r="E17" s="1339" t="s">
        <v>1825</v>
      </c>
      <c r="F17" s="1346" t="s">
        <v>1832</v>
      </c>
      <c r="G17" s="1345">
        <v>47.805</v>
      </c>
      <c r="H17" s="1347">
        <f>34.985+1.456+2.013+2.516</f>
        <v>40.97</v>
      </c>
      <c r="I17" s="1347">
        <f t="shared" si="0"/>
        <v>6.8350000000000009</v>
      </c>
      <c r="J17" s="1347">
        <v>47.81</v>
      </c>
      <c r="K17" s="1347">
        <v>23.518999999999998</v>
      </c>
      <c r="L17" s="1347">
        <f t="shared" si="1"/>
        <v>24.291000000000004</v>
      </c>
      <c r="M17" s="1350"/>
    </row>
    <row r="18" spans="2:13" ht="20" customHeight="1">
      <c r="B18" s="1338"/>
      <c r="C18" s="1357"/>
      <c r="D18" s="687" t="s">
        <v>1833</v>
      </c>
      <c r="E18" s="1339"/>
      <c r="F18" s="1346"/>
      <c r="G18" s="1345"/>
      <c r="H18" s="1348"/>
      <c r="I18" s="1348">
        <f t="shared" si="0"/>
        <v>0</v>
      </c>
      <c r="J18" s="1348"/>
      <c r="K18" s="1348"/>
      <c r="L18" s="1348">
        <f t="shared" si="1"/>
        <v>0</v>
      </c>
      <c r="M18" s="1351"/>
    </row>
    <row r="19" spans="2:13" ht="20" customHeight="1">
      <c r="B19" s="1338"/>
      <c r="C19" s="1357"/>
      <c r="D19" s="687" t="s">
        <v>1834</v>
      </c>
      <c r="E19" s="1339"/>
      <c r="F19" s="1346"/>
      <c r="G19" s="1345"/>
      <c r="H19" s="1348"/>
      <c r="I19" s="1348">
        <f t="shared" si="0"/>
        <v>0</v>
      </c>
      <c r="J19" s="1348"/>
      <c r="K19" s="1348"/>
      <c r="L19" s="1348">
        <f t="shared" si="1"/>
        <v>0</v>
      </c>
      <c r="M19" s="1351"/>
    </row>
    <row r="20" spans="2:13" ht="20" customHeight="1" thickBot="1">
      <c r="B20" s="1356"/>
      <c r="C20" s="1358"/>
      <c r="D20" s="695"/>
      <c r="E20" s="1359"/>
      <c r="F20" s="1360"/>
      <c r="G20" s="1361"/>
      <c r="H20" s="1349"/>
      <c r="I20" s="1349">
        <f t="shared" si="0"/>
        <v>0</v>
      </c>
      <c r="J20" s="1349"/>
      <c r="K20" s="1349"/>
      <c r="L20" s="1349">
        <f t="shared" si="1"/>
        <v>0</v>
      </c>
      <c r="M20" s="1352"/>
    </row>
    <row r="21" spans="2:13" ht="17.649999999999999" customHeight="1" thickBot="1">
      <c r="B21" s="1354" t="s">
        <v>1835</v>
      </c>
      <c r="C21" s="1355"/>
      <c r="D21" s="1355"/>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20" t="s">
        <v>2759</v>
      </c>
      <c r="H26" s="1320"/>
      <c r="I26" s="1320"/>
      <c r="J26" s="1320"/>
      <c r="K26" s="1320"/>
      <c r="L26" s="1320"/>
      <c r="M26" s="1320"/>
    </row>
    <row r="27" spans="2:13" ht="14.5">
      <c r="G27" s="1320" t="s">
        <v>1786</v>
      </c>
      <c r="H27" s="1320" t="s">
        <v>1433</v>
      </c>
      <c r="I27" s="1320" t="s">
        <v>1433</v>
      </c>
      <c r="J27" s="879" t="s">
        <v>1439</v>
      </c>
      <c r="K27" s="879" t="s">
        <v>2699</v>
      </c>
      <c r="L27" s="1321" t="s">
        <v>1004</v>
      </c>
      <c r="M27" s="1322" t="s">
        <v>19</v>
      </c>
    </row>
    <row r="28" spans="2:13" ht="14.5">
      <c r="G28" s="1320"/>
      <c r="H28" s="1320"/>
      <c r="I28" s="1320"/>
      <c r="J28" s="879" t="s">
        <v>615</v>
      </c>
      <c r="K28" s="879" t="s">
        <v>570</v>
      </c>
      <c r="L28" s="1321"/>
      <c r="M28" s="1322"/>
    </row>
    <row r="29" spans="2:13" ht="14.5">
      <c r="G29" s="880">
        <v>1</v>
      </c>
      <c r="H29" s="880" t="s">
        <v>2700</v>
      </c>
      <c r="I29" s="880" t="s">
        <v>2395</v>
      </c>
      <c r="J29" s="883">
        <v>10.43</v>
      </c>
      <c r="K29" s="881">
        <v>45846</v>
      </c>
      <c r="L29" s="881">
        <v>45854</v>
      </c>
      <c r="M29" s="882"/>
    </row>
    <row r="30" spans="2:13" ht="14.5">
      <c r="G30" s="880">
        <v>2</v>
      </c>
      <c r="H30" s="880" t="s">
        <v>2701</v>
      </c>
      <c r="I30" s="880" t="s">
        <v>2395</v>
      </c>
      <c r="J30" s="883">
        <v>13.72</v>
      </c>
      <c r="K30" s="881">
        <v>45857</v>
      </c>
      <c r="L30" s="881">
        <v>45862</v>
      </c>
      <c r="M30" s="882"/>
    </row>
    <row r="31" spans="2:13" ht="14.5">
      <c r="G31" s="880">
        <v>3</v>
      </c>
      <c r="H31" s="880" t="s">
        <v>2702</v>
      </c>
      <c r="I31" s="880" t="s">
        <v>2395</v>
      </c>
      <c r="J31" s="883">
        <v>15.05</v>
      </c>
      <c r="K31" s="881">
        <v>45868</v>
      </c>
      <c r="L31" s="881">
        <v>45873</v>
      </c>
      <c r="M31" s="882"/>
    </row>
    <row r="32" spans="2:13" ht="14.5">
      <c r="G32" s="880">
        <v>4</v>
      </c>
      <c r="H32" s="880" t="s">
        <v>2703</v>
      </c>
      <c r="I32" s="880" t="s">
        <v>2395</v>
      </c>
      <c r="J32" s="883">
        <v>4.51</v>
      </c>
      <c r="K32" s="881">
        <v>45908</v>
      </c>
      <c r="L32" s="881">
        <v>45909</v>
      </c>
      <c r="M32" s="882"/>
    </row>
    <row r="33" spans="7:13" ht="14.5">
      <c r="G33" s="888">
        <v>5</v>
      </c>
      <c r="H33" s="888" t="s">
        <v>2758</v>
      </c>
      <c r="I33" s="888" t="s">
        <v>2395</v>
      </c>
      <c r="J33" s="889">
        <v>2.3460000000000001</v>
      </c>
      <c r="K33" s="890">
        <v>45918</v>
      </c>
      <c r="L33" s="890">
        <v>45930</v>
      </c>
      <c r="M33" s="891"/>
    </row>
    <row r="34" spans="7:13" ht="14.5">
      <c r="G34" s="880">
        <v>5</v>
      </c>
      <c r="H34" s="880" t="s">
        <v>2704</v>
      </c>
      <c r="I34" s="880" t="s">
        <v>2400</v>
      </c>
      <c r="J34" s="883">
        <v>11.37</v>
      </c>
      <c r="K34" s="881">
        <v>45875</v>
      </c>
      <c r="L34" s="881">
        <v>45894</v>
      </c>
      <c r="M34" s="882"/>
    </row>
    <row r="35" spans="7:13" ht="14.5">
      <c r="G35" s="880">
        <v>6</v>
      </c>
      <c r="H35" s="880" t="s">
        <v>2705</v>
      </c>
      <c r="I35" s="880" t="s">
        <v>2400</v>
      </c>
      <c r="J35" s="883">
        <v>11.41</v>
      </c>
      <c r="K35" s="881">
        <v>45885</v>
      </c>
      <c r="L35" s="881">
        <v>45900</v>
      </c>
      <c r="M35" s="882"/>
    </row>
    <row r="36" spans="7:13" ht="14.5">
      <c r="G36" s="880">
        <v>7</v>
      </c>
      <c r="H36" s="880" t="s">
        <v>2706</v>
      </c>
      <c r="I36" s="880" t="s">
        <v>2400</v>
      </c>
      <c r="J36" s="883">
        <v>10.07</v>
      </c>
      <c r="K36" s="881">
        <v>45890</v>
      </c>
      <c r="L36" s="881">
        <v>45894</v>
      </c>
      <c r="M36" s="882"/>
    </row>
    <row r="37" spans="7:13" ht="14.5">
      <c r="G37" s="880">
        <v>8</v>
      </c>
      <c r="H37" s="880" t="s">
        <v>2707</v>
      </c>
      <c r="I37" s="880" t="s">
        <v>2400</v>
      </c>
      <c r="J37" s="883">
        <v>6.93</v>
      </c>
      <c r="K37" s="881">
        <v>45888</v>
      </c>
      <c r="L37" s="881">
        <v>45904</v>
      </c>
      <c r="M37" s="882"/>
    </row>
    <row r="38" spans="7:13" ht="14.5">
      <c r="G38" s="880">
        <v>9</v>
      </c>
      <c r="H38" s="880" t="s">
        <v>2708</v>
      </c>
      <c r="I38" s="880" t="s">
        <v>2400</v>
      </c>
      <c r="J38" s="883">
        <v>10.3</v>
      </c>
      <c r="K38" s="881">
        <v>45888</v>
      </c>
      <c r="L38" s="881">
        <v>45904</v>
      </c>
      <c r="M38" s="882"/>
    </row>
    <row r="39" spans="7:13" ht="14.5">
      <c r="G39" s="880">
        <v>10</v>
      </c>
      <c r="H39" s="880" t="s">
        <v>2709</v>
      </c>
      <c r="I39" s="880" t="s">
        <v>2400</v>
      </c>
      <c r="J39" s="883">
        <v>6.29</v>
      </c>
      <c r="K39" s="881">
        <v>45892</v>
      </c>
      <c r="L39" s="881">
        <v>45904</v>
      </c>
      <c r="M39" s="882"/>
    </row>
    <row r="40" spans="7:13" ht="14.5" customHeight="1">
      <c r="G40" s="888">
        <v>11</v>
      </c>
      <c r="H40" s="888" t="s">
        <v>2760</v>
      </c>
      <c r="I40" s="888" t="s">
        <v>2400</v>
      </c>
      <c r="J40" s="889">
        <v>9.6259999999999994</v>
      </c>
      <c r="K40" s="890">
        <v>45913</v>
      </c>
      <c r="L40" s="890">
        <v>45961</v>
      </c>
      <c r="M40" s="971"/>
    </row>
    <row r="41" spans="7:13" ht="14.5">
      <c r="G41" s="888">
        <v>12</v>
      </c>
      <c r="H41" s="888" t="s">
        <v>2761</v>
      </c>
      <c r="I41" s="888" t="s">
        <v>2400</v>
      </c>
      <c r="J41" s="889">
        <v>3.42</v>
      </c>
      <c r="K41" s="890">
        <v>45919</v>
      </c>
      <c r="L41" s="890">
        <v>45961</v>
      </c>
      <c r="M41" s="972"/>
    </row>
    <row r="42" spans="7:13" ht="14.5">
      <c r="G42" s="888">
        <v>13</v>
      </c>
      <c r="H42" s="888" t="s">
        <v>2767</v>
      </c>
      <c r="I42" s="888" t="s">
        <v>2400</v>
      </c>
      <c r="J42" s="889">
        <v>12.083</v>
      </c>
      <c r="K42" s="890">
        <v>45922</v>
      </c>
      <c r="L42" s="890"/>
      <c r="M42" s="971" t="s">
        <v>3146</v>
      </c>
    </row>
    <row r="43" spans="7:13" ht="14.5">
      <c r="G43" s="1320" t="s">
        <v>994</v>
      </c>
      <c r="H43" s="1320"/>
      <c r="I43" s="1320"/>
      <c r="J43" s="884">
        <f>SUM(J29:J42)</f>
        <v>127.55500000000002</v>
      </c>
      <c r="K43" s="878"/>
      <c r="L43" s="878"/>
      <c r="M43" s="885"/>
    </row>
    <row r="45" spans="7:13" ht="14.5">
      <c r="G45" s="1320" t="s">
        <v>2762</v>
      </c>
      <c r="H45" s="1320"/>
      <c r="I45" s="1320"/>
      <c r="J45" s="1320"/>
      <c r="K45" s="1320"/>
      <c r="L45" s="1320"/>
      <c r="M45" s="1320"/>
    </row>
    <row r="46" spans="7:13" ht="14.5">
      <c r="G46" s="1320" t="s">
        <v>1786</v>
      </c>
      <c r="H46" s="1320" t="s">
        <v>1433</v>
      </c>
      <c r="I46" s="1320" t="s">
        <v>1433</v>
      </c>
      <c r="J46" s="879" t="s">
        <v>1439</v>
      </c>
      <c r="K46" s="879" t="s">
        <v>2699</v>
      </c>
      <c r="L46" s="1321" t="s">
        <v>1004</v>
      </c>
      <c r="M46" s="1322" t="s">
        <v>19</v>
      </c>
    </row>
    <row r="47" spans="7:13" ht="14.5">
      <c r="G47" s="1320"/>
      <c r="H47" s="1320"/>
      <c r="I47" s="1320"/>
      <c r="J47" s="879" t="s">
        <v>615</v>
      </c>
      <c r="K47" s="879" t="s">
        <v>570</v>
      </c>
      <c r="L47" s="1321"/>
      <c r="M47" s="1322"/>
    </row>
    <row r="48" spans="7:13" ht="14.5">
      <c r="G48" s="880">
        <v>1</v>
      </c>
      <c r="H48" s="880" t="s">
        <v>2657</v>
      </c>
      <c r="I48" s="880" t="s">
        <v>2395</v>
      </c>
      <c r="J48" s="883">
        <v>3.13</v>
      </c>
      <c r="K48" s="881">
        <v>45908</v>
      </c>
      <c r="L48" s="881">
        <v>45909</v>
      </c>
      <c r="M48" s="882"/>
    </row>
    <row r="49" spans="7:13" ht="14.5">
      <c r="G49" s="880">
        <f>G48+1</f>
        <v>2</v>
      </c>
      <c r="H49" s="880" t="s">
        <v>2766</v>
      </c>
      <c r="I49" s="880" t="s">
        <v>2395</v>
      </c>
      <c r="J49" s="883">
        <v>1.9450000000000001</v>
      </c>
      <c r="K49" s="881">
        <v>45927</v>
      </c>
      <c r="L49" s="881">
        <v>45930</v>
      </c>
      <c r="M49" s="882"/>
    </row>
    <row r="50" spans="7:13" ht="29">
      <c r="G50" s="880">
        <f>G49+1</f>
        <v>3</v>
      </c>
      <c r="H50" s="880" t="s">
        <v>2884</v>
      </c>
      <c r="I50" s="880" t="s">
        <v>2395</v>
      </c>
      <c r="J50" s="883">
        <v>5.5</v>
      </c>
      <c r="K50" s="968" t="s">
        <v>2903</v>
      </c>
      <c r="L50" s="881">
        <v>45962</v>
      </c>
      <c r="M50" s="882"/>
    </row>
    <row r="51" spans="7:13" ht="14.5">
      <c r="G51" s="880">
        <f>G50+1</f>
        <v>4</v>
      </c>
      <c r="H51" s="880" t="s">
        <v>3166</v>
      </c>
      <c r="I51" s="880" t="s">
        <v>2395</v>
      </c>
      <c r="J51" s="883">
        <v>5.4630000000000001</v>
      </c>
      <c r="K51" s="968">
        <v>45985</v>
      </c>
      <c r="L51" s="968">
        <v>45994</v>
      </c>
      <c r="M51" s="882"/>
    </row>
    <row r="52" spans="7:13" ht="14.5">
      <c r="G52" s="880">
        <f>G51+1</f>
        <v>5</v>
      </c>
      <c r="H52" s="880" t="s">
        <v>3188</v>
      </c>
      <c r="I52" s="880" t="s">
        <v>2395</v>
      </c>
      <c r="J52" s="883">
        <v>3.597</v>
      </c>
      <c r="K52" s="968">
        <v>45994</v>
      </c>
      <c r="L52" s="968">
        <v>45994</v>
      </c>
      <c r="M52" s="882"/>
    </row>
    <row r="53" spans="7:13" ht="14.5">
      <c r="G53" s="1320" t="s">
        <v>994</v>
      </c>
      <c r="H53" s="1320"/>
      <c r="I53" s="1320"/>
      <c r="J53" s="884">
        <f>SUM(J48:J52)</f>
        <v>19.635000000000002</v>
      </c>
      <c r="K53" s="878"/>
      <c r="L53" s="878"/>
      <c r="M53" s="885"/>
    </row>
    <row r="55" spans="7:13" ht="14.5">
      <c r="G55" s="1320" t="s">
        <v>2763</v>
      </c>
      <c r="H55" s="1320"/>
      <c r="I55" s="1320"/>
      <c r="J55" s="1320"/>
      <c r="K55" s="1320"/>
      <c r="L55" s="1320"/>
      <c r="M55" s="1320"/>
    </row>
    <row r="56" spans="7:13" ht="14.5">
      <c r="G56" s="1320" t="s">
        <v>1786</v>
      </c>
      <c r="H56" s="1320" t="s">
        <v>1433</v>
      </c>
      <c r="I56" s="1320" t="s">
        <v>1433</v>
      </c>
      <c r="J56" s="879" t="s">
        <v>1439</v>
      </c>
      <c r="K56" s="879" t="s">
        <v>2699</v>
      </c>
      <c r="L56" s="1321" t="s">
        <v>1004</v>
      </c>
      <c r="M56" s="1322" t="s">
        <v>19</v>
      </c>
    </row>
    <row r="57" spans="7:13" ht="14.5">
      <c r="G57" s="1320"/>
      <c r="H57" s="1320"/>
      <c r="I57" s="1320"/>
      <c r="J57" s="879" t="s">
        <v>615</v>
      </c>
      <c r="K57" s="879" t="s">
        <v>570</v>
      </c>
      <c r="L57" s="1321"/>
      <c r="M57" s="1322"/>
    </row>
    <row r="58" spans="7:13" ht="50" customHeight="1">
      <c r="G58" s="888">
        <v>1</v>
      </c>
      <c r="H58" s="888" t="s">
        <v>2764</v>
      </c>
      <c r="I58" s="888" t="s">
        <v>2727</v>
      </c>
      <c r="J58" s="889">
        <v>2.1800000000000002</v>
      </c>
      <c r="K58" s="892" t="s">
        <v>2765</v>
      </c>
      <c r="L58" s="890">
        <v>45930</v>
      </c>
      <c r="M58" s="891"/>
    </row>
    <row r="59" spans="7:13" ht="14.5">
      <c r="G59" s="1320" t="s">
        <v>994</v>
      </c>
      <c r="H59" s="1320"/>
      <c r="I59" s="1320"/>
      <c r="J59" s="884">
        <f>SUM(J58:J58)</f>
        <v>2.1800000000000002</v>
      </c>
      <c r="K59" s="878"/>
      <c r="L59" s="878"/>
      <c r="M59" s="885"/>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N13" sqref="N13"/>
    </sheetView>
  </sheetViews>
  <sheetFormatPr defaultRowHeight="14.5"/>
  <cols>
    <col min="7" max="7" width="9.90625" bestFit="1" customWidth="1"/>
    <col min="8" max="8" width="9.36328125" bestFit="1" customWidth="1"/>
  </cols>
  <sheetData>
    <row r="2" spans="4:10">
      <c r="D2" s="1364" t="s">
        <v>2712</v>
      </c>
      <c r="E2" s="1364"/>
      <c r="F2" s="1364"/>
      <c r="G2" s="1364"/>
      <c r="H2" s="1364"/>
      <c r="I2" s="1364"/>
    </row>
    <row r="3" spans="4:10">
      <c r="D3" s="9" t="s">
        <v>2426</v>
      </c>
      <c r="E3" s="9" t="s">
        <v>2732</v>
      </c>
      <c r="F3" s="9" t="s">
        <v>3168</v>
      </c>
      <c r="G3" s="9" t="s">
        <v>631</v>
      </c>
      <c r="H3" s="9" t="s">
        <v>2699</v>
      </c>
      <c r="I3" s="9" t="s">
        <v>629</v>
      </c>
    </row>
    <row r="4" spans="4:10">
      <c r="D4" s="13" t="s">
        <v>3167</v>
      </c>
      <c r="E4" s="13" t="s">
        <v>2395</v>
      </c>
      <c r="F4" s="13">
        <v>46.92</v>
      </c>
      <c r="G4" s="13">
        <v>46.44</v>
      </c>
      <c r="H4" s="13">
        <v>46.44</v>
      </c>
      <c r="I4" s="13">
        <v>46.44</v>
      </c>
    </row>
    <row r="5" spans="4:10">
      <c r="D5" s="13" t="s">
        <v>3167</v>
      </c>
      <c r="E5" s="13" t="s">
        <v>2400</v>
      </c>
      <c r="F5" s="13">
        <v>95.06</v>
      </c>
      <c r="G5" s="13">
        <v>95.06</v>
      </c>
      <c r="H5" s="13">
        <v>84.936000000000007</v>
      </c>
      <c r="I5" s="13">
        <v>72.849999999999994</v>
      </c>
    </row>
    <row r="6" spans="4:10">
      <c r="D6" s="13" t="s">
        <v>2913</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62" t="s">
        <v>994</v>
      </c>
      <c r="E8" s="1363"/>
      <c r="F8" s="9">
        <f>SUM(F4:F7)</f>
        <v>177.26300000000003</v>
      </c>
      <c r="G8" s="9">
        <f>SUM(G4:G7)</f>
        <v>167.07300000000001</v>
      </c>
      <c r="H8" s="9">
        <f>SUM(H4:H7)</f>
        <v>149.596</v>
      </c>
      <c r="I8" s="9">
        <f>SUM(I4:I7)</f>
        <v>132.07</v>
      </c>
    </row>
    <row r="10" spans="4:10">
      <c r="F10" s="672">
        <v>16.04</v>
      </c>
      <c r="G10" s="672"/>
      <c r="H10" s="672"/>
      <c r="I10" s="672"/>
      <c r="J10" s="672">
        <v>10.58</v>
      </c>
    </row>
    <row r="11" spans="4:10">
      <c r="F11" s="1033">
        <v>45.892000000000003</v>
      </c>
      <c r="G11" s="678"/>
      <c r="H11" s="678"/>
      <c r="I11" s="678"/>
      <c r="J11" s="678">
        <v>45.892000000000003</v>
      </c>
    </row>
    <row r="12" spans="4:10">
      <c r="F12" s="678">
        <v>46.06</v>
      </c>
      <c r="G12" s="678"/>
      <c r="H12" s="678"/>
      <c r="I12" s="678"/>
      <c r="J12" s="678">
        <v>46.06</v>
      </c>
    </row>
    <row r="13" spans="4:10">
      <c r="F13" s="1033">
        <v>20.673999999999999</v>
      </c>
      <c r="G13" s="678">
        <v>18.37</v>
      </c>
      <c r="H13" s="678"/>
      <c r="I13" s="678"/>
      <c r="J13" s="678">
        <v>20.673999999999999</v>
      </c>
    </row>
    <row r="14" spans="4:10">
      <c r="F14" s="1034">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F0"/>
  </sheetPr>
  <dimension ref="A1:R263"/>
  <sheetViews>
    <sheetView showZeros="0" zoomScale="50" zoomScaleNormal="50" zoomScaleSheetLayoutView="55" workbookViewId="0">
      <pane ySplit="7" topLeftCell="A8" activePane="bottomLeft" state="frozen"/>
      <selection activeCell="B204" sqref="B204"/>
      <selection pane="bottomLeft" activeCell="M240" sqref="M240"/>
    </sheetView>
  </sheetViews>
  <sheetFormatPr defaultColWidth="9.08984375" defaultRowHeight="20"/>
  <cols>
    <col min="1" max="1" width="9.36328125" style="983" customWidth="1"/>
    <col min="2" max="2" width="14.1796875" style="1036" customWidth="1"/>
    <col min="3" max="3" width="11.90625" style="1036" customWidth="1"/>
    <col min="4" max="4" width="17.90625" style="984" hidden="1" customWidth="1"/>
    <col min="5" max="5" width="15.26953125" style="983" bestFit="1" customWidth="1"/>
    <col min="6" max="8" width="13.54296875" style="983" customWidth="1"/>
    <col min="9" max="9" width="22.81640625" style="983" customWidth="1"/>
    <col min="10" max="10" width="21.08984375" style="985" customWidth="1"/>
    <col min="11" max="11" width="16.36328125" style="985" hidden="1" customWidth="1"/>
    <col min="12" max="12" width="16.36328125" style="985" customWidth="1"/>
    <col min="13" max="13" width="18.1796875" style="985" customWidth="1"/>
    <col min="14" max="17" width="16.36328125" style="985" customWidth="1"/>
    <col min="18" max="18" width="68.7265625"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c r="E1" s="1032"/>
    </row>
    <row r="2" spans="1:18" ht="25" customHeight="1">
      <c r="A2" s="986" t="s">
        <v>2771</v>
      </c>
    </row>
    <row r="3" spans="1:18">
      <c r="A3" s="986" t="s">
        <v>2924</v>
      </c>
    </row>
    <row r="4" spans="1:18" ht="25.5" customHeight="1">
      <c r="J4" s="987" t="s">
        <v>60</v>
      </c>
      <c r="K4" s="988"/>
      <c r="L4" s="989">
        <f>COUNTIF($L$8:$L$256,"Clear")</f>
        <v>78</v>
      </c>
      <c r="M4" s="989">
        <f>COUNTIF($M$8:$M$256,"C")</f>
        <v>67</v>
      </c>
      <c r="N4" s="989">
        <f>COUNTIF($N$8:$N$256,"C")</f>
        <v>49</v>
      </c>
      <c r="O4" s="989">
        <f>COUNTIF($O$8:$O$256,"C")</f>
        <v>26</v>
      </c>
      <c r="P4" s="989">
        <f>COUNTIF($P$8:$P$256,"C")</f>
        <v>0</v>
      </c>
    </row>
    <row r="5" spans="1:18" ht="25.5" customHeight="1">
      <c r="J5" s="987" t="s">
        <v>22</v>
      </c>
      <c r="K5" s="988"/>
      <c r="L5" s="989"/>
      <c r="M5" s="989">
        <f>COUNTIF($M$8:$M$256,"WIP")</f>
        <v>7</v>
      </c>
      <c r="N5" s="989">
        <f>COUNTIF($N$8:$N$256,"WIP")</f>
        <v>0</v>
      </c>
      <c r="O5" s="989">
        <f>COUNTIF($O$8:$O$256,"WIP")</f>
        <v>5</v>
      </c>
      <c r="P5" s="989">
        <f>COUNTIF($P$8:$P$256,"WIP")</f>
        <v>0</v>
      </c>
    </row>
    <row r="6" spans="1:18" s="983" customFormat="1" ht="46.75" customHeight="1">
      <c r="A6" s="1369" t="s">
        <v>1786</v>
      </c>
      <c r="B6" s="1370" t="s">
        <v>2925</v>
      </c>
      <c r="C6" s="1370" t="s">
        <v>1405</v>
      </c>
      <c r="D6" s="1369" t="s">
        <v>1927</v>
      </c>
      <c r="E6" s="1369" t="s">
        <v>1000</v>
      </c>
      <c r="F6" s="1369"/>
      <c r="G6" s="1369"/>
      <c r="H6" s="1369"/>
      <c r="I6" s="1366" t="s">
        <v>2926</v>
      </c>
      <c r="J6" s="1366" t="s">
        <v>2927</v>
      </c>
      <c r="K6" s="1366" t="s">
        <v>1926</v>
      </c>
      <c r="L6" s="1366" t="s">
        <v>1658</v>
      </c>
      <c r="M6" s="1366" t="s">
        <v>28</v>
      </c>
      <c r="N6" s="1366" t="s">
        <v>609</v>
      </c>
      <c r="O6" s="1366" t="s">
        <v>610</v>
      </c>
      <c r="P6" s="1366" t="s">
        <v>1254</v>
      </c>
      <c r="Q6" s="1366" t="s">
        <v>614</v>
      </c>
      <c r="R6" s="1366" t="s">
        <v>19</v>
      </c>
    </row>
    <row r="7" spans="1:18" s="983" customFormat="1" ht="43.25" customHeight="1">
      <c r="A7" s="1369"/>
      <c r="B7" s="1370"/>
      <c r="C7" s="1370"/>
      <c r="D7" s="1369"/>
      <c r="E7" s="991" t="s">
        <v>1934</v>
      </c>
      <c r="F7" s="991" t="s">
        <v>1935</v>
      </c>
      <c r="G7" s="991" t="s">
        <v>1936</v>
      </c>
      <c r="H7" s="991" t="s">
        <v>1937</v>
      </c>
      <c r="I7" s="1366"/>
      <c r="J7" s="1366"/>
      <c r="K7" s="1366"/>
      <c r="L7" s="1366"/>
      <c r="M7" s="1366"/>
      <c r="N7" s="1366"/>
      <c r="O7" s="1366"/>
      <c r="P7" s="1366"/>
      <c r="Q7" s="1366"/>
      <c r="R7" s="1366"/>
    </row>
    <row r="8" spans="1:18" s="983" customFormat="1" ht="30" customHeight="1">
      <c r="A8" s="992">
        <v>1</v>
      </c>
      <c r="B8" s="995" t="s">
        <v>3071</v>
      </c>
      <c r="C8" s="995" t="s">
        <v>1319</v>
      </c>
      <c r="D8" s="993" t="s">
        <v>2805</v>
      </c>
      <c r="E8" s="993">
        <v>0</v>
      </c>
      <c r="F8" s="993">
        <v>0</v>
      </c>
      <c r="G8" s="993">
        <v>0</v>
      </c>
      <c r="H8" s="993">
        <v>0</v>
      </c>
      <c r="I8" s="993"/>
      <c r="J8" s="993"/>
      <c r="K8" s="993">
        <v>0</v>
      </c>
      <c r="L8" s="993"/>
      <c r="M8" s="993"/>
      <c r="N8" s="993"/>
      <c r="O8" s="993"/>
      <c r="P8" s="993"/>
      <c r="Q8" s="993"/>
      <c r="R8" s="997"/>
    </row>
    <row r="9" spans="1:18" s="983" customFormat="1" ht="30" customHeight="1">
      <c r="A9" s="992"/>
      <c r="B9" s="995"/>
      <c r="C9" s="995"/>
      <c r="D9" s="993"/>
      <c r="E9" s="993"/>
      <c r="F9" s="993"/>
      <c r="G9" s="993"/>
      <c r="H9" s="993"/>
      <c r="I9" s="993"/>
      <c r="J9" s="1000">
        <v>119.059</v>
      </c>
      <c r="K9" s="993"/>
      <c r="L9" s="993"/>
      <c r="M9" s="993"/>
      <c r="N9" s="993"/>
      <c r="O9" s="993"/>
      <c r="P9" s="993"/>
      <c r="Q9" s="993"/>
      <c r="R9" s="997"/>
    </row>
    <row r="10" spans="1:18" s="983" customFormat="1" ht="30" customHeight="1">
      <c r="A10" s="992">
        <f>A8+1</f>
        <v>2</v>
      </c>
      <c r="B10" s="995" t="s">
        <v>3072</v>
      </c>
      <c r="C10" s="995" t="s">
        <v>2236</v>
      </c>
      <c r="D10" s="993" t="s">
        <v>2807</v>
      </c>
      <c r="E10" s="993">
        <v>0</v>
      </c>
      <c r="F10" s="993">
        <v>0</v>
      </c>
      <c r="G10" s="993">
        <v>0</v>
      </c>
      <c r="H10" s="993">
        <v>0</v>
      </c>
      <c r="I10" s="993"/>
      <c r="J10" s="1000"/>
      <c r="K10" s="993">
        <f>J9</f>
        <v>119.059</v>
      </c>
      <c r="L10" s="993"/>
      <c r="M10" s="993"/>
      <c r="N10" s="993"/>
      <c r="O10" s="993"/>
      <c r="P10" s="993"/>
      <c r="Q10" s="993"/>
      <c r="R10" s="997"/>
    </row>
    <row r="11" spans="1:18" s="983" customFormat="1" ht="30" customHeight="1">
      <c r="A11" s="992"/>
      <c r="B11" s="995"/>
      <c r="C11" s="995"/>
      <c r="D11" s="993"/>
      <c r="E11" s="993"/>
      <c r="F11" s="993"/>
      <c r="G11" s="993"/>
      <c r="H11" s="993"/>
      <c r="I11" s="993"/>
      <c r="J11" s="1000">
        <v>92.495999999999995</v>
      </c>
      <c r="K11" s="993"/>
      <c r="L11" s="993"/>
      <c r="M11" s="993"/>
      <c r="N11" s="993"/>
      <c r="O11" s="993"/>
      <c r="P11" s="993"/>
      <c r="Q11" s="993"/>
      <c r="R11" s="997"/>
    </row>
    <row r="12" spans="1:18" s="983" customFormat="1" ht="30" customHeight="1">
      <c r="A12" s="992">
        <f>A10+1</f>
        <v>3</v>
      </c>
      <c r="B12" s="995" t="s">
        <v>3073</v>
      </c>
      <c r="C12" s="1008" t="s">
        <v>2027</v>
      </c>
      <c r="D12" s="993" t="s">
        <v>2808</v>
      </c>
      <c r="E12" s="993">
        <v>4</v>
      </c>
      <c r="F12" s="993">
        <v>4</v>
      </c>
      <c r="G12" s="993">
        <v>4</v>
      </c>
      <c r="H12" s="993">
        <v>4</v>
      </c>
      <c r="I12" s="993"/>
      <c r="J12" s="1000"/>
      <c r="K12" s="993">
        <f>J11</f>
        <v>92.495999999999995</v>
      </c>
      <c r="L12" s="993"/>
      <c r="M12" s="993"/>
      <c r="N12" s="993"/>
      <c r="O12" s="993"/>
      <c r="P12" s="993"/>
      <c r="Q12" s="993"/>
      <c r="R12" s="997"/>
    </row>
    <row r="13" spans="1:18" s="983" customFormat="1" ht="30" customHeight="1">
      <c r="A13" s="992"/>
      <c r="B13" s="995"/>
      <c r="C13" s="995"/>
      <c r="D13" s="993"/>
      <c r="E13" s="993"/>
      <c r="F13" s="993"/>
      <c r="G13" s="993"/>
      <c r="H13" s="993"/>
      <c r="I13" s="993"/>
      <c r="J13" s="1000">
        <v>134.988</v>
      </c>
      <c r="K13" s="993"/>
      <c r="L13" s="993"/>
      <c r="M13" s="993"/>
      <c r="N13" s="993"/>
      <c r="O13" s="993"/>
      <c r="P13" s="993"/>
      <c r="Q13" s="993"/>
      <c r="R13" s="1003" t="s">
        <v>3074</v>
      </c>
    </row>
    <row r="14" spans="1:18" s="983" customFormat="1" ht="30" customHeight="1">
      <c r="A14" s="992">
        <f>A12+1</f>
        <v>4</v>
      </c>
      <c r="B14" s="995" t="s">
        <v>2416</v>
      </c>
      <c r="C14" s="1008" t="s">
        <v>2027</v>
      </c>
      <c r="D14" s="993" t="s">
        <v>2810</v>
      </c>
      <c r="E14" s="993">
        <v>4</v>
      </c>
      <c r="F14" s="993">
        <v>4</v>
      </c>
      <c r="G14" s="993">
        <v>4</v>
      </c>
      <c r="H14" s="993">
        <v>4</v>
      </c>
      <c r="I14" s="993"/>
      <c r="J14" s="1000"/>
      <c r="K14" s="993">
        <f>J13</f>
        <v>134.988</v>
      </c>
      <c r="L14" s="993"/>
      <c r="M14" s="993"/>
      <c r="N14" s="993"/>
      <c r="O14" s="993"/>
      <c r="P14" s="993"/>
      <c r="Q14" s="993"/>
      <c r="R14" s="997"/>
    </row>
    <row r="15" spans="1:18" s="983" customFormat="1" ht="30" customHeight="1">
      <c r="A15" s="992"/>
      <c r="B15" s="995"/>
      <c r="C15" s="995"/>
      <c r="D15" s="993"/>
      <c r="E15" s="993"/>
      <c r="F15" s="993"/>
      <c r="G15" s="993"/>
      <c r="H15" s="993"/>
      <c r="I15" s="993"/>
      <c r="J15" s="1000">
        <v>365.17599999999999</v>
      </c>
      <c r="K15" s="993"/>
      <c r="L15" s="993"/>
      <c r="M15" s="993"/>
      <c r="N15" s="993"/>
      <c r="O15" s="993"/>
      <c r="P15" s="993"/>
      <c r="Q15" s="993"/>
      <c r="R15" s="997"/>
    </row>
    <row r="16" spans="1:18" s="983" customFormat="1" ht="30" customHeight="1">
      <c r="A16" s="992">
        <f>A14+1</f>
        <v>5</v>
      </c>
      <c r="B16" s="995" t="s">
        <v>3075</v>
      </c>
      <c r="C16" s="995" t="s">
        <v>2236</v>
      </c>
      <c r="D16" s="993" t="s">
        <v>2811</v>
      </c>
      <c r="E16" s="993">
        <v>0</v>
      </c>
      <c r="F16" s="993">
        <v>0</v>
      </c>
      <c r="G16" s="993">
        <v>0</v>
      </c>
      <c r="H16" s="993">
        <v>0</v>
      </c>
      <c r="I16" s="993"/>
      <c r="J16" s="1000"/>
      <c r="K16" s="993">
        <f t="shared" ref="K16:K28" si="0">J15</f>
        <v>365.17599999999999</v>
      </c>
      <c r="L16" s="993"/>
      <c r="M16" s="993"/>
      <c r="N16" s="993"/>
      <c r="O16" s="993"/>
      <c r="P16" s="993"/>
      <c r="Q16" s="993"/>
      <c r="R16" s="997"/>
    </row>
    <row r="17" spans="1:18" s="983" customFormat="1" ht="30" customHeight="1">
      <c r="A17" s="992"/>
      <c r="B17" s="995"/>
      <c r="C17" s="995"/>
      <c r="D17" s="993"/>
      <c r="E17" s="993"/>
      <c r="F17" s="993"/>
      <c r="G17" s="993"/>
      <c r="H17" s="993"/>
      <c r="I17" s="993"/>
      <c r="J17" s="1000">
        <v>236.697</v>
      </c>
      <c r="K17" s="993"/>
      <c r="L17" s="993"/>
      <c r="M17" s="993"/>
      <c r="N17" s="993"/>
      <c r="O17" s="993"/>
      <c r="P17" s="993"/>
      <c r="Q17" s="993"/>
      <c r="R17" s="1003" t="s">
        <v>3076</v>
      </c>
    </row>
    <row r="18" spans="1:18" s="983" customFormat="1" ht="30" customHeight="1">
      <c r="A18" s="992">
        <f>A16+1</f>
        <v>6</v>
      </c>
      <c r="B18" s="995" t="s">
        <v>3077</v>
      </c>
      <c r="C18" s="995" t="s">
        <v>2236</v>
      </c>
      <c r="D18" s="993" t="s">
        <v>2813</v>
      </c>
      <c r="E18" s="993">
        <v>0</v>
      </c>
      <c r="F18" s="993">
        <v>0</v>
      </c>
      <c r="G18" s="993">
        <v>0</v>
      </c>
      <c r="H18" s="993">
        <v>0</v>
      </c>
      <c r="I18" s="993"/>
      <c r="J18" s="1000"/>
      <c r="K18" s="993">
        <f t="shared" si="0"/>
        <v>236.697</v>
      </c>
      <c r="L18" s="993"/>
      <c r="M18" s="993"/>
      <c r="N18" s="993"/>
      <c r="O18" s="993"/>
      <c r="P18" s="993"/>
      <c r="Q18" s="993"/>
      <c r="R18" s="997"/>
    </row>
    <row r="19" spans="1:18" s="983" customFormat="1" ht="30" customHeight="1">
      <c r="A19" s="992"/>
      <c r="B19" s="995"/>
      <c r="C19" s="995"/>
      <c r="D19" s="993"/>
      <c r="E19" s="993"/>
      <c r="F19" s="993"/>
      <c r="G19" s="993"/>
      <c r="H19" s="993"/>
      <c r="I19" s="993"/>
      <c r="J19" s="1000">
        <v>213.25200000000001</v>
      </c>
      <c r="K19" s="993"/>
      <c r="L19" s="993"/>
      <c r="M19" s="993"/>
      <c r="N19" s="993"/>
      <c r="O19" s="993"/>
      <c r="P19" s="993"/>
      <c r="Q19" s="993"/>
      <c r="R19" s="997"/>
    </row>
    <row r="20" spans="1:18" s="983" customFormat="1" ht="30" customHeight="1">
      <c r="A20" s="992">
        <f>A18+1</f>
        <v>7</v>
      </c>
      <c r="B20" s="995" t="s">
        <v>3078</v>
      </c>
      <c r="C20" s="995" t="s">
        <v>1992</v>
      </c>
      <c r="D20" s="993" t="s">
        <v>2814</v>
      </c>
      <c r="E20" s="993">
        <v>0</v>
      </c>
      <c r="F20" s="993">
        <v>0</v>
      </c>
      <c r="G20" s="993">
        <v>0</v>
      </c>
      <c r="H20" s="993">
        <v>0</v>
      </c>
      <c r="I20" s="993"/>
      <c r="J20" s="1000"/>
      <c r="K20" s="993">
        <f t="shared" si="0"/>
        <v>213.25200000000001</v>
      </c>
      <c r="L20" s="993"/>
      <c r="M20" s="993"/>
      <c r="N20" s="993"/>
      <c r="O20" s="993"/>
      <c r="P20" s="993"/>
      <c r="Q20" s="993"/>
      <c r="R20" s="997"/>
    </row>
    <row r="21" spans="1:18" s="983" customFormat="1" ht="30" customHeight="1">
      <c r="A21" s="992"/>
      <c r="B21" s="995"/>
      <c r="C21" s="995"/>
      <c r="D21" s="993"/>
      <c r="E21" s="993"/>
      <c r="F21" s="993"/>
      <c r="G21" s="993"/>
      <c r="H21" s="993"/>
      <c r="I21" s="993"/>
      <c r="J21" s="1000">
        <v>206.59299999999999</v>
      </c>
      <c r="K21" s="993"/>
      <c r="L21" s="993"/>
      <c r="M21" s="993"/>
      <c r="N21" s="993"/>
      <c r="O21" s="993"/>
      <c r="P21" s="993"/>
      <c r="Q21" s="993"/>
      <c r="R21" s="1003" t="s">
        <v>3074</v>
      </c>
    </row>
    <row r="22" spans="1:18" s="983" customFormat="1" ht="30" customHeight="1">
      <c r="A22" s="992">
        <f>A20+1</f>
        <v>8</v>
      </c>
      <c r="B22" s="995" t="s">
        <v>3079</v>
      </c>
      <c r="C22" s="995" t="s">
        <v>2027</v>
      </c>
      <c r="D22" s="993" t="s">
        <v>2816</v>
      </c>
      <c r="E22" s="993">
        <v>0</v>
      </c>
      <c r="F22" s="993">
        <v>0</v>
      </c>
      <c r="G22" s="993">
        <v>0</v>
      </c>
      <c r="H22" s="993">
        <v>0</v>
      </c>
      <c r="I22" s="993" t="s">
        <v>3380</v>
      </c>
      <c r="J22" s="1000"/>
      <c r="K22" s="993">
        <f t="shared" si="0"/>
        <v>206.59299999999999</v>
      </c>
      <c r="L22" s="993" t="s">
        <v>2967</v>
      </c>
      <c r="M22" s="993" t="s">
        <v>1009</v>
      </c>
      <c r="N22" s="993"/>
      <c r="O22" s="993"/>
      <c r="P22" s="993"/>
      <c r="Q22" s="993"/>
      <c r="R22" s="997"/>
    </row>
    <row r="23" spans="1:18" s="983" customFormat="1" ht="30" customHeight="1">
      <c r="A23" s="992"/>
      <c r="B23" s="995"/>
      <c r="C23" s="995"/>
      <c r="D23" s="993"/>
      <c r="E23" s="993"/>
      <c r="F23" s="993"/>
      <c r="G23" s="993"/>
      <c r="H23" s="993"/>
      <c r="I23" s="993"/>
      <c r="J23" s="1000">
        <v>289.86200000000002</v>
      </c>
      <c r="K23" s="993"/>
      <c r="L23" s="993"/>
      <c r="M23" s="993"/>
      <c r="N23" s="993"/>
      <c r="O23" s="993"/>
      <c r="P23" s="993"/>
      <c r="Q23" s="993"/>
      <c r="R23" s="1003" t="s">
        <v>3080</v>
      </c>
    </row>
    <row r="24" spans="1:18" s="983" customFormat="1" ht="30" customHeight="1">
      <c r="A24" s="992">
        <f>A22+1</f>
        <v>9</v>
      </c>
      <c r="B24" s="995" t="s">
        <v>3081</v>
      </c>
      <c r="C24" s="995" t="s">
        <v>1992</v>
      </c>
      <c r="D24" s="993" t="s">
        <v>2818</v>
      </c>
      <c r="E24" s="1027">
        <v>1.5</v>
      </c>
      <c r="F24" s="1027">
        <v>1.5</v>
      </c>
      <c r="G24" s="993">
        <v>0</v>
      </c>
      <c r="H24" s="993">
        <v>0</v>
      </c>
      <c r="I24" s="993"/>
      <c r="J24" s="1000"/>
      <c r="K24" s="993">
        <f t="shared" si="0"/>
        <v>289.86200000000002</v>
      </c>
      <c r="L24" s="993"/>
      <c r="M24" s="993"/>
      <c r="N24" s="993"/>
      <c r="O24" s="993"/>
      <c r="P24" s="993"/>
      <c r="Q24" s="993"/>
      <c r="R24" s="997"/>
    </row>
    <row r="25" spans="1:18" s="983" customFormat="1" ht="30" customHeight="1">
      <c r="A25" s="992"/>
      <c r="B25" s="995"/>
      <c r="C25" s="995"/>
      <c r="D25" s="993"/>
      <c r="E25" s="993"/>
      <c r="F25" s="993"/>
      <c r="G25" s="993"/>
      <c r="H25" s="993"/>
      <c r="I25" s="993"/>
      <c r="J25" s="1000">
        <v>402.93799999999999</v>
      </c>
      <c r="K25" s="993"/>
      <c r="L25" s="993"/>
      <c r="M25" s="993"/>
      <c r="N25" s="993"/>
      <c r="O25" s="993"/>
      <c r="P25" s="993"/>
      <c r="Q25" s="993"/>
      <c r="R25" s="997"/>
    </row>
    <row r="26" spans="1:18" s="983" customFormat="1" ht="30" customHeight="1">
      <c r="A26" s="992">
        <f>A24+1</f>
        <v>10</v>
      </c>
      <c r="B26" s="995" t="s">
        <v>3082</v>
      </c>
      <c r="C26" s="995" t="s">
        <v>1981</v>
      </c>
      <c r="D26" s="993" t="s">
        <v>2820</v>
      </c>
      <c r="E26" s="993">
        <v>0</v>
      </c>
      <c r="F26" s="993">
        <v>0</v>
      </c>
      <c r="G26" s="1027">
        <v>2</v>
      </c>
      <c r="H26" s="993">
        <v>0</v>
      </c>
      <c r="I26" s="993" t="s">
        <v>92</v>
      </c>
      <c r="J26" s="1000"/>
      <c r="K26" s="993">
        <f t="shared" si="0"/>
        <v>402.93799999999999</v>
      </c>
      <c r="L26" s="993" t="s">
        <v>2967</v>
      </c>
      <c r="M26" s="993" t="s">
        <v>22</v>
      </c>
      <c r="N26" s="993"/>
      <c r="O26" s="993"/>
      <c r="P26" s="993"/>
      <c r="Q26" s="993"/>
      <c r="R26" s="997"/>
    </row>
    <row r="27" spans="1:18" s="983" customFormat="1" ht="30" customHeight="1">
      <c r="A27" s="992"/>
      <c r="B27" s="995"/>
      <c r="C27" s="995"/>
      <c r="D27" s="993"/>
      <c r="E27" s="993"/>
      <c r="F27" s="993"/>
      <c r="G27" s="993"/>
      <c r="H27" s="993"/>
      <c r="I27" s="993"/>
      <c r="J27" s="1000">
        <v>284.88299999999998</v>
      </c>
      <c r="K27" s="993"/>
      <c r="L27" s="993"/>
      <c r="M27" s="993"/>
      <c r="N27" s="993"/>
      <c r="O27" s="993"/>
      <c r="P27" s="993"/>
      <c r="Q27" s="993"/>
      <c r="R27" s="1003" t="s">
        <v>3083</v>
      </c>
    </row>
    <row r="28" spans="1:18" s="1036" customFormat="1" ht="30" customHeight="1">
      <c r="A28" s="1041">
        <f>A26+1</f>
        <v>11</v>
      </c>
      <c r="B28" s="995" t="s">
        <v>3084</v>
      </c>
      <c r="C28" s="995" t="s">
        <v>2221</v>
      </c>
      <c r="D28" s="995" t="s">
        <v>2471</v>
      </c>
      <c r="E28" s="995">
        <v>1.5</v>
      </c>
      <c r="F28" s="995">
        <v>0</v>
      </c>
      <c r="G28" s="995">
        <v>0</v>
      </c>
      <c r="H28" s="995">
        <v>0</v>
      </c>
      <c r="I28" s="995" t="s">
        <v>1767</v>
      </c>
      <c r="J28" s="999"/>
      <c r="K28" s="995">
        <f t="shared" si="0"/>
        <v>284.88299999999998</v>
      </c>
      <c r="L28" s="995" t="s">
        <v>2967</v>
      </c>
      <c r="M28" s="995" t="s">
        <v>1009</v>
      </c>
      <c r="N28" s="995"/>
      <c r="O28" s="995"/>
      <c r="P28" s="995"/>
      <c r="Q28" s="995"/>
      <c r="R28" s="1070"/>
    </row>
    <row r="29" spans="1:18" s="1036" customFormat="1" ht="30" customHeight="1">
      <c r="A29" s="1041"/>
      <c r="B29" s="995"/>
      <c r="C29" s="995"/>
      <c r="D29" s="995"/>
      <c r="E29" s="995"/>
      <c r="F29" s="995"/>
      <c r="G29" s="995"/>
      <c r="H29" s="995"/>
      <c r="I29" s="995"/>
      <c r="J29" s="999">
        <v>412.19900000000001</v>
      </c>
      <c r="K29" s="995"/>
      <c r="L29" s="995"/>
      <c r="M29" s="995"/>
      <c r="N29" s="995"/>
      <c r="O29" s="995"/>
      <c r="P29" s="995"/>
      <c r="Q29" s="1365"/>
      <c r="R29" s="1070"/>
    </row>
    <row r="30" spans="1:18" s="1036" customFormat="1" ht="30" customHeight="1">
      <c r="A30" s="1041">
        <f>A28+1</f>
        <v>12</v>
      </c>
      <c r="B30" s="995" t="s">
        <v>1630</v>
      </c>
      <c r="C30" s="995" t="s">
        <v>76</v>
      </c>
      <c r="D30" s="995"/>
      <c r="E30" s="995">
        <v>0</v>
      </c>
      <c r="F30" s="995">
        <v>0</v>
      </c>
      <c r="G30" s="995">
        <v>0</v>
      </c>
      <c r="H30" s="995">
        <v>0</v>
      </c>
      <c r="I30" s="995" t="s">
        <v>2768</v>
      </c>
      <c r="J30" s="999"/>
      <c r="K30" s="995"/>
      <c r="L30" s="995" t="s">
        <v>2967</v>
      </c>
      <c r="M30" s="995" t="s">
        <v>1009</v>
      </c>
      <c r="N30" s="995" t="s">
        <v>1009</v>
      </c>
      <c r="O30" s="995" t="s">
        <v>1009</v>
      </c>
      <c r="P30" s="995"/>
      <c r="Q30" s="1365"/>
      <c r="R30" s="1070"/>
    </row>
    <row r="31" spans="1:18" s="1036" customFormat="1" ht="30" customHeight="1">
      <c r="A31" s="1041"/>
      <c r="B31" s="995"/>
      <c r="C31" s="995"/>
      <c r="D31" s="995"/>
      <c r="E31" s="995"/>
      <c r="F31" s="995"/>
      <c r="G31" s="995"/>
      <c r="H31" s="995"/>
      <c r="I31" s="995"/>
      <c r="J31" s="999">
        <v>428.12799999999999</v>
      </c>
      <c r="K31" s="995"/>
      <c r="L31" s="995"/>
      <c r="M31" s="995"/>
      <c r="N31" s="995"/>
      <c r="O31" s="995"/>
      <c r="P31" s="995"/>
      <c r="Q31" s="1365"/>
      <c r="R31" s="1070"/>
    </row>
    <row r="32" spans="1:18" s="1036" customFormat="1" ht="30" customHeight="1">
      <c r="A32" s="1041">
        <f>A30+1</f>
        <v>13</v>
      </c>
      <c r="B32" s="995" t="s">
        <v>1631</v>
      </c>
      <c r="C32" s="995" t="s">
        <v>76</v>
      </c>
      <c r="D32" s="995"/>
      <c r="E32" s="995">
        <v>0</v>
      </c>
      <c r="F32" s="995">
        <v>0</v>
      </c>
      <c r="G32" s="995">
        <v>0</v>
      </c>
      <c r="H32" s="995">
        <v>0</v>
      </c>
      <c r="I32" s="995" t="s">
        <v>897</v>
      </c>
      <c r="J32" s="999"/>
      <c r="K32" s="995"/>
      <c r="L32" s="995" t="s">
        <v>2967</v>
      </c>
      <c r="M32" s="995" t="s">
        <v>1009</v>
      </c>
      <c r="N32" s="995" t="s">
        <v>1009</v>
      </c>
      <c r="O32" s="995" t="s">
        <v>1009</v>
      </c>
      <c r="P32" s="995"/>
      <c r="Q32" s="1365"/>
      <c r="R32" s="1070"/>
    </row>
    <row r="33" spans="1:18" s="1036" customFormat="1" ht="30" customHeight="1">
      <c r="A33" s="1041"/>
      <c r="B33" s="995"/>
      <c r="C33" s="995"/>
      <c r="D33" s="995"/>
      <c r="E33" s="995"/>
      <c r="F33" s="995"/>
      <c r="G33" s="995"/>
      <c r="H33" s="995"/>
      <c r="I33" s="995"/>
      <c r="J33" s="999">
        <v>405.15199999999999</v>
      </c>
      <c r="K33" s="995"/>
      <c r="L33" s="995"/>
      <c r="M33" s="995"/>
      <c r="N33" s="995"/>
      <c r="O33" s="995"/>
      <c r="P33" s="995"/>
      <c r="Q33" s="1365"/>
      <c r="R33" s="1070"/>
    </row>
    <row r="34" spans="1:18" s="1036" customFormat="1" ht="30" customHeight="1">
      <c r="A34" s="1041">
        <f>A32+1</f>
        <v>14</v>
      </c>
      <c r="B34" s="995" t="s">
        <v>1632</v>
      </c>
      <c r="C34" s="995" t="s">
        <v>249</v>
      </c>
      <c r="D34" s="995"/>
      <c r="E34" s="995">
        <v>0</v>
      </c>
      <c r="F34" s="995">
        <v>0</v>
      </c>
      <c r="G34" s="995">
        <v>0</v>
      </c>
      <c r="H34" s="995">
        <v>0</v>
      </c>
      <c r="I34" s="995"/>
      <c r="J34" s="999"/>
      <c r="K34" s="995"/>
      <c r="L34" s="995" t="s">
        <v>2967</v>
      </c>
      <c r="M34" s="995"/>
      <c r="N34" s="995"/>
      <c r="O34" s="995"/>
      <c r="P34" s="995"/>
      <c r="Q34" s="1365"/>
      <c r="R34" s="1070"/>
    </row>
    <row r="35" spans="1:18" s="1036" customFormat="1" ht="30" customHeight="1">
      <c r="A35" s="1041"/>
      <c r="B35" s="995"/>
      <c r="C35" s="995"/>
      <c r="D35" s="995"/>
      <c r="E35" s="995"/>
      <c r="F35" s="995"/>
      <c r="G35" s="995"/>
      <c r="H35" s="995"/>
      <c r="I35" s="995"/>
      <c r="J35" s="999">
        <v>427.96</v>
      </c>
      <c r="K35" s="995"/>
      <c r="L35" s="995"/>
      <c r="M35" s="995"/>
      <c r="N35" s="995"/>
      <c r="O35" s="995"/>
      <c r="P35" s="995"/>
      <c r="Q35" s="1365"/>
      <c r="R35" s="1070"/>
    </row>
    <row r="36" spans="1:18" s="1036" customFormat="1" ht="30" customHeight="1">
      <c r="A36" s="1041">
        <f>A34+1</f>
        <v>15</v>
      </c>
      <c r="B36" s="995" t="s">
        <v>3085</v>
      </c>
      <c r="C36" s="995" t="s">
        <v>1277</v>
      </c>
      <c r="D36" s="995" t="s">
        <v>2459</v>
      </c>
      <c r="E36" s="995">
        <v>0</v>
      </c>
      <c r="F36" s="995">
        <v>0</v>
      </c>
      <c r="G36" s="995">
        <v>0</v>
      </c>
      <c r="H36" s="995">
        <v>0</v>
      </c>
      <c r="I36" s="995" t="s">
        <v>897</v>
      </c>
      <c r="J36" s="999"/>
      <c r="K36" s="995">
        <f>J29+J31+J33+J35</f>
        <v>1673.4390000000001</v>
      </c>
      <c r="L36" s="995" t="s">
        <v>2967</v>
      </c>
      <c r="M36" s="995" t="s">
        <v>1009</v>
      </c>
      <c r="N36" s="995"/>
      <c r="O36" s="995"/>
      <c r="P36" s="995"/>
      <c r="Q36" s="995"/>
      <c r="R36" s="1070"/>
    </row>
    <row r="37" spans="1:18" s="1036" customFormat="1" ht="30" customHeight="1">
      <c r="A37" s="1041"/>
      <c r="B37" s="995"/>
      <c r="C37" s="995"/>
      <c r="D37" s="995"/>
      <c r="E37" s="995"/>
      <c r="F37" s="995"/>
      <c r="G37" s="995"/>
      <c r="H37" s="995"/>
      <c r="I37" s="995"/>
      <c r="J37" s="999">
        <v>285.94799999999998</v>
      </c>
      <c r="K37" s="995"/>
      <c r="L37" s="995"/>
      <c r="M37" s="995"/>
      <c r="N37" s="995"/>
      <c r="O37" s="995"/>
      <c r="P37" s="995"/>
      <c r="Q37" s="995"/>
      <c r="R37" s="1070"/>
    </row>
    <row r="38" spans="1:18" s="1036" customFormat="1" ht="30" customHeight="1">
      <c r="A38" s="1041">
        <f>A36+1</f>
        <v>16</v>
      </c>
      <c r="B38" s="995" t="s">
        <v>2397</v>
      </c>
      <c r="C38" s="995" t="s">
        <v>1361</v>
      </c>
      <c r="D38" s="995" t="s">
        <v>2462</v>
      </c>
      <c r="E38" s="995">
        <v>0</v>
      </c>
      <c r="F38" s="995">
        <v>0</v>
      </c>
      <c r="G38" s="995">
        <v>0</v>
      </c>
      <c r="H38" s="995">
        <v>0</v>
      </c>
      <c r="I38" s="995" t="s">
        <v>897</v>
      </c>
      <c r="J38" s="999"/>
      <c r="K38" s="995">
        <f>J37</f>
        <v>285.94799999999998</v>
      </c>
      <c r="L38" s="995" t="s">
        <v>2967</v>
      </c>
      <c r="M38" s="995" t="s">
        <v>1009</v>
      </c>
      <c r="N38" s="995" t="s">
        <v>1009</v>
      </c>
      <c r="O38" s="995"/>
      <c r="P38" s="995"/>
      <c r="Q38" s="995"/>
      <c r="R38" s="1070"/>
    </row>
    <row r="39" spans="1:18" s="1036" customFormat="1" ht="30" customHeight="1">
      <c r="A39" s="1041"/>
      <c r="B39" s="995"/>
      <c r="C39" s="995"/>
      <c r="D39" s="995"/>
      <c r="E39" s="995"/>
      <c r="F39" s="995"/>
      <c r="G39" s="995"/>
      <c r="H39" s="995"/>
      <c r="I39" s="995"/>
      <c r="J39" s="999">
        <v>401.15899999999999</v>
      </c>
      <c r="K39" s="995"/>
      <c r="L39" s="995"/>
      <c r="M39" s="995"/>
      <c r="N39" s="995"/>
      <c r="O39" s="995"/>
      <c r="P39" s="995"/>
      <c r="Q39" s="995"/>
      <c r="R39" s="1070" t="s">
        <v>3086</v>
      </c>
    </row>
    <row r="40" spans="1:18" s="1036" customFormat="1" ht="30" customHeight="1">
      <c r="A40" s="1041">
        <f>A38+1</f>
        <v>17</v>
      </c>
      <c r="B40" s="995" t="s">
        <v>2398</v>
      </c>
      <c r="C40" s="995" t="s">
        <v>1277</v>
      </c>
      <c r="D40" s="995" t="s">
        <v>2466</v>
      </c>
      <c r="E40" s="995">
        <v>0</v>
      </c>
      <c r="F40" s="995">
        <v>0</v>
      </c>
      <c r="G40" s="995">
        <v>0</v>
      </c>
      <c r="H40" s="995">
        <v>0</v>
      </c>
      <c r="I40" s="995" t="s">
        <v>897</v>
      </c>
      <c r="J40" s="999"/>
      <c r="K40" s="995">
        <f>J39</f>
        <v>401.15899999999999</v>
      </c>
      <c r="L40" s="995" t="s">
        <v>2967</v>
      </c>
      <c r="M40" s="995" t="s">
        <v>1009</v>
      </c>
      <c r="N40" s="995" t="s">
        <v>1009</v>
      </c>
      <c r="O40" s="995" t="s">
        <v>1009</v>
      </c>
      <c r="P40" s="995"/>
      <c r="Q40" s="995"/>
      <c r="R40" s="1070"/>
    </row>
    <row r="41" spans="1:18" s="1036" customFormat="1" ht="30" customHeight="1">
      <c r="A41" s="1041"/>
      <c r="B41" s="995"/>
      <c r="C41" s="995"/>
      <c r="D41" s="995"/>
      <c r="E41" s="995"/>
      <c r="F41" s="995"/>
      <c r="G41" s="995"/>
      <c r="H41" s="995"/>
      <c r="I41" s="995"/>
      <c r="J41" s="999">
        <v>345</v>
      </c>
      <c r="K41" s="995"/>
      <c r="L41" s="995"/>
      <c r="M41" s="995"/>
      <c r="N41" s="995"/>
      <c r="O41" s="995"/>
      <c r="P41" s="995"/>
      <c r="Q41" s="1365"/>
      <c r="R41" s="1070"/>
    </row>
    <row r="42" spans="1:18" s="1036" customFormat="1" ht="30" customHeight="1">
      <c r="A42" s="1041">
        <f>A40+1</f>
        <v>18</v>
      </c>
      <c r="B42" s="995" t="s">
        <v>1635</v>
      </c>
      <c r="C42" s="995" t="s">
        <v>76</v>
      </c>
      <c r="D42" s="995"/>
      <c r="E42" s="995">
        <v>0</v>
      </c>
      <c r="F42" s="995">
        <v>0</v>
      </c>
      <c r="G42" s="995">
        <v>0</v>
      </c>
      <c r="H42" s="995">
        <v>0</v>
      </c>
      <c r="I42" s="995" t="s">
        <v>2768</v>
      </c>
      <c r="J42" s="999"/>
      <c r="K42" s="995"/>
      <c r="L42" s="995" t="s">
        <v>2967</v>
      </c>
      <c r="M42" s="995" t="s">
        <v>1009</v>
      </c>
      <c r="N42" s="995" t="s">
        <v>1009</v>
      </c>
      <c r="O42" s="995"/>
      <c r="P42" s="995"/>
      <c r="Q42" s="1365"/>
      <c r="R42" s="1070"/>
    </row>
    <row r="43" spans="1:18" s="1036" customFormat="1" ht="30" customHeight="1">
      <c r="A43" s="1041"/>
      <c r="B43" s="995"/>
      <c r="C43" s="995"/>
      <c r="D43" s="995"/>
      <c r="E43" s="995"/>
      <c r="F43" s="995"/>
      <c r="G43" s="995"/>
      <c r="H43" s="995"/>
      <c r="I43" s="995"/>
      <c r="J43" s="999">
        <v>360.00099999999998</v>
      </c>
      <c r="K43" s="995"/>
      <c r="L43" s="995"/>
      <c r="M43" s="995"/>
      <c r="N43" s="995"/>
      <c r="O43" s="995"/>
      <c r="P43" s="995"/>
      <c r="Q43" s="1365"/>
      <c r="R43" s="1070"/>
    </row>
    <row r="44" spans="1:18" s="1036" customFormat="1" ht="30" customHeight="1">
      <c r="A44" s="1041">
        <f>A42+1</f>
        <v>19</v>
      </c>
      <c r="B44" s="995" t="s">
        <v>1636</v>
      </c>
      <c r="C44" s="1105" t="s">
        <v>53</v>
      </c>
      <c r="D44" s="995"/>
      <c r="E44" s="995">
        <v>0</v>
      </c>
      <c r="F44" s="995">
        <v>0</v>
      </c>
      <c r="G44" s="995">
        <v>0</v>
      </c>
      <c r="H44" s="995">
        <v>0</v>
      </c>
      <c r="I44" s="995" t="s">
        <v>897</v>
      </c>
      <c r="J44" s="999"/>
      <c r="K44" s="995"/>
      <c r="L44" s="995" t="s">
        <v>2967</v>
      </c>
      <c r="M44" s="995" t="s">
        <v>1009</v>
      </c>
      <c r="N44" s="995" t="s">
        <v>1009</v>
      </c>
      <c r="O44" s="995" t="s">
        <v>22</v>
      </c>
      <c r="P44" s="995"/>
      <c r="Q44" s="1365"/>
      <c r="R44" s="1070"/>
    </row>
    <row r="45" spans="1:18" s="1036" customFormat="1" ht="30" customHeight="1">
      <c r="A45" s="1041"/>
      <c r="B45" s="995"/>
      <c r="C45" s="995"/>
      <c r="D45" s="995"/>
      <c r="E45" s="995"/>
      <c r="F45" s="995"/>
      <c r="G45" s="995"/>
      <c r="H45" s="995"/>
      <c r="I45" s="995"/>
      <c r="J45" s="999">
        <v>350.21699999999998</v>
      </c>
      <c r="K45" s="995"/>
      <c r="L45" s="995"/>
      <c r="M45" s="995"/>
      <c r="N45" s="995"/>
      <c r="O45" s="995"/>
      <c r="P45" s="995"/>
      <c r="Q45" s="1365"/>
      <c r="R45" s="1070"/>
    </row>
    <row r="46" spans="1:18" s="1036" customFormat="1" ht="30" customHeight="1">
      <c r="A46" s="1041">
        <f>A44+1</f>
        <v>20</v>
      </c>
      <c r="B46" s="995" t="s">
        <v>3087</v>
      </c>
      <c r="C46" s="995" t="s">
        <v>1277</v>
      </c>
      <c r="D46" s="995" t="s">
        <v>2468</v>
      </c>
      <c r="E46" s="995">
        <v>0</v>
      </c>
      <c r="F46" s="995">
        <v>0</v>
      </c>
      <c r="G46" s="995">
        <v>0</v>
      </c>
      <c r="H46" s="995">
        <v>0</v>
      </c>
      <c r="I46" s="995" t="s">
        <v>897</v>
      </c>
      <c r="J46" s="999"/>
      <c r="K46" s="995">
        <f>J41+J43+J45</f>
        <v>1055.2179999999998</v>
      </c>
      <c r="L46" s="995" t="s">
        <v>2967</v>
      </c>
      <c r="M46" s="995" t="s">
        <v>1009</v>
      </c>
      <c r="N46" s="995" t="s">
        <v>1009</v>
      </c>
      <c r="O46" s="995" t="s">
        <v>1009</v>
      </c>
      <c r="P46" s="995"/>
      <c r="Q46" s="995"/>
      <c r="R46" s="1070"/>
    </row>
    <row r="47" spans="1:18" s="1036" customFormat="1" ht="30" customHeight="1">
      <c r="A47" s="1041"/>
      <c r="B47" s="995"/>
      <c r="C47" s="995"/>
      <c r="D47" s="995"/>
      <c r="E47" s="995"/>
      <c r="F47" s="995"/>
      <c r="G47" s="995"/>
      <c r="H47" s="995"/>
      <c r="I47" s="995"/>
      <c r="J47" s="999">
        <v>369.99900000000002</v>
      </c>
      <c r="K47" s="995"/>
      <c r="L47" s="995"/>
      <c r="M47" s="995"/>
      <c r="N47" s="995"/>
      <c r="O47" s="995"/>
      <c r="P47" s="995"/>
      <c r="Q47" s="1365"/>
      <c r="R47" s="1070"/>
    </row>
    <row r="48" spans="1:18" s="1036" customFormat="1" ht="30" customHeight="1">
      <c r="A48" s="1041">
        <f>A46+1</f>
        <v>21</v>
      </c>
      <c r="B48" s="995" t="s">
        <v>1637</v>
      </c>
      <c r="C48" s="995" t="s">
        <v>76</v>
      </c>
      <c r="D48" s="995"/>
      <c r="E48" s="995">
        <v>0</v>
      </c>
      <c r="F48" s="995">
        <v>0</v>
      </c>
      <c r="G48" s="995">
        <v>0</v>
      </c>
      <c r="H48" s="995">
        <v>0</v>
      </c>
      <c r="I48" s="995" t="s">
        <v>2768</v>
      </c>
      <c r="J48" s="999"/>
      <c r="K48" s="995"/>
      <c r="L48" s="995" t="s">
        <v>2967</v>
      </c>
      <c r="M48" s="995" t="s">
        <v>1009</v>
      </c>
      <c r="N48" s="995" t="s">
        <v>1009</v>
      </c>
      <c r="O48" s="995" t="s">
        <v>1009</v>
      </c>
      <c r="P48" s="995"/>
      <c r="Q48" s="1365"/>
      <c r="R48" s="1070"/>
    </row>
    <row r="49" spans="1:18" s="1036" customFormat="1" ht="30" customHeight="1">
      <c r="A49" s="1041"/>
      <c r="B49" s="995"/>
      <c r="C49" s="995"/>
      <c r="D49" s="995"/>
      <c r="E49" s="995"/>
      <c r="F49" s="995"/>
      <c r="G49" s="995"/>
      <c r="H49" s="995"/>
      <c r="I49" s="995"/>
      <c r="J49" s="999">
        <v>360</v>
      </c>
      <c r="K49" s="995"/>
      <c r="L49" s="995"/>
      <c r="M49" s="995"/>
      <c r="N49" s="995"/>
      <c r="O49" s="995"/>
      <c r="P49" s="995"/>
      <c r="Q49" s="1365"/>
      <c r="R49" s="1070"/>
    </row>
    <row r="50" spans="1:18" s="1036" customFormat="1" ht="30" customHeight="1">
      <c r="A50" s="1041">
        <f>A48+1</f>
        <v>22</v>
      </c>
      <c r="B50" s="995" t="s">
        <v>1638</v>
      </c>
      <c r="C50" s="995" t="s">
        <v>76</v>
      </c>
      <c r="D50" s="995"/>
      <c r="E50" s="995">
        <v>0</v>
      </c>
      <c r="F50" s="995">
        <v>0</v>
      </c>
      <c r="G50" s="995">
        <v>0</v>
      </c>
      <c r="H50" s="995">
        <v>0</v>
      </c>
      <c r="I50" s="995" t="s">
        <v>897</v>
      </c>
      <c r="J50" s="999"/>
      <c r="K50" s="995"/>
      <c r="L50" s="995" t="s">
        <v>2967</v>
      </c>
      <c r="M50" s="995" t="s">
        <v>1009</v>
      </c>
      <c r="N50" s="995" t="s">
        <v>1009</v>
      </c>
      <c r="O50" s="995" t="s">
        <v>1009</v>
      </c>
      <c r="P50" s="995"/>
      <c r="Q50" s="1365"/>
      <c r="R50" s="1070"/>
    </row>
    <row r="51" spans="1:18" s="1036" customFormat="1" ht="30" customHeight="1">
      <c r="A51" s="1041"/>
      <c r="B51" s="995"/>
      <c r="C51" s="995"/>
      <c r="D51" s="995"/>
      <c r="E51" s="995"/>
      <c r="F51" s="995"/>
      <c r="G51" s="995"/>
      <c r="H51" s="995"/>
      <c r="I51" s="995"/>
      <c r="J51" s="999">
        <v>358.74799999999999</v>
      </c>
      <c r="K51" s="995"/>
      <c r="L51" s="995"/>
      <c r="M51" s="995"/>
      <c r="N51" s="995"/>
      <c r="O51" s="995"/>
      <c r="P51" s="995"/>
      <c r="Q51" s="1365"/>
      <c r="R51" s="1070"/>
    </row>
    <row r="52" spans="1:18" s="1036" customFormat="1" ht="30" customHeight="1">
      <c r="A52" s="1041">
        <f>A50+1</f>
        <v>23</v>
      </c>
      <c r="B52" s="995" t="s">
        <v>3088</v>
      </c>
      <c r="C52" s="995" t="s">
        <v>1938</v>
      </c>
      <c r="D52" s="995" t="s">
        <v>3089</v>
      </c>
      <c r="E52" s="995">
        <v>1.5</v>
      </c>
      <c r="F52" s="995">
        <v>1.5</v>
      </c>
      <c r="G52" s="995">
        <v>1.5</v>
      </c>
      <c r="H52" s="995">
        <v>1.5</v>
      </c>
      <c r="I52" s="995" t="s">
        <v>1767</v>
      </c>
      <c r="J52" s="999"/>
      <c r="K52" s="995">
        <f>J47+J49+J51</f>
        <v>1088.7470000000001</v>
      </c>
      <c r="L52" s="995" t="s">
        <v>2967</v>
      </c>
      <c r="M52" s="995" t="s">
        <v>1009</v>
      </c>
      <c r="N52" s="995" t="s">
        <v>1009</v>
      </c>
      <c r="O52" s="995"/>
      <c r="P52" s="995"/>
      <c r="Q52" s="995"/>
      <c r="R52" s="1070"/>
    </row>
    <row r="53" spans="1:18" s="1036" customFormat="1" ht="30" customHeight="1">
      <c r="A53" s="1041"/>
      <c r="B53" s="995"/>
      <c r="C53" s="995"/>
      <c r="D53" s="995"/>
      <c r="E53" s="995"/>
      <c r="F53" s="995"/>
      <c r="G53" s="995"/>
      <c r="H53" s="995"/>
      <c r="I53" s="995"/>
      <c r="J53" s="999">
        <v>485.93</v>
      </c>
      <c r="K53" s="1068"/>
      <c r="L53" s="1068"/>
      <c r="M53" s="1068"/>
      <c r="N53" s="1068"/>
      <c r="O53" s="1068"/>
      <c r="P53" s="1068"/>
      <c r="Q53" s="1068"/>
      <c r="R53" s="1069"/>
    </row>
    <row r="54" spans="1:18" s="1035" customFormat="1" ht="30" customHeight="1">
      <c r="A54" s="1041">
        <f>A52+1</f>
        <v>24</v>
      </c>
      <c r="B54" s="995" t="s">
        <v>3090</v>
      </c>
      <c r="C54" s="995" t="s">
        <v>1939</v>
      </c>
      <c r="D54" s="995" t="s">
        <v>1941</v>
      </c>
      <c r="E54" s="995">
        <v>1.5</v>
      </c>
      <c r="F54" s="995">
        <v>1.5</v>
      </c>
      <c r="G54" s="995">
        <v>1.5</v>
      </c>
      <c r="H54" s="995">
        <v>1.5</v>
      </c>
      <c r="I54" s="995" t="s">
        <v>1767</v>
      </c>
      <c r="J54" s="999"/>
      <c r="K54" s="1068">
        <f>J53</f>
        <v>485.93</v>
      </c>
      <c r="L54" s="1068" t="s">
        <v>2967</v>
      </c>
      <c r="M54" s="1068" t="s">
        <v>1009</v>
      </c>
      <c r="N54" s="1068"/>
      <c r="O54" s="1068"/>
      <c r="P54" s="1068"/>
      <c r="Q54" s="1125"/>
      <c r="R54" s="1069"/>
    </row>
    <row r="55" spans="1:18" s="1035" customFormat="1" ht="30" customHeight="1">
      <c r="A55" s="1041"/>
      <c r="B55" s="995"/>
      <c r="C55" s="995"/>
      <c r="D55" s="995"/>
      <c r="E55" s="995"/>
      <c r="F55" s="995"/>
      <c r="G55" s="995"/>
      <c r="H55" s="995"/>
      <c r="I55" s="995"/>
      <c r="J55" s="999">
        <v>325</v>
      </c>
      <c r="K55" s="1068"/>
      <c r="L55" s="1068"/>
      <c r="M55" s="1068"/>
      <c r="N55" s="1068"/>
      <c r="O55" s="1068"/>
      <c r="P55" s="1068"/>
      <c r="Q55" s="1071"/>
      <c r="R55" s="1069"/>
    </row>
    <row r="56" spans="1:18" s="1036" customFormat="1" ht="30" customHeight="1">
      <c r="A56" s="1041">
        <f>A54+1</f>
        <v>25</v>
      </c>
      <c r="B56" s="995" t="s">
        <v>1641</v>
      </c>
      <c r="C56" s="995" t="s">
        <v>76</v>
      </c>
      <c r="D56" s="995" t="s">
        <v>1942</v>
      </c>
      <c r="E56" s="995">
        <v>0</v>
      </c>
      <c r="F56" s="995">
        <v>0</v>
      </c>
      <c r="G56" s="995">
        <v>0</v>
      </c>
      <c r="H56" s="995">
        <v>0</v>
      </c>
      <c r="I56" s="995" t="s">
        <v>1767</v>
      </c>
      <c r="J56" s="999"/>
      <c r="K56" s="1068"/>
      <c r="L56" s="995" t="s">
        <v>2967</v>
      </c>
      <c r="M56" s="1068" t="s">
        <v>1009</v>
      </c>
      <c r="N56" s="1068" t="s">
        <v>1009</v>
      </c>
      <c r="O56" s="1068"/>
      <c r="P56" s="1068"/>
      <c r="Q56" s="1071"/>
      <c r="R56" s="1069"/>
    </row>
    <row r="57" spans="1:18" s="1036" customFormat="1" ht="30" customHeight="1">
      <c r="A57" s="1041"/>
      <c r="B57" s="995"/>
      <c r="C57" s="995"/>
      <c r="D57" s="995"/>
      <c r="E57" s="995"/>
      <c r="F57" s="995"/>
      <c r="G57" s="995"/>
      <c r="H57" s="995"/>
      <c r="I57" s="995"/>
      <c r="J57" s="999">
        <v>387.33699999999999</v>
      </c>
      <c r="K57" s="1068"/>
      <c r="L57" s="1068"/>
      <c r="M57" s="1068"/>
      <c r="N57" s="1068"/>
      <c r="O57" s="1068"/>
      <c r="P57" s="1068"/>
      <c r="Q57" s="1071"/>
      <c r="R57" s="1069"/>
    </row>
    <row r="58" spans="1:18" s="1036" customFormat="1" ht="30" customHeight="1">
      <c r="A58" s="1041">
        <f>A56+1</f>
        <v>26</v>
      </c>
      <c r="B58" s="995" t="s">
        <v>3091</v>
      </c>
      <c r="C58" s="995" t="s">
        <v>1361</v>
      </c>
      <c r="D58" s="995" t="s">
        <v>1944</v>
      </c>
      <c r="E58" s="995">
        <v>0</v>
      </c>
      <c r="F58" s="995">
        <v>0</v>
      </c>
      <c r="G58" s="995">
        <v>0</v>
      </c>
      <c r="H58" s="995">
        <v>0</v>
      </c>
      <c r="I58" s="995" t="s">
        <v>1767</v>
      </c>
      <c r="J58" s="999"/>
      <c r="K58" s="1068">
        <f>J55+J57</f>
        <v>712.33699999999999</v>
      </c>
      <c r="L58" s="995" t="s">
        <v>2967</v>
      </c>
      <c r="M58" s="1068" t="s">
        <v>1009</v>
      </c>
      <c r="N58" s="1068" t="s">
        <v>1009</v>
      </c>
      <c r="O58" s="1068"/>
      <c r="P58" s="1068"/>
      <c r="Q58" s="1068"/>
      <c r="R58" s="1069"/>
    </row>
    <row r="59" spans="1:18" s="1036" customFormat="1" ht="30" customHeight="1">
      <c r="A59" s="1041"/>
      <c r="B59" s="995"/>
      <c r="C59" s="995"/>
      <c r="D59" s="995"/>
      <c r="E59" s="995"/>
      <c r="F59" s="995"/>
      <c r="G59" s="995"/>
      <c r="H59" s="995"/>
      <c r="I59" s="995"/>
      <c r="J59" s="999">
        <v>390</v>
      </c>
      <c r="K59" s="1068"/>
      <c r="L59" s="1068"/>
      <c r="M59" s="1068"/>
      <c r="N59" s="1068"/>
      <c r="O59" s="1068"/>
      <c r="P59" s="1068"/>
      <c r="Q59" s="1367"/>
      <c r="R59" s="1069"/>
    </row>
    <row r="60" spans="1:18" s="1036" customFormat="1" ht="30" customHeight="1">
      <c r="A60" s="1041">
        <f>A58+1</f>
        <v>27</v>
      </c>
      <c r="B60" s="995" t="s">
        <v>1643</v>
      </c>
      <c r="C60" s="995" t="s">
        <v>62</v>
      </c>
      <c r="D60" s="995" t="s">
        <v>1942</v>
      </c>
      <c r="E60" s="995">
        <v>0</v>
      </c>
      <c r="F60" s="995">
        <v>0</v>
      </c>
      <c r="G60" s="995">
        <v>0</v>
      </c>
      <c r="H60" s="995">
        <v>0</v>
      </c>
      <c r="I60" s="995" t="s">
        <v>1767</v>
      </c>
      <c r="J60" s="999"/>
      <c r="K60" s="1068"/>
      <c r="L60" s="995" t="s">
        <v>2967</v>
      </c>
      <c r="M60" s="1068" t="s">
        <v>1009</v>
      </c>
      <c r="N60" s="1068" t="s">
        <v>1009</v>
      </c>
      <c r="O60" s="1068"/>
      <c r="P60" s="1068"/>
      <c r="Q60" s="1368"/>
      <c r="R60" s="1069"/>
    </row>
    <row r="61" spans="1:18" s="1036" customFormat="1" ht="30" customHeight="1">
      <c r="A61" s="1041"/>
      <c r="B61" s="995"/>
      <c r="C61" s="995"/>
      <c r="D61" s="995"/>
      <c r="E61" s="995"/>
      <c r="F61" s="995"/>
      <c r="G61" s="995"/>
      <c r="H61" s="995"/>
      <c r="I61" s="995"/>
      <c r="J61" s="999">
        <v>388.62900000000002</v>
      </c>
      <c r="K61" s="1068"/>
      <c r="L61" s="1068"/>
      <c r="M61" s="1068"/>
      <c r="N61" s="1068"/>
      <c r="O61" s="1068"/>
      <c r="P61" s="1068"/>
      <c r="Q61" s="1368"/>
      <c r="R61" s="1069"/>
    </row>
    <row r="62" spans="1:18" s="1036" customFormat="1" ht="30" customHeight="1">
      <c r="A62" s="1041">
        <v>28</v>
      </c>
      <c r="B62" s="995" t="s">
        <v>1644</v>
      </c>
      <c r="C62" s="995" t="s">
        <v>62</v>
      </c>
      <c r="D62" s="995" t="s">
        <v>1942</v>
      </c>
      <c r="E62" s="995">
        <v>0</v>
      </c>
      <c r="F62" s="995">
        <v>0</v>
      </c>
      <c r="G62" s="995">
        <v>0</v>
      </c>
      <c r="H62" s="995">
        <v>0</v>
      </c>
      <c r="I62" s="995" t="s">
        <v>1767</v>
      </c>
      <c r="J62" s="999"/>
      <c r="K62" s="1068"/>
      <c r="L62" s="995" t="s">
        <v>2967</v>
      </c>
      <c r="M62" s="1068" t="s">
        <v>1009</v>
      </c>
      <c r="N62" s="1068" t="s">
        <v>1009</v>
      </c>
      <c r="O62" s="1068"/>
      <c r="P62" s="1068"/>
      <c r="Q62" s="1368"/>
      <c r="R62" s="1069"/>
    </row>
    <row r="63" spans="1:18" s="1036" customFormat="1" ht="30" customHeight="1">
      <c r="A63" s="1041"/>
      <c r="B63" s="995"/>
      <c r="C63" s="995"/>
      <c r="D63" s="995"/>
      <c r="E63" s="995"/>
      <c r="F63" s="995"/>
      <c r="G63" s="995"/>
      <c r="H63" s="995"/>
      <c r="I63" s="995"/>
      <c r="J63" s="999">
        <v>398.45</v>
      </c>
      <c r="K63" s="1068"/>
      <c r="L63" s="1068"/>
      <c r="M63" s="1068"/>
      <c r="N63" s="1068"/>
      <c r="O63" s="1068"/>
      <c r="P63" s="1068"/>
      <c r="Q63" s="1368"/>
      <c r="R63" s="1069"/>
    </row>
    <row r="64" spans="1:18" s="1036" customFormat="1" ht="30" customHeight="1">
      <c r="A64" s="1041">
        <v>29</v>
      </c>
      <c r="B64" s="995" t="s">
        <v>3092</v>
      </c>
      <c r="C64" s="995" t="s">
        <v>1269</v>
      </c>
      <c r="D64" s="995" t="s">
        <v>1945</v>
      </c>
      <c r="E64" s="995">
        <v>0</v>
      </c>
      <c r="F64" s="995">
        <v>0</v>
      </c>
      <c r="G64" s="995">
        <v>0</v>
      </c>
      <c r="H64" s="995">
        <v>0</v>
      </c>
      <c r="I64" s="995" t="s">
        <v>897</v>
      </c>
      <c r="J64" s="999"/>
      <c r="K64" s="1068">
        <f>J59+J61+J63</f>
        <v>1177.079</v>
      </c>
      <c r="L64" s="995" t="s">
        <v>2967</v>
      </c>
      <c r="M64" s="1068" t="s">
        <v>1009</v>
      </c>
      <c r="N64" s="1068" t="s">
        <v>1009</v>
      </c>
      <c r="O64" s="1068" t="s">
        <v>1009</v>
      </c>
      <c r="P64" s="1068"/>
      <c r="Q64" s="1068"/>
      <c r="R64" s="1069"/>
    </row>
    <row r="65" spans="1:18" s="1036" customFormat="1" ht="30" customHeight="1">
      <c r="A65" s="1041"/>
      <c r="B65" s="995"/>
      <c r="C65" s="995"/>
      <c r="D65" s="995"/>
      <c r="E65" s="995"/>
      <c r="F65" s="995"/>
      <c r="G65" s="995"/>
      <c r="H65" s="995"/>
      <c r="I65" s="995"/>
      <c r="J65" s="999">
        <v>435.99900000000002</v>
      </c>
      <c r="K65" s="1068"/>
      <c r="L65" s="1068"/>
      <c r="M65" s="1068"/>
      <c r="N65" s="1068"/>
      <c r="O65" s="1068"/>
      <c r="P65" s="1068"/>
      <c r="Q65" s="1368"/>
      <c r="R65" s="1069"/>
    </row>
    <row r="66" spans="1:18" s="1036" customFormat="1" ht="30" customHeight="1">
      <c r="A66" s="1041">
        <v>30</v>
      </c>
      <c r="B66" s="995" t="s">
        <v>1116</v>
      </c>
      <c r="C66" s="995" t="s">
        <v>53</v>
      </c>
      <c r="D66" s="995" t="s">
        <v>1942</v>
      </c>
      <c r="E66" s="995">
        <v>0</v>
      </c>
      <c r="F66" s="995">
        <v>0</v>
      </c>
      <c r="G66" s="995">
        <v>0</v>
      </c>
      <c r="H66" s="995">
        <v>0</v>
      </c>
      <c r="I66" s="995" t="s">
        <v>1767</v>
      </c>
      <c r="J66" s="999"/>
      <c r="K66" s="1068"/>
      <c r="L66" s="995" t="s">
        <v>2967</v>
      </c>
      <c r="M66" s="1068" t="s">
        <v>1009</v>
      </c>
      <c r="N66" s="1068" t="s">
        <v>1009</v>
      </c>
      <c r="O66" s="1068" t="s">
        <v>1009</v>
      </c>
      <c r="P66" s="1068"/>
      <c r="Q66" s="1368"/>
      <c r="R66" s="1069"/>
    </row>
    <row r="67" spans="1:18" s="1036" customFormat="1" ht="30" customHeight="1">
      <c r="A67" s="1041"/>
      <c r="B67" s="995"/>
      <c r="C67" s="995"/>
      <c r="D67" s="995"/>
      <c r="E67" s="995"/>
      <c r="F67" s="995"/>
      <c r="G67" s="995"/>
      <c r="H67" s="995"/>
      <c r="I67" s="995"/>
      <c r="J67" s="999">
        <v>384</v>
      </c>
      <c r="K67" s="1068"/>
      <c r="L67" s="1068"/>
      <c r="M67" s="1068"/>
      <c r="N67" s="1068"/>
      <c r="O67" s="1068"/>
      <c r="P67" s="1068"/>
      <c r="Q67" s="1368"/>
      <c r="R67" s="1069"/>
    </row>
    <row r="68" spans="1:18" s="1036" customFormat="1" ht="30" customHeight="1">
      <c r="A68" s="1041">
        <v>31</v>
      </c>
      <c r="B68" s="995" t="s">
        <v>1645</v>
      </c>
      <c r="C68" s="995" t="s">
        <v>62</v>
      </c>
      <c r="D68" s="995"/>
      <c r="E68" s="995">
        <v>0</v>
      </c>
      <c r="F68" s="995">
        <v>0</v>
      </c>
      <c r="G68" s="995">
        <v>0</v>
      </c>
      <c r="H68" s="995">
        <v>0</v>
      </c>
      <c r="I68" s="995"/>
      <c r="J68" s="999"/>
      <c r="K68" s="1068"/>
      <c r="L68" s="1068"/>
      <c r="M68" s="1068"/>
      <c r="N68" s="1068"/>
      <c r="O68" s="1068"/>
      <c r="P68" s="1068"/>
      <c r="Q68" s="1368"/>
      <c r="R68" s="1069"/>
    </row>
    <row r="69" spans="1:18" s="1036" customFormat="1" ht="30" customHeight="1">
      <c r="A69" s="1041"/>
      <c r="B69" s="995"/>
      <c r="C69" s="995"/>
      <c r="D69" s="995"/>
      <c r="E69" s="995"/>
      <c r="F69" s="995"/>
      <c r="G69" s="995"/>
      <c r="H69" s="995"/>
      <c r="I69" s="995"/>
      <c r="J69" s="999">
        <v>420</v>
      </c>
      <c r="K69" s="1068"/>
      <c r="L69" s="1068"/>
      <c r="M69" s="1068"/>
      <c r="N69" s="1068"/>
      <c r="O69" s="1068"/>
      <c r="P69" s="1068"/>
      <c r="Q69" s="1368"/>
      <c r="R69" s="1069"/>
    </row>
    <row r="70" spans="1:18" s="1036" customFormat="1" ht="30" customHeight="1">
      <c r="A70" s="1041">
        <v>32</v>
      </c>
      <c r="B70" s="995" t="s">
        <v>1117</v>
      </c>
      <c r="C70" s="995" t="s">
        <v>62</v>
      </c>
      <c r="D70" s="995"/>
      <c r="E70" s="995">
        <v>0</v>
      </c>
      <c r="F70" s="995">
        <v>0</v>
      </c>
      <c r="G70" s="995">
        <v>0</v>
      </c>
      <c r="H70" s="995">
        <v>0</v>
      </c>
      <c r="I70" s="995"/>
      <c r="J70" s="999"/>
      <c r="K70" s="1068"/>
      <c r="L70" s="995" t="s">
        <v>2967</v>
      </c>
      <c r="M70" s="1068"/>
      <c r="N70" s="1068"/>
      <c r="O70" s="1068"/>
      <c r="P70" s="1068"/>
      <c r="Q70" s="1368"/>
      <c r="R70" s="1069"/>
    </row>
    <row r="71" spans="1:18" s="1036" customFormat="1" ht="30" customHeight="1">
      <c r="A71" s="1041"/>
      <c r="B71" s="995"/>
      <c r="C71" s="995"/>
      <c r="D71" s="995"/>
      <c r="E71" s="995"/>
      <c r="F71" s="995"/>
      <c r="G71" s="995"/>
      <c r="H71" s="995"/>
      <c r="I71" s="995"/>
      <c r="J71" s="999">
        <v>410</v>
      </c>
      <c r="K71" s="1068"/>
      <c r="L71" s="1068"/>
      <c r="M71" s="1068"/>
      <c r="N71" s="1068"/>
      <c r="O71" s="1068"/>
      <c r="P71" s="1068"/>
      <c r="Q71" s="1368"/>
      <c r="R71" s="1069"/>
    </row>
    <row r="72" spans="1:18" s="1036" customFormat="1" ht="30" customHeight="1">
      <c r="A72" s="1041">
        <v>33</v>
      </c>
      <c r="B72" s="995" t="s">
        <v>1646</v>
      </c>
      <c r="C72" s="995" t="s">
        <v>62</v>
      </c>
      <c r="D72" s="995"/>
      <c r="E72" s="995">
        <v>0</v>
      </c>
      <c r="F72" s="995">
        <v>0</v>
      </c>
      <c r="G72" s="995">
        <v>0</v>
      </c>
      <c r="H72" s="995">
        <v>0</v>
      </c>
      <c r="I72" s="995" t="s">
        <v>897</v>
      </c>
      <c r="J72" s="999"/>
      <c r="K72" s="1068"/>
      <c r="L72" s="995" t="s">
        <v>2967</v>
      </c>
      <c r="M72" s="1068" t="s">
        <v>1009</v>
      </c>
      <c r="N72" s="1068" t="s">
        <v>1009</v>
      </c>
      <c r="O72" s="1068" t="s">
        <v>1009</v>
      </c>
      <c r="P72" s="1068"/>
      <c r="Q72" s="1368"/>
      <c r="R72" s="1069"/>
    </row>
    <row r="73" spans="1:18" s="1036" customFormat="1" ht="30" customHeight="1">
      <c r="A73" s="1041"/>
      <c r="B73" s="995"/>
      <c r="C73" s="995"/>
      <c r="D73" s="995"/>
      <c r="E73" s="995"/>
      <c r="F73" s="995"/>
      <c r="G73" s="995"/>
      <c r="H73" s="995"/>
      <c r="I73" s="995"/>
      <c r="J73" s="999">
        <v>407.25</v>
      </c>
      <c r="K73" s="1068"/>
      <c r="L73" s="1068"/>
      <c r="M73" s="1068"/>
      <c r="N73" s="1068"/>
      <c r="O73" s="1068"/>
      <c r="P73" s="1068"/>
      <c r="Q73" s="1368"/>
      <c r="R73" s="1069"/>
    </row>
    <row r="74" spans="1:18" s="1036" customFormat="1" ht="30" customHeight="1">
      <c r="A74" s="1041">
        <v>34</v>
      </c>
      <c r="B74" s="995" t="s">
        <v>1647</v>
      </c>
      <c r="C74" s="995" t="s">
        <v>62</v>
      </c>
      <c r="D74" s="995"/>
      <c r="E74" s="995">
        <v>0</v>
      </c>
      <c r="F74" s="995">
        <v>0</v>
      </c>
      <c r="G74" s="995">
        <v>0</v>
      </c>
      <c r="H74" s="995">
        <v>0</v>
      </c>
      <c r="I74" s="995" t="s">
        <v>897</v>
      </c>
      <c r="J74" s="999"/>
      <c r="K74" s="1068"/>
      <c r="L74" s="1068" t="s">
        <v>2967</v>
      </c>
      <c r="M74" s="1068" t="s">
        <v>1009</v>
      </c>
      <c r="N74" s="1068"/>
      <c r="O74" s="1068" t="s">
        <v>1009</v>
      </c>
      <c r="P74" s="1068"/>
      <c r="Q74" s="1368"/>
      <c r="R74" s="1069"/>
    </row>
    <row r="75" spans="1:18" s="1036" customFormat="1" ht="30" customHeight="1">
      <c r="A75" s="1041"/>
      <c r="B75" s="995"/>
      <c r="C75" s="995"/>
      <c r="D75" s="995"/>
      <c r="E75" s="995"/>
      <c r="F75" s="995"/>
      <c r="G75" s="995"/>
      <c r="H75" s="995"/>
      <c r="I75" s="995"/>
      <c r="J75" s="999">
        <v>397.702</v>
      </c>
      <c r="K75" s="1068"/>
      <c r="L75" s="1068"/>
      <c r="M75" s="1068"/>
      <c r="N75" s="1068"/>
      <c r="O75" s="1068"/>
      <c r="P75" s="1068"/>
      <c r="Q75" s="1368"/>
      <c r="R75" s="1069"/>
    </row>
    <row r="76" spans="1:18" s="1036" customFormat="1" ht="30" customHeight="1">
      <c r="A76" s="1041">
        <v>35</v>
      </c>
      <c r="B76" s="995" t="s">
        <v>3093</v>
      </c>
      <c r="C76" s="995" t="s">
        <v>1361</v>
      </c>
      <c r="D76" s="995" t="s">
        <v>1947</v>
      </c>
      <c r="E76" s="995">
        <v>0</v>
      </c>
      <c r="F76" s="995">
        <v>0</v>
      </c>
      <c r="G76" s="995">
        <v>0</v>
      </c>
      <c r="H76" s="995">
        <v>0</v>
      </c>
      <c r="I76" s="995"/>
      <c r="J76" s="999"/>
      <c r="K76" s="1068">
        <f>J65+J67+J69+J71+J73+J75</f>
        <v>2454.951</v>
      </c>
      <c r="L76" s="1068"/>
      <c r="M76" s="1068"/>
      <c r="N76" s="1068"/>
      <c r="O76" s="1068"/>
      <c r="P76" s="1068"/>
      <c r="Q76" s="1068"/>
      <c r="R76" s="1069"/>
    </row>
    <row r="77" spans="1:18" s="1036" customFormat="1" ht="30" customHeight="1">
      <c r="A77" s="1041"/>
      <c r="B77" s="995"/>
      <c r="C77" s="995"/>
      <c r="D77" s="995"/>
      <c r="E77" s="995"/>
      <c r="F77" s="995"/>
      <c r="G77" s="995"/>
      <c r="H77" s="995"/>
      <c r="I77" s="995"/>
      <c r="J77" s="999">
        <v>366.00400000000002</v>
      </c>
      <c r="K77" s="1068"/>
      <c r="L77" s="1068"/>
      <c r="M77" s="1068"/>
      <c r="N77" s="1068"/>
      <c r="O77" s="1068"/>
      <c r="P77" s="1068"/>
      <c r="Q77" s="1068"/>
      <c r="R77" s="1069"/>
    </row>
    <row r="78" spans="1:18" s="1036" customFormat="1" ht="30" customHeight="1">
      <c r="A78" s="1041">
        <v>36</v>
      </c>
      <c r="B78" s="995" t="s">
        <v>3094</v>
      </c>
      <c r="C78" s="995" t="s">
        <v>1319</v>
      </c>
      <c r="D78" s="995" t="s">
        <v>1949</v>
      </c>
      <c r="E78" s="995">
        <v>0</v>
      </c>
      <c r="F78" s="995">
        <v>0</v>
      </c>
      <c r="G78" s="995">
        <v>0</v>
      </c>
      <c r="H78" s="995">
        <v>0</v>
      </c>
      <c r="I78" s="995" t="s">
        <v>897</v>
      </c>
      <c r="J78" s="999"/>
      <c r="K78" s="1068">
        <f>J77</f>
        <v>366.00400000000002</v>
      </c>
      <c r="L78" s="1068" t="s">
        <v>2967</v>
      </c>
      <c r="M78" s="1068" t="s">
        <v>1009</v>
      </c>
      <c r="N78" s="1068"/>
      <c r="O78" s="1068"/>
      <c r="P78" s="1068"/>
      <c r="Q78" s="1068"/>
      <c r="R78" s="1069"/>
    </row>
    <row r="79" spans="1:18" s="1036" customFormat="1" ht="30" customHeight="1">
      <c r="A79" s="1041"/>
      <c r="B79" s="995"/>
      <c r="C79" s="995"/>
      <c r="D79" s="995"/>
      <c r="E79" s="995"/>
      <c r="F79" s="995"/>
      <c r="G79" s="995"/>
      <c r="H79" s="995"/>
      <c r="I79" s="995"/>
      <c r="J79" s="999">
        <v>372.4</v>
      </c>
      <c r="K79" s="1068"/>
      <c r="L79" s="1068"/>
      <c r="M79" s="1068"/>
      <c r="N79" s="1068"/>
      <c r="O79" s="1068"/>
      <c r="P79" s="1068"/>
      <c r="Q79" s="1368"/>
      <c r="R79" s="1069"/>
    </row>
    <row r="80" spans="1:18" s="1036" customFormat="1" ht="30" customHeight="1">
      <c r="A80" s="1041">
        <v>37</v>
      </c>
      <c r="B80" s="995" t="s">
        <v>1648</v>
      </c>
      <c r="C80" s="995" t="s">
        <v>76</v>
      </c>
      <c r="D80" s="995"/>
      <c r="E80" s="995">
        <v>0</v>
      </c>
      <c r="F80" s="995">
        <v>0</v>
      </c>
      <c r="G80" s="995">
        <v>0</v>
      </c>
      <c r="H80" s="995">
        <v>0</v>
      </c>
      <c r="I80" s="995" t="s">
        <v>2768</v>
      </c>
      <c r="J80" s="999"/>
      <c r="K80" s="1068"/>
      <c r="L80" s="1068" t="s">
        <v>2967</v>
      </c>
      <c r="M80" s="1068" t="s">
        <v>1009</v>
      </c>
      <c r="N80" s="1068"/>
      <c r="O80" s="1068"/>
      <c r="P80" s="1068"/>
      <c r="Q80" s="1368"/>
      <c r="R80" s="1069"/>
    </row>
    <row r="81" spans="1:18" s="1036" customFormat="1" ht="30" customHeight="1">
      <c r="A81" s="1041"/>
      <c r="B81" s="995"/>
      <c r="C81" s="995"/>
      <c r="D81" s="995"/>
      <c r="E81" s="995"/>
      <c r="F81" s="995"/>
      <c r="G81" s="995"/>
      <c r="H81" s="995"/>
      <c r="I81" s="995"/>
      <c r="J81" s="999">
        <v>311.86599999999999</v>
      </c>
      <c r="K81" s="1068"/>
      <c r="L81" s="1068"/>
      <c r="M81" s="1068"/>
      <c r="N81" s="1068"/>
      <c r="O81" s="1068"/>
      <c r="P81" s="1068"/>
      <c r="Q81" s="1368"/>
      <c r="R81" s="1069"/>
    </row>
    <row r="82" spans="1:18" s="1036" customFormat="1" ht="30" customHeight="1">
      <c r="A82" s="1041">
        <v>38</v>
      </c>
      <c r="B82" s="995" t="s">
        <v>1125</v>
      </c>
      <c r="C82" s="995" t="s">
        <v>76</v>
      </c>
      <c r="D82" s="995"/>
      <c r="E82" s="995">
        <v>0</v>
      </c>
      <c r="F82" s="995">
        <v>0</v>
      </c>
      <c r="G82" s="995">
        <v>0</v>
      </c>
      <c r="H82" s="995">
        <v>0</v>
      </c>
      <c r="I82" s="995" t="s">
        <v>897</v>
      </c>
      <c r="J82" s="999"/>
      <c r="K82" s="1068"/>
      <c r="L82" s="1068" t="s">
        <v>2967</v>
      </c>
      <c r="M82" s="1068" t="s">
        <v>1009</v>
      </c>
      <c r="N82" s="1068" t="s">
        <v>1009</v>
      </c>
      <c r="O82" s="1068"/>
      <c r="P82" s="1068"/>
      <c r="Q82" s="1368"/>
      <c r="R82" s="1069"/>
    </row>
    <row r="83" spans="1:18" s="1036" customFormat="1" ht="30" customHeight="1">
      <c r="A83" s="1041"/>
      <c r="B83" s="995"/>
      <c r="C83" s="995"/>
      <c r="D83" s="995"/>
      <c r="E83" s="995"/>
      <c r="F83" s="995"/>
      <c r="G83" s="995"/>
      <c r="H83" s="995"/>
      <c r="I83" s="995"/>
      <c r="J83" s="999">
        <v>343.76299999999998</v>
      </c>
      <c r="K83" s="1068"/>
      <c r="L83" s="1068"/>
      <c r="M83" s="1068"/>
      <c r="N83" s="1068"/>
      <c r="O83" s="1068"/>
      <c r="P83" s="1068"/>
      <c r="Q83" s="1368"/>
      <c r="R83" s="1069"/>
    </row>
    <row r="84" spans="1:18" s="1036" customFormat="1" ht="30" customHeight="1">
      <c r="A84" s="1041">
        <v>39</v>
      </c>
      <c r="B84" s="995" t="s">
        <v>3095</v>
      </c>
      <c r="C84" s="995" t="s">
        <v>1319</v>
      </c>
      <c r="D84" s="995" t="s">
        <v>1951</v>
      </c>
      <c r="E84" s="995">
        <v>0</v>
      </c>
      <c r="F84" s="995">
        <v>0</v>
      </c>
      <c r="G84" s="995">
        <v>0</v>
      </c>
      <c r="H84" s="995">
        <v>0</v>
      </c>
      <c r="I84" s="995" t="s">
        <v>897</v>
      </c>
      <c r="J84" s="999"/>
      <c r="K84" s="1068">
        <f>J79+J81+J83</f>
        <v>1028.029</v>
      </c>
      <c r="L84" s="995" t="s">
        <v>2967</v>
      </c>
      <c r="M84" s="1068" t="s">
        <v>1009</v>
      </c>
      <c r="N84" s="1068"/>
      <c r="O84" s="1068" t="s">
        <v>22</v>
      </c>
      <c r="P84" s="1068"/>
      <c r="Q84" s="1068"/>
      <c r="R84" s="1069"/>
    </row>
    <row r="85" spans="1:18" s="1036" customFormat="1" ht="30" customHeight="1">
      <c r="A85" s="1041"/>
      <c r="B85" s="995"/>
      <c r="C85" s="995"/>
      <c r="D85" s="995"/>
      <c r="E85" s="995"/>
      <c r="F85" s="995"/>
      <c r="G85" s="995"/>
      <c r="H85" s="995"/>
      <c r="I85" s="995"/>
      <c r="J85" s="999">
        <v>442.37099999999998</v>
      </c>
      <c r="K85" s="1068"/>
      <c r="L85" s="1068"/>
      <c r="M85" s="1068"/>
      <c r="N85" s="1068"/>
      <c r="O85" s="1068"/>
      <c r="P85" s="1068"/>
      <c r="Q85" s="1068"/>
      <c r="R85" s="1069"/>
    </row>
    <row r="86" spans="1:18" s="1036" customFormat="1" ht="30" customHeight="1">
      <c r="A86" s="1041">
        <v>40</v>
      </c>
      <c r="B86" s="995" t="s">
        <v>2449</v>
      </c>
      <c r="C86" s="995" t="s">
        <v>1269</v>
      </c>
      <c r="D86" s="995" t="s">
        <v>1953</v>
      </c>
      <c r="E86" s="995">
        <v>0</v>
      </c>
      <c r="F86" s="995">
        <v>0</v>
      </c>
      <c r="G86" s="995">
        <v>0</v>
      </c>
      <c r="H86" s="995">
        <v>0</v>
      </c>
      <c r="I86" s="995" t="s">
        <v>1767</v>
      </c>
      <c r="J86" s="1072"/>
      <c r="K86" s="1068">
        <f>J85</f>
        <v>442.37099999999998</v>
      </c>
      <c r="L86" s="995" t="s">
        <v>2967</v>
      </c>
      <c r="M86" s="1068" t="s">
        <v>1009</v>
      </c>
      <c r="N86" s="1068" t="s">
        <v>1009</v>
      </c>
      <c r="O86" s="1068" t="s">
        <v>1009</v>
      </c>
      <c r="P86" s="1068"/>
      <c r="Q86" s="1068"/>
      <c r="R86" s="1069"/>
    </row>
    <row r="87" spans="1:18" s="1036" customFormat="1" ht="30" customHeight="1">
      <c r="A87" s="1041"/>
      <c r="B87" s="995"/>
      <c r="C87" s="995"/>
      <c r="D87" s="995"/>
      <c r="E87" s="995"/>
      <c r="F87" s="995"/>
      <c r="G87" s="995"/>
      <c r="H87" s="995"/>
      <c r="I87" s="995"/>
      <c r="J87" s="999">
        <v>360</v>
      </c>
      <c r="K87" s="1068"/>
      <c r="L87" s="1068"/>
      <c r="M87" s="1068"/>
      <c r="N87" s="1068"/>
      <c r="O87" s="1068"/>
      <c r="P87" s="1068"/>
      <c r="Q87" s="1368"/>
      <c r="R87" s="1069"/>
    </row>
    <row r="88" spans="1:18" s="1036" customFormat="1" ht="30" customHeight="1">
      <c r="A88" s="1041">
        <v>41</v>
      </c>
      <c r="B88" s="995" t="s">
        <v>1140</v>
      </c>
      <c r="C88" s="995" t="s">
        <v>62</v>
      </c>
      <c r="D88" s="995"/>
      <c r="E88" s="995">
        <v>1.5</v>
      </c>
      <c r="F88" s="995"/>
      <c r="G88" s="995">
        <v>1.5</v>
      </c>
      <c r="H88" s="995">
        <v>2.5</v>
      </c>
      <c r="I88" s="995" t="s">
        <v>1767</v>
      </c>
      <c r="J88" s="999"/>
      <c r="K88" s="1068"/>
      <c r="L88" s="1068" t="s">
        <v>2967</v>
      </c>
      <c r="M88" s="1068" t="s">
        <v>1009</v>
      </c>
      <c r="N88" s="1068" t="s">
        <v>1009</v>
      </c>
      <c r="O88" s="1068"/>
      <c r="P88" s="1068"/>
      <c r="Q88" s="1368"/>
      <c r="R88" s="1069"/>
    </row>
    <row r="89" spans="1:18" s="1036" customFormat="1" ht="30" customHeight="1">
      <c r="A89" s="1041"/>
      <c r="B89" s="995"/>
      <c r="C89" s="995"/>
      <c r="D89" s="995"/>
      <c r="E89" s="995"/>
      <c r="F89" s="995"/>
      <c r="G89" s="995"/>
      <c r="H89" s="995"/>
      <c r="I89" s="995"/>
      <c r="J89" s="999">
        <v>379.73899999999998</v>
      </c>
      <c r="K89" s="1068"/>
      <c r="L89" s="1068"/>
      <c r="M89" s="1068"/>
      <c r="N89" s="1068"/>
      <c r="O89" s="1068"/>
      <c r="P89" s="1068"/>
      <c r="Q89" s="1368"/>
      <c r="R89" s="1069"/>
    </row>
    <row r="90" spans="1:18" s="1036" customFormat="1" ht="30" customHeight="1">
      <c r="A90" s="1041">
        <v>42</v>
      </c>
      <c r="B90" s="995" t="s">
        <v>3096</v>
      </c>
      <c r="C90" s="995" t="s">
        <v>1402</v>
      </c>
      <c r="D90" s="995" t="s">
        <v>1956</v>
      </c>
      <c r="E90" s="995">
        <v>1.5</v>
      </c>
      <c r="F90" s="995">
        <v>2.5</v>
      </c>
      <c r="G90" s="995">
        <v>1.5</v>
      </c>
      <c r="H90" s="995">
        <v>1.5</v>
      </c>
      <c r="I90" s="995" t="s">
        <v>1767</v>
      </c>
      <c r="J90" s="999"/>
      <c r="K90" s="1068">
        <f>J87+J89</f>
        <v>739.73900000000003</v>
      </c>
      <c r="L90" s="1068" t="s">
        <v>2967</v>
      </c>
      <c r="M90" s="1068" t="s">
        <v>1009</v>
      </c>
      <c r="N90" s="1068" t="s">
        <v>1009</v>
      </c>
      <c r="O90" s="1068"/>
      <c r="P90" s="1068"/>
      <c r="Q90" s="1068"/>
      <c r="R90" s="1069"/>
    </row>
    <row r="91" spans="1:18" s="1036" customFormat="1" ht="30" customHeight="1">
      <c r="A91" s="1041"/>
      <c r="B91" s="995"/>
      <c r="C91" s="995"/>
      <c r="D91" s="995"/>
      <c r="E91" s="995"/>
      <c r="F91" s="995"/>
      <c r="G91" s="995"/>
      <c r="H91" s="995"/>
      <c r="I91" s="995"/>
      <c r="J91" s="999">
        <v>445.99099999999999</v>
      </c>
      <c r="K91" s="1068"/>
      <c r="L91" s="1068"/>
      <c r="M91" s="1068"/>
      <c r="N91" s="1068"/>
      <c r="O91" s="1068"/>
      <c r="P91" s="1068"/>
      <c r="Q91" s="1068"/>
      <c r="R91" s="1069"/>
    </row>
    <row r="92" spans="1:18" s="1036" customFormat="1" ht="30" customHeight="1">
      <c r="A92" s="1041">
        <v>43</v>
      </c>
      <c r="B92" s="995" t="s">
        <v>3097</v>
      </c>
      <c r="C92" s="995" t="s">
        <v>1957</v>
      </c>
      <c r="D92" s="995" t="s">
        <v>1959</v>
      </c>
      <c r="E92" s="995">
        <v>1.5</v>
      </c>
      <c r="F92" s="995">
        <v>3</v>
      </c>
      <c r="G92" s="995">
        <v>3</v>
      </c>
      <c r="H92" s="995">
        <v>1.5</v>
      </c>
      <c r="I92" s="995" t="s">
        <v>1767</v>
      </c>
      <c r="J92" s="999"/>
      <c r="K92" s="1068">
        <f>J91</f>
        <v>445.99099999999999</v>
      </c>
      <c r="L92" s="1068" t="s">
        <v>2967</v>
      </c>
      <c r="M92" s="1068" t="s">
        <v>1009</v>
      </c>
      <c r="N92" s="1068" t="s">
        <v>1009</v>
      </c>
      <c r="O92" s="1068"/>
      <c r="P92" s="1068"/>
      <c r="Q92" s="1068"/>
      <c r="R92" s="1069"/>
    </row>
    <row r="93" spans="1:18" s="1036" customFormat="1" ht="30" customHeight="1">
      <c r="A93" s="1041"/>
      <c r="B93" s="995"/>
      <c r="C93" s="995"/>
      <c r="D93" s="995"/>
      <c r="E93" s="995"/>
      <c r="F93" s="995"/>
      <c r="G93" s="995"/>
      <c r="H93" s="995"/>
      <c r="I93" s="995"/>
      <c r="J93" s="999">
        <v>373</v>
      </c>
      <c r="K93" s="1068"/>
      <c r="L93" s="1068"/>
      <c r="M93" s="1068"/>
      <c r="N93" s="1068"/>
      <c r="O93" s="1068"/>
      <c r="P93" s="1068"/>
      <c r="Q93" s="1368"/>
      <c r="R93" s="1069"/>
    </row>
    <row r="94" spans="1:18" s="1036" customFormat="1" ht="30" customHeight="1">
      <c r="A94" s="1041">
        <v>44</v>
      </c>
      <c r="B94" s="995" t="s">
        <v>1652</v>
      </c>
      <c r="C94" s="995" t="s">
        <v>76</v>
      </c>
      <c r="D94" s="995"/>
      <c r="E94" s="995">
        <v>1.5</v>
      </c>
      <c r="F94" s="995">
        <v>1.5</v>
      </c>
      <c r="G94" s="995">
        <v>0</v>
      </c>
      <c r="H94" s="995">
        <v>0</v>
      </c>
      <c r="I94" s="995" t="s">
        <v>1767</v>
      </c>
      <c r="J94" s="999"/>
      <c r="K94" s="1068"/>
      <c r="L94" s="995" t="s">
        <v>2967</v>
      </c>
      <c r="M94" s="1068" t="s">
        <v>1009</v>
      </c>
      <c r="N94" s="1068" t="s">
        <v>1009</v>
      </c>
      <c r="O94" s="1068"/>
      <c r="P94" s="1068"/>
      <c r="Q94" s="1368"/>
      <c r="R94" s="1069" t="s">
        <v>3098</v>
      </c>
    </row>
    <row r="95" spans="1:18" s="1036" customFormat="1" ht="30" customHeight="1">
      <c r="A95" s="1041"/>
      <c r="B95" s="995"/>
      <c r="C95" s="995"/>
      <c r="D95" s="995"/>
      <c r="E95" s="995"/>
      <c r="F95" s="995"/>
      <c r="G95" s="995"/>
      <c r="H95" s="995"/>
      <c r="I95" s="995"/>
      <c r="J95" s="999">
        <v>374</v>
      </c>
      <c r="K95" s="1068"/>
      <c r="L95" s="1068"/>
      <c r="M95" s="1068"/>
      <c r="N95" s="1068"/>
      <c r="O95" s="1068"/>
      <c r="P95" s="1068"/>
      <c r="Q95" s="1368"/>
      <c r="R95" s="1069"/>
    </row>
    <row r="96" spans="1:18" s="1036" customFormat="1" ht="30" customHeight="1">
      <c r="A96" s="1041">
        <v>45</v>
      </c>
      <c r="B96" s="995" t="s">
        <v>1653</v>
      </c>
      <c r="C96" s="995" t="s">
        <v>62</v>
      </c>
      <c r="D96" s="995"/>
      <c r="E96" s="995">
        <v>1</v>
      </c>
      <c r="F96" s="995">
        <v>1</v>
      </c>
      <c r="G96" s="995">
        <v>1</v>
      </c>
      <c r="H96" s="995">
        <v>1</v>
      </c>
      <c r="I96" s="995" t="s">
        <v>3349</v>
      </c>
      <c r="J96" s="999"/>
      <c r="K96" s="1068"/>
      <c r="L96" s="995" t="s">
        <v>2967</v>
      </c>
      <c r="M96" s="1068" t="s">
        <v>22</v>
      </c>
      <c r="N96" s="1068"/>
      <c r="O96" s="1068"/>
      <c r="P96" s="1068"/>
      <c r="Q96" s="1368"/>
      <c r="R96" s="1069"/>
    </row>
    <row r="97" spans="1:18" s="1036" customFormat="1" ht="30" customHeight="1">
      <c r="A97" s="1041"/>
      <c r="B97" s="995"/>
      <c r="C97" s="995"/>
      <c r="D97" s="995"/>
      <c r="E97" s="995"/>
      <c r="F97" s="995"/>
      <c r="G97" s="995"/>
      <c r="H97" s="995"/>
      <c r="I97" s="995"/>
      <c r="J97" s="999">
        <v>352</v>
      </c>
      <c r="K97" s="1068"/>
      <c r="L97" s="1068"/>
      <c r="M97" s="1068"/>
      <c r="N97" s="1068"/>
      <c r="O97" s="1068"/>
      <c r="P97" s="1068"/>
      <c r="Q97" s="1368"/>
      <c r="R97" s="1069"/>
    </row>
    <row r="98" spans="1:18" s="1036" customFormat="1" ht="30" customHeight="1">
      <c r="A98" s="1041">
        <v>46</v>
      </c>
      <c r="B98" s="995" t="s">
        <v>1654</v>
      </c>
      <c r="C98" s="995" t="s">
        <v>76</v>
      </c>
      <c r="D98" s="995"/>
      <c r="E98" s="995">
        <v>1.5</v>
      </c>
      <c r="F98" s="995">
        <v>0</v>
      </c>
      <c r="G98" s="995">
        <v>0</v>
      </c>
      <c r="H98" s="995">
        <v>0</v>
      </c>
      <c r="I98" s="995" t="s">
        <v>54</v>
      </c>
      <c r="J98" s="999"/>
      <c r="K98" s="1068"/>
      <c r="L98" s="995" t="s">
        <v>2967</v>
      </c>
      <c r="M98" s="1068" t="s">
        <v>1009</v>
      </c>
      <c r="N98" s="1068"/>
      <c r="O98" s="1068"/>
      <c r="P98" s="1068"/>
      <c r="Q98" s="1368"/>
      <c r="R98" s="1069" t="s">
        <v>3098</v>
      </c>
    </row>
    <row r="99" spans="1:18" s="1036" customFormat="1" ht="30" customHeight="1">
      <c r="A99" s="1041"/>
      <c r="B99" s="995"/>
      <c r="C99" s="995"/>
      <c r="D99" s="995"/>
      <c r="E99" s="995"/>
      <c r="F99" s="995"/>
      <c r="G99" s="995"/>
      <c r="H99" s="995"/>
      <c r="I99" s="995"/>
      <c r="J99" s="999">
        <v>406</v>
      </c>
      <c r="K99" s="1068"/>
      <c r="L99" s="1068"/>
      <c r="M99" s="1068"/>
      <c r="N99" s="1068"/>
      <c r="O99" s="1068"/>
      <c r="P99" s="1068"/>
      <c r="Q99" s="1368"/>
      <c r="R99" s="1069"/>
    </row>
    <row r="100" spans="1:18" s="1036" customFormat="1" ht="30" customHeight="1">
      <c r="A100" s="1041">
        <v>47</v>
      </c>
      <c r="B100" s="995" t="s">
        <v>1655</v>
      </c>
      <c r="C100" s="995" t="s">
        <v>76</v>
      </c>
      <c r="D100" s="995"/>
      <c r="E100" s="995">
        <v>0</v>
      </c>
      <c r="F100" s="995">
        <v>0</v>
      </c>
      <c r="G100" s="995">
        <v>0</v>
      </c>
      <c r="H100" s="995">
        <v>0</v>
      </c>
      <c r="I100" s="995" t="s">
        <v>54</v>
      </c>
      <c r="J100" s="999"/>
      <c r="K100" s="1068"/>
      <c r="L100" s="995" t="s">
        <v>2967</v>
      </c>
      <c r="M100" s="1068" t="s">
        <v>1009</v>
      </c>
      <c r="N100" s="1068" t="s">
        <v>1009</v>
      </c>
      <c r="O100" s="1068" t="s">
        <v>1009</v>
      </c>
      <c r="P100" s="1068"/>
      <c r="Q100" s="1368"/>
      <c r="R100" s="1069"/>
    </row>
    <row r="101" spans="1:18" s="1036" customFormat="1" ht="30" customHeight="1">
      <c r="A101" s="1041"/>
      <c r="B101" s="995"/>
      <c r="C101" s="995"/>
      <c r="D101" s="995"/>
      <c r="E101" s="995"/>
      <c r="F101" s="995"/>
      <c r="G101" s="995"/>
      <c r="H101" s="995"/>
      <c r="I101" s="995"/>
      <c r="J101" s="999">
        <v>352</v>
      </c>
      <c r="K101" s="1068"/>
      <c r="L101" s="1068"/>
      <c r="M101" s="1068"/>
      <c r="N101" s="1068"/>
      <c r="O101" s="1068"/>
      <c r="P101" s="1068"/>
      <c r="Q101" s="1368"/>
      <c r="R101" s="1069"/>
    </row>
    <row r="102" spans="1:18" s="1036" customFormat="1" ht="30" customHeight="1">
      <c r="A102" s="1041">
        <v>48</v>
      </c>
      <c r="B102" s="995" t="s">
        <v>1656</v>
      </c>
      <c r="C102" s="995" t="s">
        <v>76</v>
      </c>
      <c r="D102" s="995"/>
      <c r="E102" s="995">
        <v>0</v>
      </c>
      <c r="F102" s="995">
        <v>0</v>
      </c>
      <c r="G102" s="995">
        <v>0</v>
      </c>
      <c r="H102" s="995">
        <v>0</v>
      </c>
      <c r="I102" s="995" t="s">
        <v>1767</v>
      </c>
      <c r="J102" s="999"/>
      <c r="K102" s="1068"/>
      <c r="L102" s="995" t="s">
        <v>2967</v>
      </c>
      <c r="M102" s="1068" t="s">
        <v>1009</v>
      </c>
      <c r="N102" s="1068" t="s">
        <v>1009</v>
      </c>
      <c r="O102" s="1068" t="s">
        <v>1009</v>
      </c>
      <c r="P102" s="1068"/>
      <c r="Q102" s="1368"/>
      <c r="R102" s="1069"/>
    </row>
    <row r="103" spans="1:18" s="1036" customFormat="1" ht="30" customHeight="1">
      <c r="A103" s="1041"/>
      <c r="B103" s="995"/>
      <c r="C103" s="995"/>
      <c r="D103" s="995"/>
      <c r="E103" s="995"/>
      <c r="F103" s="995"/>
      <c r="G103" s="995"/>
      <c r="H103" s="995"/>
      <c r="I103" s="995"/>
      <c r="J103" s="999">
        <v>340</v>
      </c>
      <c r="K103" s="1068"/>
      <c r="L103" s="1068"/>
      <c r="M103" s="1068"/>
      <c r="N103" s="1068"/>
      <c r="O103" s="1068"/>
      <c r="P103" s="1068"/>
      <c r="Q103" s="1368"/>
      <c r="R103" s="1069"/>
    </row>
    <row r="104" spans="1:18" s="1036" customFormat="1" ht="30" customHeight="1">
      <c r="A104" s="1041">
        <v>49</v>
      </c>
      <c r="B104" s="995" t="s">
        <v>1657</v>
      </c>
      <c r="C104" s="995" t="s">
        <v>62</v>
      </c>
      <c r="D104" s="995"/>
      <c r="E104" s="995">
        <v>0</v>
      </c>
      <c r="F104" s="995">
        <v>0</v>
      </c>
      <c r="G104" s="995">
        <v>0</v>
      </c>
      <c r="H104" s="995">
        <v>0</v>
      </c>
      <c r="I104" s="995" t="s">
        <v>1767</v>
      </c>
      <c r="J104" s="999"/>
      <c r="K104" s="1068"/>
      <c r="L104" s="995" t="s">
        <v>2967</v>
      </c>
      <c r="M104" s="1068" t="s">
        <v>1009</v>
      </c>
      <c r="N104" s="1068" t="s">
        <v>1009</v>
      </c>
      <c r="O104" s="1068" t="s">
        <v>1009</v>
      </c>
      <c r="P104" s="1068"/>
      <c r="Q104" s="1368"/>
      <c r="R104" s="1069"/>
    </row>
    <row r="105" spans="1:18" s="1036" customFormat="1" ht="30" customHeight="1">
      <c r="A105" s="1041"/>
      <c r="B105" s="995"/>
      <c r="C105" s="995"/>
      <c r="D105" s="995"/>
      <c r="E105" s="995"/>
      <c r="F105" s="995"/>
      <c r="G105" s="995"/>
      <c r="H105" s="995"/>
      <c r="I105" s="995"/>
      <c r="J105" s="999">
        <v>376.62900000000002</v>
      </c>
      <c r="K105" s="1068"/>
      <c r="L105" s="1068"/>
      <c r="M105" s="1068"/>
      <c r="N105" s="1068"/>
      <c r="O105" s="1068"/>
      <c r="P105" s="1068"/>
      <c r="Q105" s="1368"/>
      <c r="R105" s="1069"/>
    </row>
    <row r="106" spans="1:18" s="1036" customFormat="1" ht="30" customHeight="1">
      <c r="A106" s="1041">
        <v>50</v>
      </c>
      <c r="B106" s="995" t="s">
        <v>3099</v>
      </c>
      <c r="C106" s="995" t="s">
        <v>1269</v>
      </c>
      <c r="D106" s="995" t="s">
        <v>1962</v>
      </c>
      <c r="E106" s="995">
        <v>0</v>
      </c>
      <c r="F106" s="995">
        <v>0</v>
      </c>
      <c r="G106" s="995">
        <v>0</v>
      </c>
      <c r="H106" s="995">
        <v>0</v>
      </c>
      <c r="I106" s="995" t="s">
        <v>897</v>
      </c>
      <c r="J106" s="999"/>
      <c r="K106" s="1068">
        <f>J93+J95+J97+J99+J101+J103+J105</f>
        <v>2573.6289999999999</v>
      </c>
      <c r="L106" s="995" t="s">
        <v>2967</v>
      </c>
      <c r="M106" s="1068" t="s">
        <v>1009</v>
      </c>
      <c r="N106" s="1068"/>
      <c r="O106" s="1068"/>
      <c r="P106" s="1068"/>
      <c r="Q106" s="1068"/>
      <c r="R106" s="1069"/>
    </row>
    <row r="107" spans="1:18" s="1036" customFormat="1" ht="30" customHeight="1">
      <c r="A107" s="1041"/>
      <c r="B107" s="995"/>
      <c r="C107" s="995"/>
      <c r="D107" s="995"/>
      <c r="E107" s="995"/>
      <c r="F107" s="995"/>
      <c r="G107" s="995"/>
      <c r="H107" s="995"/>
      <c r="I107" s="995"/>
      <c r="J107" s="999">
        <v>423</v>
      </c>
      <c r="K107" s="995"/>
      <c r="L107" s="995"/>
      <c r="M107" s="995"/>
      <c r="N107" s="995"/>
      <c r="O107" s="995"/>
      <c r="P107" s="995"/>
      <c r="Q107" s="1365"/>
      <c r="R107" s="1070"/>
    </row>
    <row r="108" spans="1:18" s="1036" customFormat="1" ht="30" customHeight="1">
      <c r="A108" s="1041">
        <v>51</v>
      </c>
      <c r="B108" s="995" t="s">
        <v>1659</v>
      </c>
      <c r="C108" s="995" t="s">
        <v>53</v>
      </c>
      <c r="D108" s="995"/>
      <c r="E108" s="995">
        <v>0</v>
      </c>
      <c r="F108" s="995">
        <v>0</v>
      </c>
      <c r="G108" s="995">
        <v>0</v>
      </c>
      <c r="H108" s="995">
        <v>0</v>
      </c>
      <c r="I108" s="995"/>
      <c r="J108" s="999"/>
      <c r="K108" s="995"/>
      <c r="L108" s="995" t="s">
        <v>2967</v>
      </c>
      <c r="M108" s="995"/>
      <c r="N108" s="995"/>
      <c r="O108" s="995"/>
      <c r="P108" s="995"/>
      <c r="Q108" s="1365"/>
      <c r="R108" s="1070"/>
    </row>
    <row r="109" spans="1:18" s="1036" customFormat="1" ht="30" customHeight="1">
      <c r="A109" s="1041"/>
      <c r="B109" s="995"/>
      <c r="C109" s="995"/>
      <c r="D109" s="995"/>
      <c r="E109" s="995"/>
      <c r="F109" s="995"/>
      <c r="G109" s="995"/>
      <c r="H109" s="995"/>
      <c r="I109" s="995"/>
      <c r="J109" s="999">
        <v>417</v>
      </c>
      <c r="K109" s="995"/>
      <c r="L109" s="995"/>
      <c r="M109" s="995"/>
      <c r="N109" s="995"/>
      <c r="O109" s="995"/>
      <c r="P109" s="995"/>
      <c r="Q109" s="1365"/>
      <c r="R109" s="1070"/>
    </row>
    <row r="110" spans="1:18" s="1036" customFormat="1" ht="30" customHeight="1">
      <c r="A110" s="1041">
        <v>52</v>
      </c>
      <c r="B110" s="995" t="s">
        <v>658</v>
      </c>
      <c r="C110" s="995" t="s">
        <v>76</v>
      </c>
      <c r="D110" s="995"/>
      <c r="E110" s="995">
        <v>0</v>
      </c>
      <c r="F110" s="995">
        <v>0</v>
      </c>
      <c r="G110" s="995">
        <v>0</v>
      </c>
      <c r="H110" s="995">
        <v>0</v>
      </c>
      <c r="I110" s="995" t="s">
        <v>2768</v>
      </c>
      <c r="J110" s="999"/>
      <c r="K110" s="995"/>
      <c r="L110" s="995" t="s">
        <v>2967</v>
      </c>
      <c r="M110" s="995" t="s">
        <v>1009</v>
      </c>
      <c r="N110" s="995" t="s">
        <v>1009</v>
      </c>
      <c r="O110" s="995"/>
      <c r="P110" s="995"/>
      <c r="Q110" s="1365"/>
      <c r="R110" s="1070"/>
    </row>
    <row r="111" spans="1:18" s="1036" customFormat="1" ht="30" customHeight="1">
      <c r="A111" s="1041"/>
      <c r="B111" s="995"/>
      <c r="C111" s="995"/>
      <c r="D111" s="995"/>
      <c r="E111" s="995"/>
      <c r="F111" s="995"/>
      <c r="G111" s="995"/>
      <c r="H111" s="995"/>
      <c r="I111" s="995"/>
      <c r="J111" s="999">
        <v>415</v>
      </c>
      <c r="K111" s="995"/>
      <c r="L111" s="995"/>
      <c r="M111" s="995"/>
      <c r="N111" s="995"/>
      <c r="O111" s="995"/>
      <c r="P111" s="995"/>
      <c r="Q111" s="1365"/>
      <c r="R111" s="1070"/>
    </row>
    <row r="112" spans="1:18" s="1036" customFormat="1" ht="30" customHeight="1">
      <c r="A112" s="1041">
        <v>53</v>
      </c>
      <c r="B112" s="995" t="s">
        <v>1660</v>
      </c>
      <c r="C112" s="995" t="s">
        <v>53</v>
      </c>
      <c r="D112" s="995"/>
      <c r="E112" s="995">
        <v>0</v>
      </c>
      <c r="F112" s="995">
        <v>0</v>
      </c>
      <c r="G112" s="995">
        <v>0</v>
      </c>
      <c r="H112" s="995">
        <v>0</v>
      </c>
      <c r="I112" s="995" t="s">
        <v>2768</v>
      </c>
      <c r="J112" s="999"/>
      <c r="K112" s="995"/>
      <c r="L112" s="995" t="s">
        <v>2967</v>
      </c>
      <c r="M112" s="995" t="s">
        <v>1009</v>
      </c>
      <c r="N112" s="995" t="s">
        <v>1009</v>
      </c>
      <c r="O112" s="995" t="s">
        <v>1009</v>
      </c>
      <c r="P112" s="995"/>
      <c r="Q112" s="1365"/>
      <c r="R112" s="1070"/>
    </row>
    <row r="113" spans="1:18" s="1036" customFormat="1" ht="30" customHeight="1">
      <c r="A113" s="1041"/>
      <c r="B113" s="995"/>
      <c r="C113" s="995"/>
      <c r="D113" s="995"/>
      <c r="E113" s="995"/>
      <c r="F113" s="995"/>
      <c r="G113" s="995"/>
      <c r="H113" s="995"/>
      <c r="I113" s="995"/>
      <c r="J113" s="999">
        <v>421</v>
      </c>
      <c r="K113" s="995"/>
      <c r="L113" s="995"/>
      <c r="M113" s="995"/>
      <c r="N113" s="995"/>
      <c r="O113" s="995"/>
      <c r="P113" s="995"/>
      <c r="Q113" s="1365"/>
      <c r="R113" s="1070"/>
    </row>
    <row r="114" spans="1:18" s="1036" customFormat="1" ht="30" customHeight="1">
      <c r="A114" s="1041">
        <v>54</v>
      </c>
      <c r="B114" s="995" t="s">
        <v>1963</v>
      </c>
      <c r="C114" s="995" t="s">
        <v>76</v>
      </c>
      <c r="D114" s="995"/>
      <c r="E114" s="995">
        <v>0</v>
      </c>
      <c r="F114" s="995">
        <v>0</v>
      </c>
      <c r="G114" s="995">
        <v>0</v>
      </c>
      <c r="H114" s="995">
        <v>0</v>
      </c>
      <c r="I114" s="995" t="s">
        <v>897</v>
      </c>
      <c r="J114" s="999"/>
      <c r="K114" s="995"/>
      <c r="L114" s="995" t="s">
        <v>2967</v>
      </c>
      <c r="M114" s="995" t="s">
        <v>1009</v>
      </c>
      <c r="N114" s="995" t="s">
        <v>1009</v>
      </c>
      <c r="O114" s="995" t="s">
        <v>1009</v>
      </c>
      <c r="P114" s="995"/>
      <c r="Q114" s="1365"/>
      <c r="R114" s="1070"/>
    </row>
    <row r="115" spans="1:18" s="1036" customFormat="1" ht="30" customHeight="1">
      <c r="A115" s="1041"/>
      <c r="B115" s="995"/>
      <c r="C115" s="995"/>
      <c r="D115" s="995"/>
      <c r="E115" s="995"/>
      <c r="F115" s="995"/>
      <c r="G115" s="995"/>
      <c r="H115" s="995"/>
      <c r="I115" s="995"/>
      <c r="J115" s="999">
        <v>404</v>
      </c>
      <c r="K115" s="995"/>
      <c r="L115" s="995"/>
      <c r="M115" s="995"/>
      <c r="N115" s="995"/>
      <c r="O115" s="995"/>
      <c r="P115" s="995"/>
      <c r="Q115" s="1365"/>
      <c r="R115" s="1070"/>
    </row>
    <row r="116" spans="1:18" s="1036" customFormat="1" ht="30" customHeight="1">
      <c r="A116" s="1041">
        <v>55</v>
      </c>
      <c r="B116" s="995" t="s">
        <v>1964</v>
      </c>
      <c r="C116" s="995" t="s">
        <v>249</v>
      </c>
      <c r="D116" s="995"/>
      <c r="E116" s="995">
        <v>0</v>
      </c>
      <c r="F116" s="995">
        <v>0</v>
      </c>
      <c r="G116" s="995">
        <v>0</v>
      </c>
      <c r="H116" s="995">
        <v>0</v>
      </c>
      <c r="I116" s="995" t="s">
        <v>2768</v>
      </c>
      <c r="J116" s="999"/>
      <c r="K116" s="995"/>
      <c r="L116" s="995" t="s">
        <v>2967</v>
      </c>
      <c r="M116" s="995" t="s">
        <v>1009</v>
      </c>
      <c r="N116" s="995" t="s">
        <v>1009</v>
      </c>
      <c r="O116" s="995" t="s">
        <v>1009</v>
      </c>
      <c r="P116" s="995"/>
      <c r="Q116" s="1365"/>
      <c r="R116" s="1070"/>
    </row>
    <row r="117" spans="1:18" s="1036" customFormat="1" ht="30" customHeight="1">
      <c r="A117" s="1041"/>
      <c r="B117" s="995"/>
      <c r="C117" s="995"/>
      <c r="D117" s="995"/>
      <c r="E117" s="995"/>
      <c r="F117" s="995"/>
      <c r="G117" s="995"/>
      <c r="H117" s="995"/>
      <c r="I117" s="995"/>
      <c r="J117" s="999">
        <v>434.73</v>
      </c>
      <c r="K117" s="995"/>
      <c r="L117" s="995"/>
      <c r="M117" s="995"/>
      <c r="N117" s="995"/>
      <c r="O117" s="995"/>
      <c r="P117" s="995"/>
      <c r="Q117" s="1365"/>
      <c r="R117" s="1070"/>
    </row>
    <row r="118" spans="1:18" s="1036" customFormat="1" ht="30" customHeight="1">
      <c r="A118" s="1041">
        <v>56</v>
      </c>
      <c r="B118" s="995" t="s">
        <v>3100</v>
      </c>
      <c r="C118" s="995" t="s">
        <v>1269</v>
      </c>
      <c r="D118" s="995" t="s">
        <v>1966</v>
      </c>
      <c r="E118" s="995">
        <v>0</v>
      </c>
      <c r="F118" s="995">
        <v>0</v>
      </c>
      <c r="G118" s="995">
        <v>0</v>
      </c>
      <c r="H118" s="995">
        <v>0</v>
      </c>
      <c r="I118" s="995" t="s">
        <v>897</v>
      </c>
      <c r="J118" s="999"/>
      <c r="K118" s="995">
        <f>J107+J109+J111+J113+J115+J117</f>
        <v>2514.73</v>
      </c>
      <c r="L118" s="995" t="s">
        <v>2967</v>
      </c>
      <c r="M118" s="995" t="s">
        <v>1009</v>
      </c>
      <c r="N118" s="995" t="s">
        <v>1009</v>
      </c>
      <c r="O118" s="995"/>
      <c r="P118" s="995"/>
      <c r="Q118" s="995"/>
      <c r="R118" s="1070"/>
    </row>
    <row r="119" spans="1:18" s="1036" customFormat="1" ht="30" customHeight="1">
      <c r="A119" s="1041"/>
      <c r="B119" s="995"/>
      <c r="C119" s="995"/>
      <c r="D119" s="995"/>
      <c r="E119" s="995"/>
      <c r="F119" s="995"/>
      <c r="G119" s="995"/>
      <c r="H119" s="995"/>
      <c r="I119" s="995"/>
      <c r="J119" s="999">
        <v>395</v>
      </c>
      <c r="K119" s="995"/>
      <c r="L119" s="995"/>
      <c r="M119" s="995"/>
      <c r="N119" s="995"/>
      <c r="O119" s="995"/>
      <c r="P119" s="995"/>
      <c r="Q119" s="1365"/>
      <c r="R119" s="1070"/>
    </row>
    <row r="120" spans="1:18" s="1036" customFormat="1" ht="30" customHeight="1">
      <c r="A120" s="1041">
        <v>57</v>
      </c>
      <c r="B120" s="995" t="s">
        <v>1661</v>
      </c>
      <c r="C120" s="995" t="s">
        <v>62</v>
      </c>
      <c r="D120" s="995"/>
      <c r="E120" s="995">
        <v>0</v>
      </c>
      <c r="F120" s="995">
        <v>0</v>
      </c>
      <c r="G120" s="995">
        <v>0</v>
      </c>
      <c r="H120" s="995">
        <v>0</v>
      </c>
      <c r="I120" s="995" t="s">
        <v>2768</v>
      </c>
      <c r="J120" s="999"/>
      <c r="K120" s="995"/>
      <c r="L120" s="995" t="s">
        <v>2967</v>
      </c>
      <c r="M120" s="995" t="s">
        <v>1009</v>
      </c>
      <c r="N120" s="995" t="s">
        <v>1009</v>
      </c>
      <c r="O120" s="995" t="s">
        <v>1009</v>
      </c>
      <c r="P120" s="995"/>
      <c r="Q120" s="1365"/>
      <c r="R120" s="1070"/>
    </row>
    <row r="121" spans="1:18" s="1036" customFormat="1" ht="30" customHeight="1">
      <c r="A121" s="1041"/>
      <c r="B121" s="995"/>
      <c r="C121" s="995"/>
      <c r="D121" s="995"/>
      <c r="E121" s="995"/>
      <c r="F121" s="995"/>
      <c r="G121" s="995"/>
      <c r="H121" s="995"/>
      <c r="I121" s="995"/>
      <c r="J121" s="999">
        <v>385</v>
      </c>
      <c r="K121" s="995"/>
      <c r="L121" s="995"/>
      <c r="M121" s="995"/>
      <c r="N121" s="995"/>
      <c r="O121" s="995"/>
      <c r="P121" s="995"/>
      <c r="Q121" s="1365"/>
      <c r="R121" s="1070"/>
    </row>
    <row r="122" spans="1:18" s="1036" customFormat="1" ht="30" customHeight="1">
      <c r="A122" s="1041">
        <v>58</v>
      </c>
      <c r="B122" s="995" t="s">
        <v>1662</v>
      </c>
      <c r="C122" s="995" t="s">
        <v>76</v>
      </c>
      <c r="D122" s="995"/>
      <c r="E122" s="995">
        <v>0</v>
      </c>
      <c r="F122" s="995">
        <v>0</v>
      </c>
      <c r="G122" s="995">
        <v>0</v>
      </c>
      <c r="H122" s="995">
        <v>0</v>
      </c>
      <c r="I122" s="995" t="s">
        <v>897</v>
      </c>
      <c r="J122" s="999"/>
      <c r="K122" s="995"/>
      <c r="L122" s="995" t="s">
        <v>2967</v>
      </c>
      <c r="M122" s="995" t="s">
        <v>1009</v>
      </c>
      <c r="N122" s="995" t="s">
        <v>1009</v>
      </c>
      <c r="O122" s="995" t="s">
        <v>1009</v>
      </c>
      <c r="P122" s="995"/>
      <c r="Q122" s="1365"/>
      <c r="R122" s="1070"/>
    </row>
    <row r="123" spans="1:18" s="1036" customFormat="1" ht="30" customHeight="1">
      <c r="A123" s="1041"/>
      <c r="B123" s="995"/>
      <c r="C123" s="995"/>
      <c r="D123" s="995"/>
      <c r="E123" s="995"/>
      <c r="F123" s="995"/>
      <c r="G123" s="995"/>
      <c r="H123" s="995"/>
      <c r="I123" s="995"/>
      <c r="J123" s="999">
        <v>395</v>
      </c>
      <c r="K123" s="995"/>
      <c r="L123" s="995"/>
      <c r="M123" s="995"/>
      <c r="N123" s="995"/>
      <c r="O123" s="995"/>
      <c r="P123" s="995"/>
      <c r="Q123" s="1365"/>
      <c r="R123" s="1070"/>
    </row>
    <row r="124" spans="1:18" s="1036" customFormat="1" ht="30" customHeight="1">
      <c r="A124" s="1041">
        <v>59</v>
      </c>
      <c r="B124" s="995" t="s">
        <v>668</v>
      </c>
      <c r="C124" s="995" t="s">
        <v>76</v>
      </c>
      <c r="D124" s="995"/>
      <c r="E124" s="995">
        <v>0</v>
      </c>
      <c r="F124" s="995">
        <v>0</v>
      </c>
      <c r="G124" s="995">
        <v>0</v>
      </c>
      <c r="H124" s="995">
        <v>0</v>
      </c>
      <c r="I124" s="995" t="s">
        <v>2768</v>
      </c>
      <c r="J124" s="999"/>
      <c r="K124" s="995"/>
      <c r="L124" s="995" t="s">
        <v>2967</v>
      </c>
      <c r="M124" s="995" t="s">
        <v>1009</v>
      </c>
      <c r="N124" s="995" t="s">
        <v>1009</v>
      </c>
      <c r="O124" s="995" t="s">
        <v>1009</v>
      </c>
      <c r="P124" s="995"/>
      <c r="Q124" s="1365"/>
      <c r="R124" s="1070"/>
    </row>
    <row r="125" spans="1:18" s="1036" customFormat="1" ht="30" customHeight="1">
      <c r="A125" s="1041"/>
      <c r="B125" s="995"/>
      <c r="C125" s="995"/>
      <c r="D125" s="995"/>
      <c r="E125" s="995"/>
      <c r="F125" s="995"/>
      <c r="G125" s="995"/>
      <c r="H125" s="995"/>
      <c r="I125" s="995"/>
      <c r="J125" s="999">
        <v>390</v>
      </c>
      <c r="K125" s="995"/>
      <c r="L125" s="995"/>
      <c r="M125" s="995"/>
      <c r="N125" s="995"/>
      <c r="O125" s="995"/>
      <c r="P125" s="995"/>
      <c r="Q125" s="1365"/>
      <c r="R125" s="1070"/>
    </row>
    <row r="126" spans="1:18" s="1036" customFormat="1" ht="30" customHeight="1">
      <c r="A126" s="1041">
        <v>60</v>
      </c>
      <c r="B126" s="995" t="s">
        <v>1663</v>
      </c>
      <c r="C126" s="995" t="s">
        <v>62</v>
      </c>
      <c r="D126" s="995"/>
      <c r="E126" s="995">
        <v>0</v>
      </c>
      <c r="F126" s="995">
        <v>0</v>
      </c>
      <c r="G126" s="995">
        <v>0</v>
      </c>
      <c r="H126" s="995">
        <v>0</v>
      </c>
      <c r="I126" s="995" t="s">
        <v>897</v>
      </c>
      <c r="J126" s="999"/>
      <c r="K126" s="995"/>
      <c r="L126" s="995" t="s">
        <v>2967</v>
      </c>
      <c r="M126" s="995" t="s">
        <v>1009</v>
      </c>
      <c r="N126" s="995" t="s">
        <v>1009</v>
      </c>
      <c r="O126" s="995" t="s">
        <v>1009</v>
      </c>
      <c r="P126" s="995"/>
      <c r="Q126" s="1365"/>
      <c r="R126" s="1070"/>
    </row>
    <row r="127" spans="1:18" s="1036" customFormat="1" ht="30" customHeight="1">
      <c r="A127" s="1041"/>
      <c r="B127" s="995"/>
      <c r="C127" s="995"/>
      <c r="D127" s="995"/>
      <c r="E127" s="995"/>
      <c r="F127" s="995"/>
      <c r="G127" s="995"/>
      <c r="H127" s="995"/>
      <c r="I127" s="995"/>
      <c r="J127" s="999">
        <v>420</v>
      </c>
      <c r="K127" s="995"/>
      <c r="L127" s="995"/>
      <c r="M127" s="995"/>
      <c r="N127" s="995"/>
      <c r="O127" s="995"/>
      <c r="P127" s="995"/>
      <c r="Q127" s="1365"/>
      <c r="R127" s="1070"/>
    </row>
    <row r="128" spans="1:18" s="1036" customFormat="1" ht="30" customHeight="1">
      <c r="A128" s="1041">
        <v>61</v>
      </c>
      <c r="B128" s="995" t="s">
        <v>1967</v>
      </c>
      <c r="C128" s="995" t="s">
        <v>62</v>
      </c>
      <c r="D128" s="995"/>
      <c r="E128" s="995">
        <v>0</v>
      </c>
      <c r="F128" s="995">
        <v>0</v>
      </c>
      <c r="G128" s="995">
        <v>0</v>
      </c>
      <c r="H128" s="995">
        <v>0</v>
      </c>
      <c r="I128" s="995" t="s">
        <v>897</v>
      </c>
      <c r="J128" s="999"/>
      <c r="K128" s="995"/>
      <c r="L128" s="995" t="s">
        <v>2967</v>
      </c>
      <c r="M128" s="995" t="s">
        <v>1009</v>
      </c>
      <c r="N128" s="995" t="s">
        <v>1009</v>
      </c>
      <c r="O128" s="995" t="s">
        <v>22</v>
      </c>
      <c r="P128" s="995"/>
      <c r="Q128" s="1365"/>
      <c r="R128" s="1070"/>
    </row>
    <row r="129" spans="1:18" s="1036" customFormat="1" ht="30" customHeight="1">
      <c r="A129" s="1041"/>
      <c r="B129" s="995"/>
      <c r="C129" s="995"/>
      <c r="D129" s="995"/>
      <c r="E129" s="995"/>
      <c r="F129" s="995"/>
      <c r="G129" s="995"/>
      <c r="H129" s="995"/>
      <c r="I129" s="995"/>
      <c r="J129" s="999">
        <v>389.48</v>
      </c>
      <c r="K129" s="995"/>
      <c r="L129" s="995"/>
      <c r="M129" s="995"/>
      <c r="N129" s="995"/>
      <c r="O129" s="995"/>
      <c r="P129" s="995"/>
      <c r="Q129" s="1365"/>
      <c r="R129" s="1070"/>
    </row>
    <row r="130" spans="1:18" s="1036" customFormat="1" ht="30" customHeight="1">
      <c r="A130" s="1041">
        <v>62</v>
      </c>
      <c r="B130" s="995" t="s">
        <v>3101</v>
      </c>
      <c r="C130" s="995" t="s">
        <v>1269</v>
      </c>
      <c r="D130" s="995" t="s">
        <v>1969</v>
      </c>
      <c r="E130" s="995">
        <v>0</v>
      </c>
      <c r="F130" s="995">
        <v>0</v>
      </c>
      <c r="G130" s="995">
        <v>0</v>
      </c>
      <c r="H130" s="995">
        <v>0</v>
      </c>
      <c r="I130" s="995" t="s">
        <v>897</v>
      </c>
      <c r="J130" s="999"/>
      <c r="K130" s="995">
        <f>J119+J121+J123+J125+J127+J129</f>
        <v>2374.48</v>
      </c>
      <c r="L130" s="995" t="s">
        <v>2967</v>
      </c>
      <c r="M130" s="995" t="s">
        <v>1009</v>
      </c>
      <c r="N130" s="995" t="s">
        <v>1009</v>
      </c>
      <c r="O130" s="995" t="s">
        <v>1009</v>
      </c>
      <c r="P130" s="995"/>
      <c r="Q130" s="995"/>
      <c r="R130" s="1070"/>
    </row>
    <row r="131" spans="1:18" s="1036" customFormat="1" ht="30" customHeight="1">
      <c r="A131" s="1041"/>
      <c r="B131" s="995"/>
      <c r="C131" s="995"/>
      <c r="D131" s="995"/>
      <c r="E131" s="995"/>
      <c r="F131" s="995"/>
      <c r="G131" s="995"/>
      <c r="H131" s="995"/>
      <c r="I131" s="995"/>
      <c r="J131" s="999">
        <v>410</v>
      </c>
      <c r="K131" s="995"/>
      <c r="L131" s="995"/>
      <c r="M131" s="995"/>
      <c r="N131" s="995"/>
      <c r="O131" s="995"/>
      <c r="P131" s="995"/>
      <c r="Q131" s="1365"/>
      <c r="R131" s="1070"/>
    </row>
    <row r="132" spans="1:18" s="1036" customFormat="1" ht="30" customHeight="1">
      <c r="A132" s="1041">
        <v>63</v>
      </c>
      <c r="B132" s="995" t="s">
        <v>654</v>
      </c>
      <c r="C132" s="995" t="s">
        <v>53</v>
      </c>
      <c r="D132" s="995"/>
      <c r="E132" s="995">
        <v>0</v>
      </c>
      <c r="F132" s="995">
        <v>0</v>
      </c>
      <c r="G132" s="995">
        <v>0</v>
      </c>
      <c r="H132" s="995">
        <v>0</v>
      </c>
      <c r="I132" s="995" t="s">
        <v>897</v>
      </c>
      <c r="J132" s="999"/>
      <c r="K132" s="995"/>
      <c r="L132" s="995" t="s">
        <v>2967</v>
      </c>
      <c r="M132" s="995" t="s">
        <v>1009</v>
      </c>
      <c r="N132" s="995" t="s">
        <v>1009</v>
      </c>
      <c r="O132" s="995" t="s">
        <v>1009</v>
      </c>
      <c r="P132" s="995"/>
      <c r="Q132" s="1365"/>
      <c r="R132" s="1070"/>
    </row>
    <row r="133" spans="1:18" s="1036" customFormat="1" ht="30" customHeight="1">
      <c r="A133" s="1041"/>
      <c r="B133" s="995"/>
      <c r="C133" s="995"/>
      <c r="D133" s="995"/>
      <c r="E133" s="995"/>
      <c r="F133" s="995"/>
      <c r="G133" s="995"/>
      <c r="H133" s="995"/>
      <c r="I133" s="995"/>
      <c r="J133" s="999">
        <v>426.98399999999998</v>
      </c>
      <c r="K133" s="995"/>
      <c r="L133" s="995"/>
      <c r="M133" s="995"/>
      <c r="N133" s="995"/>
      <c r="O133" s="995"/>
      <c r="P133" s="995"/>
      <c r="Q133" s="1365"/>
      <c r="R133" s="1070"/>
    </row>
    <row r="134" spans="1:18" s="1036" customFormat="1" ht="30" customHeight="1">
      <c r="A134" s="1041">
        <v>64</v>
      </c>
      <c r="B134" s="995" t="s">
        <v>3102</v>
      </c>
      <c r="C134" s="995" t="s">
        <v>1277</v>
      </c>
      <c r="D134" s="995" t="s">
        <v>1971</v>
      </c>
      <c r="E134" s="995">
        <v>0</v>
      </c>
      <c r="F134" s="995">
        <v>0</v>
      </c>
      <c r="G134" s="995">
        <v>0</v>
      </c>
      <c r="H134" s="995">
        <v>0</v>
      </c>
      <c r="I134" s="995" t="s">
        <v>897</v>
      </c>
      <c r="J134" s="999"/>
      <c r="K134" s="995">
        <f>J131+J133</f>
        <v>836.98399999999992</v>
      </c>
      <c r="L134" s="995" t="s">
        <v>2967</v>
      </c>
      <c r="M134" s="995" t="s">
        <v>1009</v>
      </c>
      <c r="N134" s="995" t="s">
        <v>1009</v>
      </c>
      <c r="O134" s="995"/>
      <c r="P134" s="995"/>
      <c r="Q134" s="995"/>
      <c r="R134" s="1070"/>
    </row>
    <row r="135" spans="1:18" s="1036" customFormat="1" ht="30" customHeight="1">
      <c r="A135" s="1041"/>
      <c r="B135" s="995"/>
      <c r="C135" s="995"/>
      <c r="D135" s="995"/>
      <c r="E135" s="995"/>
      <c r="F135" s="995"/>
      <c r="G135" s="995"/>
      <c r="H135" s="995"/>
      <c r="I135" s="995"/>
      <c r="J135" s="999">
        <v>290</v>
      </c>
      <c r="K135" s="995"/>
      <c r="L135" s="995"/>
      <c r="M135" s="995"/>
      <c r="N135" s="995"/>
      <c r="O135" s="995"/>
      <c r="P135" s="995"/>
      <c r="Q135" s="1365"/>
      <c r="R135" s="1070"/>
    </row>
    <row r="136" spans="1:18" s="1036" customFormat="1" ht="30" customHeight="1">
      <c r="A136" s="1041">
        <v>65</v>
      </c>
      <c r="B136" s="995" t="s">
        <v>770</v>
      </c>
      <c r="C136" s="995" t="s">
        <v>76</v>
      </c>
      <c r="D136" s="995"/>
      <c r="E136" s="995">
        <v>0</v>
      </c>
      <c r="F136" s="995">
        <v>0</v>
      </c>
      <c r="G136" s="995">
        <v>0</v>
      </c>
      <c r="H136" s="995">
        <v>0</v>
      </c>
      <c r="I136" s="995" t="s">
        <v>897</v>
      </c>
      <c r="J136" s="999"/>
      <c r="K136" s="995"/>
      <c r="L136" s="995" t="s">
        <v>2967</v>
      </c>
      <c r="M136" s="995" t="s">
        <v>22</v>
      </c>
      <c r="N136" s="995"/>
      <c r="O136" s="995"/>
      <c r="P136" s="995"/>
      <c r="Q136" s="1365"/>
      <c r="R136" s="1070"/>
    </row>
    <row r="137" spans="1:18" s="1036" customFormat="1" ht="30" customHeight="1">
      <c r="A137" s="1041"/>
      <c r="B137" s="995"/>
      <c r="C137" s="995"/>
      <c r="D137" s="995"/>
      <c r="E137" s="995"/>
      <c r="F137" s="995"/>
      <c r="G137" s="995"/>
      <c r="H137" s="995"/>
      <c r="I137" s="995"/>
      <c r="J137" s="999">
        <v>360</v>
      </c>
      <c r="K137" s="995"/>
      <c r="L137" s="995"/>
      <c r="M137" s="995"/>
      <c r="N137" s="995"/>
      <c r="O137" s="995"/>
      <c r="P137" s="995"/>
      <c r="Q137" s="1365"/>
      <c r="R137" s="1070"/>
    </row>
    <row r="138" spans="1:18" s="1036" customFormat="1" ht="30" customHeight="1">
      <c r="A138" s="1041">
        <v>66</v>
      </c>
      <c r="B138" s="995" t="s">
        <v>984</v>
      </c>
      <c r="C138" s="995" t="s">
        <v>76</v>
      </c>
      <c r="D138" s="995"/>
      <c r="E138" s="995">
        <v>0</v>
      </c>
      <c r="F138" s="995">
        <v>0</v>
      </c>
      <c r="G138" s="995">
        <v>0</v>
      </c>
      <c r="H138" s="995">
        <v>0</v>
      </c>
      <c r="I138" s="995" t="s">
        <v>897</v>
      </c>
      <c r="J138" s="999"/>
      <c r="K138" s="995"/>
      <c r="L138" s="995" t="s">
        <v>2967</v>
      </c>
      <c r="M138" s="995" t="s">
        <v>22</v>
      </c>
      <c r="N138" s="995"/>
      <c r="O138" s="995"/>
      <c r="P138" s="995"/>
      <c r="Q138" s="1365"/>
      <c r="R138" s="1070"/>
    </row>
    <row r="139" spans="1:18" s="1036" customFormat="1" ht="30" customHeight="1">
      <c r="A139" s="1041"/>
      <c r="B139" s="995"/>
      <c r="C139" s="995"/>
      <c r="D139" s="995"/>
      <c r="E139" s="995"/>
      <c r="F139" s="995"/>
      <c r="G139" s="995"/>
      <c r="H139" s="995"/>
      <c r="I139" s="995"/>
      <c r="J139" s="999">
        <v>317.8</v>
      </c>
      <c r="K139" s="995"/>
      <c r="L139" s="995"/>
      <c r="M139" s="995"/>
      <c r="N139" s="995"/>
      <c r="O139" s="995"/>
      <c r="P139" s="995"/>
      <c r="Q139" s="1365"/>
      <c r="R139" s="1070"/>
    </row>
    <row r="140" spans="1:18" s="1036" customFormat="1" ht="30" customHeight="1">
      <c r="A140" s="1041">
        <v>67</v>
      </c>
      <c r="B140" s="995" t="s">
        <v>3103</v>
      </c>
      <c r="C140" s="995" t="s">
        <v>1269</v>
      </c>
      <c r="D140" s="995" t="s">
        <v>1973</v>
      </c>
      <c r="E140" s="995">
        <v>0</v>
      </c>
      <c r="F140" s="995">
        <v>0</v>
      </c>
      <c r="G140" s="995">
        <v>0</v>
      </c>
      <c r="H140" s="995">
        <v>0</v>
      </c>
      <c r="I140" s="995"/>
      <c r="J140" s="999"/>
      <c r="K140" s="995">
        <f>J135+J137+J139</f>
        <v>967.8</v>
      </c>
      <c r="L140" s="995"/>
      <c r="M140" s="995"/>
      <c r="N140" s="995"/>
      <c r="O140" s="995"/>
      <c r="P140" s="995"/>
      <c r="Q140" s="995"/>
      <c r="R140" s="1070"/>
    </row>
    <row r="141" spans="1:18" s="1036" customFormat="1" ht="30" customHeight="1">
      <c r="A141" s="1041"/>
      <c r="B141" s="995"/>
      <c r="C141" s="995"/>
      <c r="D141" s="995"/>
      <c r="E141" s="995"/>
      <c r="F141" s="995"/>
      <c r="G141" s="995"/>
      <c r="H141" s="995"/>
      <c r="I141" s="995"/>
      <c r="J141" s="999">
        <v>427.154</v>
      </c>
      <c r="K141" s="995"/>
      <c r="L141" s="995"/>
      <c r="M141" s="995"/>
      <c r="N141" s="995"/>
      <c r="O141" s="995"/>
      <c r="P141" s="995"/>
      <c r="Q141" s="1365"/>
      <c r="R141" s="1070"/>
    </row>
    <row r="142" spans="1:18" s="1036" customFormat="1" ht="30" customHeight="1">
      <c r="A142" s="1041">
        <v>68</v>
      </c>
      <c r="B142" s="995" t="s">
        <v>962</v>
      </c>
      <c r="C142" s="995" t="s">
        <v>53</v>
      </c>
      <c r="D142" s="995"/>
      <c r="E142" s="995">
        <v>0</v>
      </c>
      <c r="F142" s="995">
        <v>0</v>
      </c>
      <c r="G142" s="995">
        <v>0</v>
      </c>
      <c r="H142" s="995">
        <v>0</v>
      </c>
      <c r="I142" s="995"/>
      <c r="J142" s="999"/>
      <c r="K142" s="995"/>
      <c r="L142" s="995"/>
      <c r="M142" s="995"/>
      <c r="N142" s="995"/>
      <c r="O142" s="995"/>
      <c r="P142" s="995"/>
      <c r="Q142" s="1365"/>
      <c r="R142" s="1070"/>
    </row>
    <row r="143" spans="1:18" s="1036" customFormat="1" ht="30" customHeight="1">
      <c r="A143" s="1041"/>
      <c r="B143" s="995"/>
      <c r="C143" s="995"/>
      <c r="D143" s="995"/>
      <c r="E143" s="995"/>
      <c r="F143" s="995"/>
      <c r="G143" s="995"/>
      <c r="H143" s="995"/>
      <c r="I143" s="995"/>
      <c r="J143" s="999">
        <v>392.75299999999999</v>
      </c>
      <c r="K143" s="995"/>
      <c r="L143" s="995"/>
      <c r="M143" s="995"/>
      <c r="N143" s="995"/>
      <c r="O143" s="995"/>
      <c r="P143" s="995"/>
      <c r="Q143" s="1365"/>
      <c r="R143" s="1070"/>
    </row>
    <row r="144" spans="1:18" s="1036" customFormat="1" ht="30" customHeight="1">
      <c r="A144" s="1041">
        <v>69</v>
      </c>
      <c r="B144" s="995" t="s">
        <v>3104</v>
      </c>
      <c r="C144" s="995" t="s">
        <v>1319</v>
      </c>
      <c r="D144" s="995" t="s">
        <v>1975</v>
      </c>
      <c r="E144" s="995">
        <v>2</v>
      </c>
      <c r="F144" s="995">
        <v>2</v>
      </c>
      <c r="G144" s="995">
        <v>2</v>
      </c>
      <c r="H144" s="995">
        <v>2</v>
      </c>
      <c r="I144" s="995" t="s">
        <v>897</v>
      </c>
      <c r="J144" s="999"/>
      <c r="K144" s="995">
        <f>J141+J143</f>
        <v>819.90699999999993</v>
      </c>
      <c r="L144" s="995" t="s">
        <v>2967</v>
      </c>
      <c r="M144" s="995" t="s">
        <v>22</v>
      </c>
      <c r="N144" s="995"/>
      <c r="O144" s="995"/>
      <c r="P144" s="995"/>
      <c r="Q144" s="995"/>
      <c r="R144" s="1070"/>
    </row>
    <row r="145" spans="1:18" s="1036" customFormat="1" ht="30" customHeight="1">
      <c r="A145" s="1041"/>
      <c r="B145" s="995"/>
      <c r="C145" s="995"/>
      <c r="D145" s="995"/>
      <c r="E145" s="995"/>
      <c r="F145" s="995"/>
      <c r="G145" s="995"/>
      <c r="H145" s="995"/>
      <c r="I145" s="995"/>
      <c r="J145" s="999">
        <v>415</v>
      </c>
      <c r="K145" s="995"/>
      <c r="L145" s="995"/>
      <c r="M145" s="995"/>
      <c r="N145" s="995"/>
      <c r="O145" s="995"/>
      <c r="P145" s="995"/>
      <c r="Q145" s="1365"/>
      <c r="R145" s="1070"/>
    </row>
    <row r="146" spans="1:18" s="1036" customFormat="1" ht="30" customHeight="1">
      <c r="A146" s="1041">
        <v>70</v>
      </c>
      <c r="B146" s="995" t="s">
        <v>894</v>
      </c>
      <c r="C146" s="995" t="s">
        <v>53</v>
      </c>
      <c r="D146" s="995"/>
      <c r="E146" s="995">
        <v>0</v>
      </c>
      <c r="F146" s="995">
        <v>0</v>
      </c>
      <c r="G146" s="995">
        <v>0</v>
      </c>
      <c r="H146" s="995">
        <v>0</v>
      </c>
      <c r="I146" s="995"/>
      <c r="J146" s="999"/>
      <c r="K146" s="995"/>
      <c r="L146" s="995"/>
      <c r="M146" s="995"/>
      <c r="N146" s="995"/>
      <c r="O146" s="995"/>
      <c r="P146" s="995"/>
      <c r="Q146" s="1365"/>
      <c r="R146" s="1070"/>
    </row>
    <row r="147" spans="1:18" s="1036" customFormat="1" ht="30" customHeight="1">
      <c r="A147" s="1041"/>
      <c r="B147" s="995"/>
      <c r="C147" s="995"/>
      <c r="D147" s="995"/>
      <c r="E147" s="995"/>
      <c r="F147" s="995"/>
      <c r="G147" s="995"/>
      <c r="H147" s="995"/>
      <c r="I147" s="995"/>
      <c r="J147" s="999">
        <v>405.23399999999998</v>
      </c>
      <c r="K147" s="995"/>
      <c r="L147" s="995"/>
      <c r="M147" s="995"/>
      <c r="N147" s="995"/>
      <c r="O147" s="995"/>
      <c r="P147" s="995"/>
      <c r="Q147" s="1365"/>
      <c r="R147" s="1070"/>
    </row>
    <row r="148" spans="1:18" s="1036" customFormat="1" ht="30" customHeight="1">
      <c r="A148" s="1041">
        <v>71</v>
      </c>
      <c r="B148" s="995" t="s">
        <v>3105</v>
      </c>
      <c r="C148" s="995" t="s">
        <v>1277</v>
      </c>
      <c r="D148" s="995" t="s">
        <v>1978</v>
      </c>
      <c r="E148" s="995">
        <v>0</v>
      </c>
      <c r="F148" s="995">
        <v>0</v>
      </c>
      <c r="G148" s="995">
        <v>0</v>
      </c>
      <c r="H148" s="995">
        <v>0</v>
      </c>
      <c r="I148" s="995"/>
      <c r="J148" s="999"/>
      <c r="K148" s="995">
        <f>J145+J147</f>
        <v>820.23399999999992</v>
      </c>
      <c r="L148" s="995"/>
      <c r="M148" s="995"/>
      <c r="N148" s="995"/>
      <c r="O148" s="995"/>
      <c r="P148" s="995"/>
      <c r="Q148" s="995"/>
      <c r="R148" s="1070"/>
    </row>
    <row r="149" spans="1:18" s="1036" customFormat="1" ht="30" customHeight="1">
      <c r="A149" s="1041"/>
      <c r="B149" s="995"/>
      <c r="C149" s="995"/>
      <c r="D149" s="995"/>
      <c r="E149" s="995"/>
      <c r="F149" s="995"/>
      <c r="G149" s="995"/>
      <c r="H149" s="995"/>
      <c r="I149" s="995"/>
      <c r="J149" s="999">
        <v>439.8</v>
      </c>
      <c r="K149" s="995"/>
      <c r="L149" s="995"/>
      <c r="M149" s="995"/>
      <c r="N149" s="995"/>
      <c r="O149" s="995"/>
      <c r="P149" s="995"/>
      <c r="Q149" s="995"/>
      <c r="R149" s="1070"/>
    </row>
    <row r="150" spans="1:18" s="1036" customFormat="1" ht="30" customHeight="1">
      <c r="A150" s="1041">
        <v>72</v>
      </c>
      <c r="B150" s="995" t="s">
        <v>3106</v>
      </c>
      <c r="C150" s="995" t="s">
        <v>1981</v>
      </c>
      <c r="D150" s="995" t="s">
        <v>1982</v>
      </c>
      <c r="E150" s="995">
        <v>0</v>
      </c>
      <c r="F150" s="995">
        <v>0</v>
      </c>
      <c r="G150" s="995">
        <v>0</v>
      </c>
      <c r="H150" s="995">
        <v>0</v>
      </c>
      <c r="I150" s="995"/>
      <c r="J150" s="999"/>
      <c r="K150" s="995">
        <f>J149</f>
        <v>439.8</v>
      </c>
      <c r="L150" s="995"/>
      <c r="M150" s="995"/>
      <c r="N150" s="995"/>
      <c r="O150" s="995"/>
      <c r="P150" s="995"/>
      <c r="Q150" s="995"/>
      <c r="R150" s="1070"/>
    </row>
    <row r="151" spans="1:18" s="1036" customFormat="1" ht="30" customHeight="1">
      <c r="A151" s="1041"/>
      <c r="B151" s="995"/>
      <c r="C151" s="995"/>
      <c r="D151" s="995"/>
      <c r="E151" s="995"/>
      <c r="F151" s="995"/>
      <c r="G151" s="995"/>
      <c r="H151" s="995"/>
      <c r="I151" s="995"/>
      <c r="J151" s="999">
        <v>376</v>
      </c>
      <c r="K151" s="995"/>
      <c r="L151" s="995"/>
      <c r="M151" s="995"/>
      <c r="N151" s="995"/>
      <c r="O151" s="995"/>
      <c r="P151" s="995"/>
      <c r="Q151" s="1365"/>
      <c r="R151" s="1070"/>
    </row>
    <row r="152" spans="1:18" s="1036" customFormat="1" ht="30" customHeight="1">
      <c r="A152" s="1041">
        <v>73</v>
      </c>
      <c r="B152" s="995" t="s">
        <v>974</v>
      </c>
      <c r="C152" s="995" t="s">
        <v>62</v>
      </c>
      <c r="D152" s="995"/>
      <c r="E152" s="995">
        <v>0</v>
      </c>
      <c r="F152" s="995">
        <v>0</v>
      </c>
      <c r="G152" s="995">
        <v>0</v>
      </c>
      <c r="H152" s="995">
        <v>0</v>
      </c>
      <c r="I152" s="995"/>
      <c r="J152" s="999"/>
      <c r="K152" s="995"/>
      <c r="L152" s="995"/>
      <c r="M152" s="995"/>
      <c r="N152" s="995"/>
      <c r="O152" s="995"/>
      <c r="P152" s="995"/>
      <c r="Q152" s="1365"/>
      <c r="R152" s="1070"/>
    </row>
    <row r="153" spans="1:18" s="1036" customFormat="1" ht="30" customHeight="1">
      <c r="A153" s="1041"/>
      <c r="B153" s="995"/>
      <c r="C153" s="995"/>
      <c r="D153" s="995"/>
      <c r="E153" s="995"/>
      <c r="F153" s="995"/>
      <c r="G153" s="995"/>
      <c r="H153" s="995"/>
      <c r="I153" s="995"/>
      <c r="J153" s="999">
        <v>416</v>
      </c>
      <c r="K153" s="995"/>
      <c r="L153" s="995"/>
      <c r="M153" s="995"/>
      <c r="N153" s="995"/>
      <c r="O153" s="995"/>
      <c r="P153" s="995"/>
      <c r="Q153" s="1365"/>
      <c r="R153" s="1070"/>
    </row>
    <row r="154" spans="1:18" s="1036" customFormat="1" ht="30" customHeight="1">
      <c r="A154" s="1041">
        <v>74</v>
      </c>
      <c r="B154" s="995" t="s">
        <v>814</v>
      </c>
      <c r="C154" s="995" t="s">
        <v>62</v>
      </c>
      <c r="D154" s="995"/>
      <c r="E154" s="995">
        <v>0</v>
      </c>
      <c r="F154" s="995">
        <v>0</v>
      </c>
      <c r="G154" s="995">
        <v>0</v>
      </c>
      <c r="H154" s="995">
        <v>0</v>
      </c>
      <c r="I154" s="995"/>
      <c r="J154" s="999"/>
      <c r="K154" s="995"/>
      <c r="L154" s="995"/>
      <c r="M154" s="995"/>
      <c r="N154" s="995"/>
      <c r="O154" s="995"/>
      <c r="P154" s="995"/>
      <c r="Q154" s="1365"/>
      <c r="R154" s="1070"/>
    </row>
    <row r="155" spans="1:18" s="1036" customFormat="1" ht="30" customHeight="1">
      <c r="A155" s="1041"/>
      <c r="B155" s="995"/>
      <c r="C155" s="995"/>
      <c r="D155" s="995"/>
      <c r="E155" s="995"/>
      <c r="F155" s="995"/>
      <c r="G155" s="995"/>
      <c r="H155" s="995"/>
      <c r="I155" s="995"/>
      <c r="J155" s="999">
        <v>411.4</v>
      </c>
      <c r="K155" s="995"/>
      <c r="L155" s="995"/>
      <c r="M155" s="995"/>
      <c r="N155" s="995"/>
      <c r="O155" s="995"/>
      <c r="P155" s="995"/>
      <c r="Q155" s="1365"/>
      <c r="R155" s="1070"/>
    </row>
    <row r="156" spans="1:18" s="1036" customFormat="1" ht="30" customHeight="1">
      <c r="A156" s="1041">
        <v>75</v>
      </c>
      <c r="B156" s="995" t="s">
        <v>3107</v>
      </c>
      <c r="C156" s="995" t="s">
        <v>1269</v>
      </c>
      <c r="D156" s="995" t="s">
        <v>1987</v>
      </c>
      <c r="E156" s="995">
        <v>0</v>
      </c>
      <c r="F156" s="995">
        <v>0</v>
      </c>
      <c r="G156" s="995">
        <v>0</v>
      </c>
      <c r="H156" s="995">
        <v>0</v>
      </c>
      <c r="I156" s="995"/>
      <c r="J156" s="999"/>
      <c r="K156" s="995">
        <f>J151+J153+J155</f>
        <v>1203.4000000000001</v>
      </c>
      <c r="L156" s="995"/>
      <c r="M156" s="995"/>
      <c r="N156" s="995"/>
      <c r="O156" s="995"/>
      <c r="P156" s="995"/>
      <c r="Q156" s="995"/>
      <c r="R156" s="1070"/>
    </row>
    <row r="157" spans="1:18" s="1036" customFormat="1" ht="30" customHeight="1">
      <c r="A157" s="1041"/>
      <c r="B157" s="995"/>
      <c r="C157" s="995"/>
      <c r="D157" s="995"/>
      <c r="E157" s="995"/>
      <c r="F157" s="995"/>
      <c r="G157" s="995"/>
      <c r="H157" s="995"/>
      <c r="I157" s="995"/>
      <c r="J157" s="999">
        <v>390</v>
      </c>
      <c r="K157" s="995"/>
      <c r="L157" s="995"/>
      <c r="M157" s="995"/>
      <c r="N157" s="995"/>
      <c r="O157" s="995"/>
      <c r="P157" s="995"/>
      <c r="Q157" s="1365"/>
      <c r="R157" s="1070"/>
    </row>
    <row r="158" spans="1:18" s="1036" customFormat="1" ht="30" customHeight="1">
      <c r="A158" s="1041">
        <v>76</v>
      </c>
      <c r="B158" s="995" t="s">
        <v>825</v>
      </c>
      <c r="C158" s="995" t="s">
        <v>62</v>
      </c>
      <c r="D158" s="995"/>
      <c r="E158" s="995">
        <v>0</v>
      </c>
      <c r="F158" s="995">
        <v>0</v>
      </c>
      <c r="G158" s="995">
        <v>0</v>
      </c>
      <c r="H158" s="995">
        <v>0</v>
      </c>
      <c r="I158" s="995"/>
      <c r="J158" s="999"/>
      <c r="K158" s="995"/>
      <c r="L158" s="995"/>
      <c r="M158" s="995"/>
      <c r="N158" s="995"/>
      <c r="O158" s="995"/>
      <c r="P158" s="995"/>
      <c r="Q158" s="1365"/>
      <c r="R158" s="1070"/>
    </row>
    <row r="159" spans="1:18" s="1036" customFormat="1" ht="30" customHeight="1">
      <c r="A159" s="1041"/>
      <c r="B159" s="995"/>
      <c r="C159" s="995"/>
      <c r="D159" s="995"/>
      <c r="E159" s="995"/>
      <c r="F159" s="995"/>
      <c r="G159" s="995"/>
      <c r="H159" s="995"/>
      <c r="I159" s="995"/>
      <c r="J159" s="999">
        <v>385.27199999999999</v>
      </c>
      <c r="K159" s="995"/>
      <c r="L159" s="995"/>
      <c r="M159" s="995"/>
      <c r="N159" s="995"/>
      <c r="O159" s="995"/>
      <c r="P159" s="995"/>
      <c r="Q159" s="1365"/>
      <c r="R159" s="1070"/>
    </row>
    <row r="160" spans="1:18" s="1036" customFormat="1" ht="30" customHeight="1">
      <c r="A160" s="1041">
        <v>77</v>
      </c>
      <c r="B160" s="995" t="s">
        <v>3108</v>
      </c>
      <c r="C160" s="995" t="s">
        <v>1269</v>
      </c>
      <c r="D160" s="995" t="s">
        <v>1988</v>
      </c>
      <c r="E160" s="995">
        <v>0</v>
      </c>
      <c r="F160" s="995">
        <v>0</v>
      </c>
      <c r="G160" s="995">
        <v>0</v>
      </c>
      <c r="H160" s="995">
        <v>0</v>
      </c>
      <c r="I160" s="995"/>
      <c r="J160" s="999"/>
      <c r="K160" s="995">
        <f>J157+J159</f>
        <v>775.27199999999993</v>
      </c>
      <c r="L160" s="995"/>
      <c r="M160" s="995"/>
      <c r="N160" s="995"/>
      <c r="O160" s="995"/>
      <c r="P160" s="995"/>
      <c r="Q160" s="995"/>
      <c r="R160" s="1070"/>
    </row>
    <row r="161" spans="1:18" s="1036" customFormat="1" ht="30" customHeight="1">
      <c r="A161" s="1041"/>
      <c r="B161" s="995"/>
      <c r="C161" s="995"/>
      <c r="D161" s="995"/>
      <c r="E161" s="995"/>
      <c r="F161" s="995"/>
      <c r="G161" s="995"/>
      <c r="H161" s="995"/>
      <c r="I161" s="995"/>
      <c r="J161" s="999">
        <v>399.20600000000002</v>
      </c>
      <c r="K161" s="995"/>
      <c r="L161" s="995"/>
      <c r="M161" s="995"/>
      <c r="N161" s="995"/>
      <c r="O161" s="995"/>
      <c r="P161" s="995"/>
      <c r="Q161" s="1365"/>
      <c r="R161" s="1070"/>
    </row>
    <row r="162" spans="1:18" s="1036" customFormat="1" ht="30" customHeight="1">
      <c r="A162" s="1041">
        <v>78</v>
      </c>
      <c r="B162" s="995" t="s">
        <v>829</v>
      </c>
      <c r="C162" s="995" t="s">
        <v>62</v>
      </c>
      <c r="D162" s="995"/>
      <c r="E162" s="995">
        <v>0</v>
      </c>
      <c r="F162" s="995">
        <v>0</v>
      </c>
      <c r="G162" s="995">
        <v>0</v>
      </c>
      <c r="H162" s="995">
        <v>0</v>
      </c>
      <c r="I162" s="995" t="s">
        <v>1767</v>
      </c>
      <c r="J162" s="999"/>
      <c r="K162" s="995"/>
      <c r="L162" s="995"/>
      <c r="M162" s="995"/>
      <c r="N162" s="995"/>
      <c r="O162" s="995"/>
      <c r="P162" s="995"/>
      <c r="Q162" s="1365"/>
      <c r="R162" s="1070"/>
    </row>
    <row r="163" spans="1:18" s="1036" customFormat="1" ht="30" customHeight="1">
      <c r="A163" s="1041"/>
      <c r="B163" s="995"/>
      <c r="C163" s="995"/>
      <c r="D163" s="995"/>
      <c r="E163" s="995"/>
      <c r="F163" s="995"/>
      <c r="G163" s="995"/>
      <c r="H163" s="995"/>
      <c r="I163" s="995"/>
      <c r="J163" s="999">
        <v>407.48700000000002</v>
      </c>
      <c r="K163" s="995"/>
      <c r="L163" s="995"/>
      <c r="M163" s="995"/>
      <c r="N163" s="995"/>
      <c r="O163" s="995"/>
      <c r="P163" s="995"/>
      <c r="Q163" s="1365"/>
      <c r="R163" s="1070"/>
    </row>
    <row r="164" spans="1:18" s="1036" customFormat="1" ht="30" customHeight="1">
      <c r="A164" s="1041">
        <v>79</v>
      </c>
      <c r="B164" s="995" t="s">
        <v>965</v>
      </c>
      <c r="C164" s="995" t="s">
        <v>76</v>
      </c>
      <c r="D164" s="995"/>
      <c r="E164" s="995">
        <v>0</v>
      </c>
      <c r="F164" s="995">
        <v>0</v>
      </c>
      <c r="G164" s="995">
        <v>0</v>
      </c>
      <c r="H164" s="995">
        <v>0</v>
      </c>
      <c r="I164" s="995" t="s">
        <v>897</v>
      </c>
      <c r="J164" s="999"/>
      <c r="K164" s="995"/>
      <c r="L164" s="995" t="s">
        <v>2967</v>
      </c>
      <c r="M164" s="995" t="s">
        <v>1009</v>
      </c>
      <c r="N164" s="995" t="s">
        <v>1009</v>
      </c>
      <c r="O164" s="995" t="s">
        <v>1009</v>
      </c>
      <c r="P164" s="995"/>
      <c r="Q164" s="1365"/>
      <c r="R164" s="1070"/>
    </row>
    <row r="165" spans="1:18" s="1036" customFormat="1" ht="30" customHeight="1">
      <c r="A165" s="1041"/>
      <c r="B165" s="995"/>
      <c r="C165" s="995"/>
      <c r="D165" s="995"/>
      <c r="E165" s="995"/>
      <c r="F165" s="995"/>
      <c r="G165" s="995"/>
      <c r="H165" s="995"/>
      <c r="I165" s="995"/>
      <c r="J165" s="999">
        <v>403.2</v>
      </c>
      <c r="K165" s="995"/>
      <c r="L165" s="995"/>
      <c r="M165" s="995"/>
      <c r="N165" s="995"/>
      <c r="O165" s="995"/>
      <c r="P165" s="995"/>
      <c r="Q165" s="1365"/>
      <c r="R165" s="1070"/>
    </row>
    <row r="166" spans="1:18" s="1036" customFormat="1" ht="30" customHeight="1">
      <c r="A166" s="1041">
        <v>80</v>
      </c>
      <c r="B166" s="995" t="s">
        <v>3109</v>
      </c>
      <c r="C166" s="995" t="s">
        <v>1361</v>
      </c>
      <c r="D166" s="995" t="s">
        <v>1990</v>
      </c>
      <c r="E166" s="995">
        <v>0</v>
      </c>
      <c r="F166" s="995">
        <v>0</v>
      </c>
      <c r="G166" s="995">
        <v>0</v>
      </c>
      <c r="H166" s="995">
        <v>0</v>
      </c>
      <c r="I166" s="995" t="s">
        <v>2768</v>
      </c>
      <c r="J166" s="999"/>
      <c r="K166" s="995">
        <f>J161+J163+J165</f>
        <v>1209.893</v>
      </c>
      <c r="L166" s="995" t="s">
        <v>2967</v>
      </c>
      <c r="M166" s="995" t="s">
        <v>1009</v>
      </c>
      <c r="N166" s="995" t="s">
        <v>1009</v>
      </c>
      <c r="O166" s="995" t="s">
        <v>22</v>
      </c>
      <c r="P166" s="995"/>
      <c r="Q166" s="995"/>
      <c r="R166" s="1070"/>
    </row>
    <row r="167" spans="1:18" s="1036" customFormat="1" ht="30" customHeight="1">
      <c r="A167" s="1041"/>
      <c r="B167" s="995"/>
      <c r="C167" s="995"/>
      <c r="D167" s="995"/>
      <c r="E167" s="995"/>
      <c r="F167" s="995"/>
      <c r="G167" s="995"/>
      <c r="H167" s="995"/>
      <c r="I167" s="995"/>
      <c r="J167" s="999">
        <v>429.65300000000002</v>
      </c>
      <c r="K167" s="995"/>
      <c r="L167" s="995"/>
      <c r="M167" s="995"/>
      <c r="N167" s="995"/>
      <c r="O167" s="995"/>
      <c r="P167" s="995"/>
      <c r="Q167" s="1365"/>
      <c r="R167" s="1070"/>
    </row>
    <row r="168" spans="1:18" s="1036" customFormat="1" ht="30" customHeight="1">
      <c r="A168" s="1041">
        <v>81</v>
      </c>
      <c r="B168" s="995" t="s">
        <v>964</v>
      </c>
      <c r="C168" s="995" t="s">
        <v>62</v>
      </c>
      <c r="D168" s="995"/>
      <c r="E168" s="995">
        <v>0</v>
      </c>
      <c r="F168" s="995">
        <v>0</v>
      </c>
      <c r="G168" s="995">
        <v>0</v>
      </c>
      <c r="H168" s="995">
        <v>0</v>
      </c>
      <c r="I168" s="995" t="s">
        <v>1767</v>
      </c>
      <c r="J168" s="999"/>
      <c r="K168" s="995"/>
      <c r="L168" s="995" t="s">
        <v>2967</v>
      </c>
      <c r="M168" s="995" t="s">
        <v>1009</v>
      </c>
      <c r="N168" s="995" t="s">
        <v>1009</v>
      </c>
      <c r="O168" s="995" t="s">
        <v>1009</v>
      </c>
      <c r="P168" s="995"/>
      <c r="Q168" s="1365"/>
      <c r="R168" s="1070"/>
    </row>
    <row r="169" spans="1:18" s="1036" customFormat="1" ht="30" customHeight="1">
      <c r="A169" s="1041"/>
      <c r="B169" s="995"/>
      <c r="C169" s="995"/>
      <c r="D169" s="995"/>
      <c r="E169" s="995"/>
      <c r="F169" s="995"/>
      <c r="G169" s="995"/>
      <c r="H169" s="995"/>
      <c r="I169" s="995"/>
      <c r="J169" s="999">
        <v>400.3</v>
      </c>
      <c r="K169" s="995"/>
      <c r="L169" s="995"/>
      <c r="M169" s="995"/>
      <c r="N169" s="995"/>
      <c r="O169" s="995"/>
      <c r="P169" s="995"/>
      <c r="Q169" s="1365"/>
      <c r="R169" s="1070"/>
    </row>
    <row r="170" spans="1:18" s="1036" customFormat="1" ht="30" customHeight="1">
      <c r="A170" s="1041">
        <v>82</v>
      </c>
      <c r="B170" s="995" t="s">
        <v>834</v>
      </c>
      <c r="C170" s="995" t="s">
        <v>62</v>
      </c>
      <c r="D170" s="995"/>
      <c r="E170" s="995">
        <v>0</v>
      </c>
      <c r="F170" s="995">
        <v>0</v>
      </c>
      <c r="G170" s="995">
        <v>0</v>
      </c>
      <c r="H170" s="995">
        <v>0</v>
      </c>
      <c r="I170" s="995"/>
      <c r="J170" s="999"/>
      <c r="K170" s="995"/>
      <c r="L170" s="995"/>
      <c r="M170" s="995"/>
      <c r="N170" s="995"/>
      <c r="O170" s="995"/>
      <c r="P170" s="995"/>
      <c r="Q170" s="1365"/>
      <c r="R170" s="1070"/>
    </row>
    <row r="171" spans="1:18" s="1036" customFormat="1" ht="30" customHeight="1">
      <c r="A171" s="1041"/>
      <c r="B171" s="995"/>
      <c r="C171" s="995"/>
      <c r="D171" s="995"/>
      <c r="E171" s="995"/>
      <c r="F171" s="995"/>
      <c r="G171" s="995"/>
      <c r="H171" s="995"/>
      <c r="I171" s="995"/>
      <c r="J171" s="999">
        <v>414.63</v>
      </c>
      <c r="K171" s="995"/>
      <c r="L171" s="995"/>
      <c r="M171" s="995"/>
      <c r="N171" s="995"/>
      <c r="O171" s="995"/>
      <c r="P171" s="995"/>
      <c r="Q171" s="1365"/>
      <c r="R171" s="1070"/>
    </row>
    <row r="172" spans="1:18" s="1036" customFormat="1" ht="30" customHeight="1">
      <c r="A172" s="1041">
        <v>83</v>
      </c>
      <c r="B172" s="995" t="s">
        <v>816</v>
      </c>
      <c r="C172" s="995" t="s">
        <v>90</v>
      </c>
      <c r="D172" s="995"/>
      <c r="E172" s="995">
        <v>0</v>
      </c>
      <c r="F172" s="995">
        <v>0</v>
      </c>
      <c r="G172" s="995">
        <v>0</v>
      </c>
      <c r="H172" s="995">
        <v>0</v>
      </c>
      <c r="I172" s="995"/>
      <c r="J172" s="999"/>
      <c r="K172" s="995"/>
      <c r="L172" s="995"/>
      <c r="M172" s="995"/>
      <c r="N172" s="995"/>
      <c r="O172" s="995"/>
      <c r="P172" s="995"/>
      <c r="Q172" s="1365"/>
      <c r="R172" s="1070"/>
    </row>
    <row r="173" spans="1:18" s="1036" customFormat="1" ht="30" customHeight="1">
      <c r="A173" s="1041"/>
      <c r="B173" s="995"/>
      <c r="C173" s="995"/>
      <c r="D173" s="995"/>
      <c r="E173" s="995"/>
      <c r="F173" s="995"/>
      <c r="G173" s="995"/>
      <c r="H173" s="995"/>
      <c r="I173" s="995"/>
      <c r="J173" s="999">
        <v>515.89</v>
      </c>
      <c r="K173" s="995"/>
      <c r="L173" s="995"/>
      <c r="M173" s="995"/>
      <c r="N173" s="995"/>
      <c r="O173" s="995"/>
      <c r="P173" s="995"/>
      <c r="Q173" s="995"/>
      <c r="R173" s="1070"/>
    </row>
    <row r="174" spans="1:18" s="1036" customFormat="1" ht="30" customHeight="1">
      <c r="A174" s="1041">
        <v>84</v>
      </c>
      <c r="B174" s="995" t="s">
        <v>3110</v>
      </c>
      <c r="C174" s="995" t="s">
        <v>2027</v>
      </c>
      <c r="D174" s="995" t="s">
        <v>1993</v>
      </c>
      <c r="E174" s="995"/>
      <c r="F174" s="995"/>
      <c r="G174" s="995"/>
      <c r="H174" s="995"/>
      <c r="I174" s="995"/>
      <c r="J174" s="999"/>
      <c r="K174" s="995">
        <f>J167+J169+J171+J173</f>
        <v>1760.473</v>
      </c>
      <c r="L174" s="995"/>
      <c r="M174" s="995"/>
      <c r="N174" s="995"/>
      <c r="O174" s="995"/>
      <c r="P174" s="995"/>
      <c r="Q174" s="995"/>
      <c r="R174" s="1070"/>
    </row>
    <row r="175" spans="1:18" s="1036" customFormat="1" ht="30" customHeight="1">
      <c r="A175" s="1041"/>
      <c r="B175" s="995"/>
      <c r="C175" s="995"/>
      <c r="D175" s="995"/>
      <c r="E175" s="995"/>
      <c r="F175" s="995"/>
      <c r="G175" s="995"/>
      <c r="H175" s="995"/>
      <c r="I175" s="995"/>
      <c r="J175" s="999">
        <v>212.44300000000001</v>
      </c>
      <c r="K175" s="995"/>
      <c r="L175" s="995"/>
      <c r="M175" s="995"/>
      <c r="N175" s="995"/>
      <c r="O175" s="995"/>
      <c r="P175" s="995"/>
      <c r="Q175" s="995"/>
      <c r="R175" s="1070"/>
    </row>
    <row r="176" spans="1:18" s="1036" customFormat="1" ht="30" customHeight="1">
      <c r="A176" s="1041">
        <v>85</v>
      </c>
      <c r="B176" s="995" t="s">
        <v>3111</v>
      </c>
      <c r="C176" s="995" t="s">
        <v>2027</v>
      </c>
      <c r="D176" s="995" t="s">
        <v>1995</v>
      </c>
      <c r="E176" s="995"/>
      <c r="F176" s="995"/>
      <c r="G176" s="995"/>
      <c r="H176" s="995"/>
      <c r="I176" s="995"/>
      <c r="J176" s="999"/>
      <c r="K176" s="1043">
        <f>J175</f>
        <v>212.44300000000001</v>
      </c>
      <c r="L176" s="1043"/>
      <c r="M176" s="1043"/>
      <c r="N176" s="1043"/>
      <c r="O176" s="1043"/>
      <c r="P176" s="1043"/>
      <c r="Q176" s="1043"/>
      <c r="R176" s="1045"/>
    </row>
    <row r="177" spans="1:18" s="1036" customFormat="1" ht="30" customHeight="1">
      <c r="A177" s="1041"/>
      <c r="B177" s="995"/>
      <c r="C177" s="995"/>
      <c r="D177" s="995"/>
      <c r="E177" s="995"/>
      <c r="F177" s="995"/>
      <c r="G177" s="995"/>
      <c r="H177" s="995"/>
      <c r="I177" s="995"/>
      <c r="J177" s="999">
        <v>459.99900000000002</v>
      </c>
      <c r="K177" s="995"/>
      <c r="L177" s="995"/>
      <c r="M177" s="995"/>
      <c r="N177" s="995"/>
      <c r="O177" s="995"/>
      <c r="P177" s="995"/>
      <c r="Q177" s="1365"/>
      <c r="R177" s="1070"/>
    </row>
    <row r="178" spans="1:18" s="1036" customFormat="1" ht="30" customHeight="1">
      <c r="A178" s="1041">
        <v>86</v>
      </c>
      <c r="B178" s="995" t="s">
        <v>1015</v>
      </c>
      <c r="C178" s="995" t="s">
        <v>76</v>
      </c>
      <c r="D178" s="995"/>
      <c r="E178" s="995">
        <v>0</v>
      </c>
      <c r="F178" s="995">
        <v>0</v>
      </c>
      <c r="G178" s="995">
        <v>0</v>
      </c>
      <c r="H178" s="995">
        <v>0</v>
      </c>
      <c r="I178" s="995"/>
      <c r="J178" s="999"/>
      <c r="K178" s="995"/>
      <c r="L178" s="995"/>
      <c r="M178" s="995"/>
      <c r="N178" s="995"/>
      <c r="O178" s="995"/>
      <c r="P178" s="995"/>
      <c r="Q178" s="1365"/>
      <c r="R178" s="1070"/>
    </row>
    <row r="179" spans="1:18" s="1036" customFormat="1" ht="30" customHeight="1">
      <c r="A179" s="1041"/>
      <c r="B179" s="995"/>
      <c r="C179" s="995"/>
      <c r="D179" s="995"/>
      <c r="E179" s="995"/>
      <c r="F179" s="995"/>
      <c r="G179" s="995"/>
      <c r="H179" s="995"/>
      <c r="I179" s="995"/>
      <c r="J179" s="999">
        <v>260</v>
      </c>
      <c r="K179" s="995"/>
      <c r="L179" s="995"/>
      <c r="M179" s="995"/>
      <c r="N179" s="995"/>
      <c r="O179" s="995"/>
      <c r="P179" s="995"/>
      <c r="Q179" s="1365"/>
      <c r="R179" s="1070"/>
    </row>
    <row r="180" spans="1:18" s="1036" customFormat="1" ht="30" customHeight="1">
      <c r="A180" s="1041">
        <v>87</v>
      </c>
      <c r="B180" s="995" t="s">
        <v>1016</v>
      </c>
      <c r="C180" s="995" t="s">
        <v>76</v>
      </c>
      <c r="D180" s="995"/>
      <c r="E180" s="995">
        <v>0</v>
      </c>
      <c r="F180" s="995">
        <v>0</v>
      </c>
      <c r="G180" s="995">
        <v>0</v>
      </c>
      <c r="H180" s="995">
        <v>0</v>
      </c>
      <c r="I180" s="995"/>
      <c r="J180" s="999"/>
      <c r="K180" s="995"/>
      <c r="L180" s="995"/>
      <c r="M180" s="995"/>
      <c r="N180" s="995"/>
      <c r="O180" s="995"/>
      <c r="P180" s="995"/>
      <c r="Q180" s="1365"/>
      <c r="R180" s="1070"/>
    </row>
    <row r="181" spans="1:18" s="1036" customFormat="1" ht="30" customHeight="1">
      <c r="A181" s="1041"/>
      <c r="B181" s="995"/>
      <c r="C181" s="995"/>
      <c r="D181" s="995"/>
      <c r="E181" s="995"/>
      <c r="F181" s="995"/>
      <c r="G181" s="995"/>
      <c r="H181" s="995"/>
      <c r="I181" s="995"/>
      <c r="J181" s="999">
        <v>330</v>
      </c>
      <c r="K181" s="995"/>
      <c r="L181" s="995"/>
      <c r="M181" s="995"/>
      <c r="N181" s="995"/>
      <c r="O181" s="995"/>
      <c r="P181" s="995"/>
      <c r="Q181" s="1365"/>
      <c r="R181" s="1070"/>
    </row>
    <row r="182" spans="1:18" s="1036" customFormat="1" ht="30" customHeight="1">
      <c r="A182" s="1041">
        <v>88</v>
      </c>
      <c r="B182" s="995" t="s">
        <v>1017</v>
      </c>
      <c r="C182" s="995" t="s">
        <v>76</v>
      </c>
      <c r="D182" s="995"/>
      <c r="E182" s="995">
        <v>0</v>
      </c>
      <c r="F182" s="995">
        <v>0</v>
      </c>
      <c r="G182" s="995">
        <v>0</v>
      </c>
      <c r="H182" s="995">
        <v>0</v>
      </c>
      <c r="I182" s="995"/>
      <c r="J182" s="999"/>
      <c r="K182" s="995"/>
      <c r="L182" s="995"/>
      <c r="M182" s="995"/>
      <c r="N182" s="995"/>
      <c r="O182" s="995"/>
      <c r="P182" s="995"/>
      <c r="Q182" s="1365"/>
      <c r="R182" s="1070"/>
    </row>
    <row r="183" spans="1:18" s="1036" customFormat="1" ht="30" customHeight="1">
      <c r="A183" s="1041"/>
      <c r="B183" s="995"/>
      <c r="C183" s="995"/>
      <c r="D183" s="995"/>
      <c r="E183" s="995"/>
      <c r="F183" s="995"/>
      <c r="G183" s="995"/>
      <c r="H183" s="995"/>
      <c r="I183" s="995"/>
      <c r="J183" s="999">
        <v>311.04000000000002</v>
      </c>
      <c r="K183" s="995"/>
      <c r="L183" s="995"/>
      <c r="M183" s="995"/>
      <c r="N183" s="995"/>
      <c r="O183" s="995"/>
      <c r="P183" s="995"/>
      <c r="Q183" s="1365"/>
      <c r="R183" s="1070"/>
    </row>
    <row r="184" spans="1:18" s="1036" customFormat="1" ht="30" customHeight="1">
      <c r="A184" s="1041">
        <v>89</v>
      </c>
      <c r="B184" s="995" t="s">
        <v>3112</v>
      </c>
      <c r="C184" s="995" t="s">
        <v>1999</v>
      </c>
      <c r="D184" s="995" t="s">
        <v>2000</v>
      </c>
      <c r="E184" s="995">
        <v>0</v>
      </c>
      <c r="F184" s="995">
        <v>0</v>
      </c>
      <c r="G184" s="995">
        <v>0</v>
      </c>
      <c r="H184" s="995">
        <v>0</v>
      </c>
      <c r="I184" s="995" t="s">
        <v>1767</v>
      </c>
      <c r="J184" s="999"/>
      <c r="K184" s="1043">
        <f>J177+J179+J181+J183</f>
        <v>1361.039</v>
      </c>
      <c r="L184" s="1043" t="s">
        <v>2967</v>
      </c>
      <c r="M184" s="1043" t="s">
        <v>1009</v>
      </c>
      <c r="N184" s="1043" t="s">
        <v>1009</v>
      </c>
      <c r="O184" s="1043"/>
      <c r="P184" s="1043"/>
      <c r="Q184" s="1043"/>
      <c r="R184" s="1045"/>
    </row>
    <row r="185" spans="1:18" s="1036" customFormat="1" ht="30" customHeight="1">
      <c r="A185" s="1041"/>
      <c r="B185" s="995"/>
      <c r="C185" s="995"/>
      <c r="D185" s="995"/>
      <c r="E185" s="995"/>
      <c r="F185" s="995"/>
      <c r="G185" s="995"/>
      <c r="H185" s="995"/>
      <c r="I185" s="995"/>
      <c r="J185" s="999">
        <v>408.94799999999998</v>
      </c>
      <c r="K185" s="995"/>
      <c r="L185" s="995"/>
      <c r="M185" s="995"/>
      <c r="N185" s="995"/>
      <c r="O185" s="995"/>
      <c r="P185" s="995"/>
      <c r="Q185" s="1365"/>
      <c r="R185" s="1070"/>
    </row>
    <row r="186" spans="1:18" s="1036" customFormat="1" ht="30" customHeight="1">
      <c r="A186" s="1041">
        <v>90</v>
      </c>
      <c r="B186" s="995" t="s">
        <v>765</v>
      </c>
      <c r="C186" s="995" t="s">
        <v>53</v>
      </c>
      <c r="D186" s="995"/>
      <c r="E186" s="995">
        <v>0</v>
      </c>
      <c r="F186" s="995">
        <v>0</v>
      </c>
      <c r="G186" s="995">
        <v>0</v>
      </c>
      <c r="H186" s="995">
        <v>0</v>
      </c>
      <c r="I186" s="995" t="s">
        <v>897</v>
      </c>
      <c r="J186" s="999"/>
      <c r="K186" s="995"/>
      <c r="L186" s="995" t="s">
        <v>2967</v>
      </c>
      <c r="M186" s="995" t="s">
        <v>1009</v>
      </c>
      <c r="N186" s="995" t="s">
        <v>1009</v>
      </c>
      <c r="O186" s="995"/>
      <c r="P186" s="995"/>
      <c r="Q186" s="1365"/>
      <c r="R186" s="1070"/>
    </row>
    <row r="187" spans="1:18" s="1036" customFormat="1" ht="30" customHeight="1">
      <c r="A187" s="1041"/>
      <c r="B187" s="995"/>
      <c r="C187" s="995"/>
      <c r="D187" s="995"/>
      <c r="E187" s="995"/>
      <c r="F187" s="995"/>
      <c r="G187" s="995"/>
      <c r="H187" s="995"/>
      <c r="I187" s="995"/>
      <c r="J187" s="999">
        <v>371.34500000000003</v>
      </c>
      <c r="K187" s="995"/>
      <c r="L187" s="995"/>
      <c r="M187" s="995"/>
      <c r="N187" s="995"/>
      <c r="O187" s="995"/>
      <c r="P187" s="995"/>
      <c r="Q187" s="1365"/>
      <c r="R187" s="1070"/>
    </row>
    <row r="188" spans="1:18" s="1036" customFormat="1" ht="30" customHeight="1">
      <c r="A188" s="1041">
        <v>91</v>
      </c>
      <c r="B188" s="995" t="s">
        <v>801</v>
      </c>
      <c r="C188" s="995" t="s">
        <v>76</v>
      </c>
      <c r="D188" s="995"/>
      <c r="E188" s="995">
        <v>0</v>
      </c>
      <c r="F188" s="995">
        <v>0</v>
      </c>
      <c r="G188" s="995">
        <v>0</v>
      </c>
      <c r="H188" s="995">
        <v>0</v>
      </c>
      <c r="I188" s="995" t="s">
        <v>897</v>
      </c>
      <c r="J188" s="999"/>
      <c r="K188" s="995"/>
      <c r="L188" s="995" t="s">
        <v>2967</v>
      </c>
      <c r="M188" s="995" t="s">
        <v>1009</v>
      </c>
      <c r="N188" s="995" t="s">
        <v>1009</v>
      </c>
      <c r="O188" s="995"/>
      <c r="P188" s="995"/>
      <c r="Q188" s="1365"/>
      <c r="R188" s="1070"/>
    </row>
    <row r="189" spans="1:18" s="1036" customFormat="1" ht="30" customHeight="1">
      <c r="A189" s="1041"/>
      <c r="B189" s="995"/>
      <c r="C189" s="995"/>
      <c r="D189" s="995"/>
      <c r="E189" s="995"/>
      <c r="F189" s="995"/>
      <c r="G189" s="995"/>
      <c r="H189" s="995"/>
      <c r="I189" s="995"/>
      <c r="J189" s="999">
        <v>364.11399999999998</v>
      </c>
      <c r="K189" s="995"/>
      <c r="L189" s="995"/>
      <c r="M189" s="995"/>
      <c r="N189" s="995"/>
      <c r="O189" s="995"/>
      <c r="P189" s="995"/>
      <c r="Q189" s="1365"/>
      <c r="R189" s="1070"/>
    </row>
    <row r="190" spans="1:18" s="1036" customFormat="1" ht="30" customHeight="1">
      <c r="A190" s="1041">
        <v>92</v>
      </c>
      <c r="B190" s="995" t="s">
        <v>806</v>
      </c>
      <c r="C190" s="995" t="s">
        <v>62</v>
      </c>
      <c r="D190" s="995"/>
      <c r="E190" s="995">
        <v>0</v>
      </c>
      <c r="F190" s="995">
        <v>0</v>
      </c>
      <c r="G190" s="995">
        <v>0</v>
      </c>
      <c r="H190" s="995">
        <v>0</v>
      </c>
      <c r="I190" s="995"/>
      <c r="J190" s="999"/>
      <c r="K190" s="995"/>
      <c r="L190" s="995"/>
      <c r="M190" s="995"/>
      <c r="N190" s="995"/>
      <c r="O190" s="995"/>
      <c r="P190" s="995"/>
      <c r="Q190" s="1365"/>
      <c r="R190" s="1070"/>
    </row>
    <row r="191" spans="1:18" s="1036" customFormat="1" ht="30" customHeight="1">
      <c r="A191" s="1041"/>
      <c r="B191" s="995"/>
      <c r="C191" s="995"/>
      <c r="D191" s="995"/>
      <c r="E191" s="995"/>
      <c r="F191" s="995"/>
      <c r="G191" s="995"/>
      <c r="H191" s="995"/>
      <c r="I191" s="995"/>
      <c r="J191" s="999">
        <v>419.36</v>
      </c>
      <c r="K191" s="995"/>
      <c r="L191" s="995"/>
      <c r="M191" s="995"/>
      <c r="N191" s="995"/>
      <c r="O191" s="995"/>
      <c r="P191" s="995"/>
      <c r="Q191" s="1365"/>
      <c r="R191" s="1070"/>
    </row>
    <row r="192" spans="1:18" s="1036" customFormat="1" ht="30" customHeight="1">
      <c r="A192" s="1041">
        <v>93</v>
      </c>
      <c r="B192" s="995" t="s">
        <v>719</v>
      </c>
      <c r="C192" s="995" t="s">
        <v>76</v>
      </c>
      <c r="D192" s="995"/>
      <c r="E192" s="995">
        <v>0</v>
      </c>
      <c r="F192" s="995">
        <v>0</v>
      </c>
      <c r="G192" s="995">
        <v>0</v>
      </c>
      <c r="H192" s="995">
        <v>0</v>
      </c>
      <c r="I192" s="995"/>
      <c r="J192" s="999"/>
      <c r="K192" s="995"/>
      <c r="L192" s="995"/>
      <c r="M192" s="995"/>
      <c r="N192" s="995"/>
      <c r="O192" s="995"/>
      <c r="P192" s="995"/>
      <c r="Q192" s="1365"/>
      <c r="R192" s="1070"/>
    </row>
    <row r="193" spans="1:18" s="1036" customFormat="1" ht="30" customHeight="1">
      <c r="A193" s="1041"/>
      <c r="B193" s="995"/>
      <c r="C193" s="995"/>
      <c r="D193" s="995"/>
      <c r="E193" s="995"/>
      <c r="F193" s="995"/>
      <c r="G193" s="995"/>
      <c r="H193" s="995"/>
      <c r="I193" s="995"/>
      <c r="J193" s="999">
        <v>348.12900000000002</v>
      </c>
      <c r="K193" s="995"/>
      <c r="L193" s="995"/>
      <c r="M193" s="995"/>
      <c r="N193" s="995"/>
      <c r="O193" s="995"/>
      <c r="P193" s="995"/>
      <c r="Q193" s="1365"/>
      <c r="R193" s="1070"/>
    </row>
    <row r="194" spans="1:18" s="1036" customFormat="1" ht="30" customHeight="1">
      <c r="A194" s="1041">
        <v>94</v>
      </c>
      <c r="B194" s="995" t="s">
        <v>3113</v>
      </c>
      <c r="C194" s="995" t="s">
        <v>1269</v>
      </c>
      <c r="D194" s="995" t="s">
        <v>2001</v>
      </c>
      <c r="E194" s="995">
        <v>0</v>
      </c>
      <c r="F194" s="995">
        <v>0</v>
      </c>
      <c r="G194" s="995">
        <v>0</v>
      </c>
      <c r="H194" s="995">
        <v>0</v>
      </c>
      <c r="I194" s="995" t="s">
        <v>2768</v>
      </c>
      <c r="J194" s="999"/>
      <c r="K194" s="1043">
        <f>J185+J187+J189+J191+J193</f>
        <v>1911.8959999999997</v>
      </c>
      <c r="L194" s="1043" t="s">
        <v>2967</v>
      </c>
      <c r="M194" s="1043" t="s">
        <v>1009</v>
      </c>
      <c r="N194" s="1043"/>
      <c r="O194" s="1043"/>
      <c r="P194" s="1043"/>
      <c r="Q194" s="1043"/>
      <c r="R194" s="1045"/>
    </row>
    <row r="195" spans="1:18" s="1036" customFormat="1" ht="30" customHeight="1">
      <c r="A195" s="1041"/>
      <c r="B195" s="995"/>
      <c r="C195" s="995"/>
      <c r="D195" s="995"/>
      <c r="E195" s="995"/>
      <c r="F195" s="995"/>
      <c r="G195" s="995"/>
      <c r="H195" s="995"/>
      <c r="I195" s="995"/>
      <c r="J195" s="999">
        <v>367.84800000000001</v>
      </c>
      <c r="K195" s="995"/>
      <c r="L195" s="995"/>
      <c r="M195" s="995"/>
      <c r="N195" s="995"/>
      <c r="O195" s="995"/>
      <c r="P195" s="995"/>
      <c r="Q195" s="1365"/>
      <c r="R195" s="1070"/>
    </row>
    <row r="196" spans="1:18" s="1036" customFormat="1" ht="30" customHeight="1">
      <c r="A196" s="1041">
        <v>95</v>
      </c>
      <c r="B196" s="995" t="s">
        <v>502</v>
      </c>
      <c r="C196" s="995" t="s">
        <v>76</v>
      </c>
      <c r="D196" s="995"/>
      <c r="E196" s="995">
        <v>0</v>
      </c>
      <c r="F196" s="995">
        <v>0</v>
      </c>
      <c r="G196" s="995">
        <v>0</v>
      </c>
      <c r="H196" s="995">
        <v>0</v>
      </c>
      <c r="I196" s="995" t="s">
        <v>2768</v>
      </c>
      <c r="J196" s="999"/>
      <c r="K196" s="995"/>
      <c r="L196" s="995" t="s">
        <v>2967</v>
      </c>
      <c r="M196" s="995" t="s">
        <v>1009</v>
      </c>
      <c r="N196" s="995"/>
      <c r="O196" s="995"/>
      <c r="P196" s="995"/>
      <c r="Q196" s="1365"/>
      <c r="R196" s="1070"/>
    </row>
    <row r="197" spans="1:18" s="1036" customFormat="1" ht="30" customHeight="1">
      <c r="A197" s="1041"/>
      <c r="B197" s="995"/>
      <c r="C197" s="995"/>
      <c r="D197" s="995"/>
      <c r="E197" s="995"/>
      <c r="F197" s="995"/>
      <c r="G197" s="995"/>
      <c r="H197" s="995"/>
      <c r="I197" s="995"/>
      <c r="J197" s="999">
        <v>396.726</v>
      </c>
      <c r="K197" s="995"/>
      <c r="L197" s="995"/>
      <c r="M197" s="995"/>
      <c r="N197" s="995"/>
      <c r="O197" s="995"/>
      <c r="P197" s="995"/>
      <c r="Q197" s="1365"/>
      <c r="R197" s="1070"/>
    </row>
    <row r="198" spans="1:18" s="1036" customFormat="1" ht="30" customHeight="1">
      <c r="A198" s="1041">
        <v>96</v>
      </c>
      <c r="B198" s="995" t="s">
        <v>503</v>
      </c>
      <c r="C198" s="995" t="s">
        <v>76</v>
      </c>
      <c r="D198" s="995"/>
      <c r="E198" s="995">
        <v>0</v>
      </c>
      <c r="F198" s="995">
        <v>0</v>
      </c>
      <c r="G198" s="995">
        <v>0</v>
      </c>
      <c r="H198" s="995">
        <v>0</v>
      </c>
      <c r="I198" s="995" t="s">
        <v>897</v>
      </c>
      <c r="J198" s="999"/>
      <c r="K198" s="995"/>
      <c r="L198" s="995" t="s">
        <v>2967</v>
      </c>
      <c r="M198" s="995" t="s">
        <v>1009</v>
      </c>
      <c r="N198" s="995"/>
      <c r="O198" s="995"/>
      <c r="P198" s="995"/>
      <c r="Q198" s="1365"/>
      <c r="R198" s="1070"/>
    </row>
    <row r="199" spans="1:18" s="1036" customFormat="1" ht="30" customHeight="1">
      <c r="A199" s="1041"/>
      <c r="B199" s="995"/>
      <c r="C199" s="995"/>
      <c r="D199" s="995"/>
      <c r="E199" s="995"/>
      <c r="F199" s="995"/>
      <c r="G199" s="995"/>
      <c r="H199" s="995"/>
      <c r="I199" s="995"/>
      <c r="J199" s="999">
        <v>375.11099999999999</v>
      </c>
      <c r="K199" s="995"/>
      <c r="L199" s="995"/>
      <c r="M199" s="995"/>
      <c r="N199" s="995"/>
      <c r="O199" s="995"/>
      <c r="P199" s="995"/>
      <c r="Q199" s="1365"/>
      <c r="R199" s="1070"/>
    </row>
    <row r="200" spans="1:18" s="1036" customFormat="1" ht="30" customHeight="1">
      <c r="A200" s="1041">
        <v>97</v>
      </c>
      <c r="B200" s="995" t="s">
        <v>555</v>
      </c>
      <c r="C200" s="995" t="s">
        <v>76</v>
      </c>
      <c r="D200" s="995"/>
      <c r="E200" s="995">
        <v>0</v>
      </c>
      <c r="F200" s="995">
        <v>0</v>
      </c>
      <c r="G200" s="995">
        <v>0</v>
      </c>
      <c r="H200" s="995">
        <v>0</v>
      </c>
      <c r="I200" s="995" t="s">
        <v>897</v>
      </c>
      <c r="J200" s="999"/>
      <c r="K200" s="995"/>
      <c r="L200" s="995" t="s">
        <v>2967</v>
      </c>
      <c r="M200" s="995" t="s">
        <v>1009</v>
      </c>
      <c r="N200" s="995"/>
      <c r="O200" s="995"/>
      <c r="P200" s="995"/>
      <c r="Q200" s="1365"/>
      <c r="R200" s="1070"/>
    </row>
    <row r="201" spans="1:18" s="1036" customFormat="1" ht="30" customHeight="1">
      <c r="A201" s="1041"/>
      <c r="B201" s="995"/>
      <c r="C201" s="995"/>
      <c r="D201" s="995"/>
      <c r="E201" s="995"/>
      <c r="F201" s="995"/>
      <c r="G201" s="995"/>
      <c r="H201" s="995"/>
      <c r="I201" s="995"/>
      <c r="J201" s="999">
        <v>335.00299999999999</v>
      </c>
      <c r="K201" s="995"/>
      <c r="L201" s="995"/>
      <c r="M201" s="995"/>
      <c r="N201" s="995"/>
      <c r="O201" s="995"/>
      <c r="P201" s="995"/>
      <c r="Q201" s="1365"/>
      <c r="R201" s="1070"/>
    </row>
    <row r="202" spans="1:18" s="1036" customFormat="1" ht="30" customHeight="1">
      <c r="A202" s="1041">
        <v>98</v>
      </c>
      <c r="B202" s="995" t="s">
        <v>3114</v>
      </c>
      <c r="C202" s="995" t="s">
        <v>1269</v>
      </c>
      <c r="D202" s="995" t="s">
        <v>2006</v>
      </c>
      <c r="E202" s="995">
        <v>0</v>
      </c>
      <c r="F202" s="995">
        <v>0</v>
      </c>
      <c r="G202" s="995">
        <v>0</v>
      </c>
      <c r="H202" s="995">
        <v>0</v>
      </c>
      <c r="I202" s="995" t="s">
        <v>1767</v>
      </c>
      <c r="J202" s="999"/>
      <c r="K202" s="1043">
        <f>J195+J197+J199+J201</f>
        <v>1474.6879999999999</v>
      </c>
      <c r="L202" s="1043" t="s">
        <v>2967</v>
      </c>
      <c r="M202" s="1043" t="s">
        <v>1009</v>
      </c>
      <c r="N202" s="1043" t="s">
        <v>1009</v>
      </c>
      <c r="P202" s="1043"/>
      <c r="Q202" s="1043"/>
      <c r="R202" s="1045"/>
    </row>
    <row r="203" spans="1:18" s="1036" customFormat="1" ht="30" customHeight="1">
      <c r="A203" s="1041"/>
      <c r="B203" s="995"/>
      <c r="C203" s="995"/>
      <c r="D203" s="995"/>
      <c r="E203" s="995"/>
      <c r="F203" s="995"/>
      <c r="G203" s="995"/>
      <c r="H203" s="995"/>
      <c r="I203" s="995"/>
      <c r="J203" s="999">
        <v>360</v>
      </c>
      <c r="K203" s="995"/>
      <c r="L203" s="995"/>
      <c r="M203" s="995"/>
      <c r="N203" s="995"/>
      <c r="O203" s="995"/>
      <c r="P203" s="995"/>
      <c r="Q203" s="1365"/>
      <c r="R203" s="1070"/>
    </row>
    <row r="204" spans="1:18" s="1036" customFormat="1" ht="30" customHeight="1">
      <c r="A204" s="1041">
        <v>99</v>
      </c>
      <c r="B204" s="995" t="s">
        <v>564</v>
      </c>
      <c r="C204" s="995" t="s">
        <v>62</v>
      </c>
      <c r="D204" s="995"/>
      <c r="E204" s="995">
        <v>0</v>
      </c>
      <c r="F204" s="995">
        <v>0</v>
      </c>
      <c r="G204" s="995">
        <v>0</v>
      </c>
      <c r="H204" s="995">
        <v>0</v>
      </c>
      <c r="I204" s="995" t="s">
        <v>2768</v>
      </c>
      <c r="J204" s="999"/>
      <c r="K204" s="995"/>
      <c r="L204" s="995" t="s">
        <v>2967</v>
      </c>
      <c r="M204" s="995" t="s">
        <v>1009</v>
      </c>
      <c r="N204" s="995"/>
      <c r="O204" s="995" t="s">
        <v>22</v>
      </c>
      <c r="P204" s="995"/>
      <c r="Q204" s="1365"/>
      <c r="R204" s="1070"/>
    </row>
    <row r="205" spans="1:18" s="1036" customFormat="1" ht="30" customHeight="1">
      <c r="A205" s="1041"/>
      <c r="B205" s="995"/>
      <c r="C205" s="995"/>
      <c r="D205" s="995"/>
      <c r="E205" s="995"/>
      <c r="F205" s="995"/>
      <c r="G205" s="995"/>
      <c r="H205" s="995"/>
      <c r="I205" s="995"/>
      <c r="J205" s="999">
        <v>360</v>
      </c>
      <c r="K205" s="995"/>
      <c r="L205" s="995"/>
      <c r="M205" s="995"/>
      <c r="N205" s="995"/>
      <c r="O205" s="995"/>
      <c r="P205" s="995"/>
      <c r="Q205" s="1365"/>
      <c r="R205" s="1070"/>
    </row>
    <row r="206" spans="1:18" s="1036" customFormat="1" ht="30" customHeight="1">
      <c r="A206" s="1041">
        <v>100</v>
      </c>
      <c r="B206" s="995" t="s">
        <v>2008</v>
      </c>
      <c r="C206" s="995" t="s">
        <v>76</v>
      </c>
      <c r="D206" s="995"/>
      <c r="E206" s="995">
        <v>0</v>
      </c>
      <c r="F206" s="995">
        <v>0</v>
      </c>
      <c r="G206" s="995">
        <v>0</v>
      </c>
      <c r="H206" s="995">
        <v>0</v>
      </c>
      <c r="I206" s="995" t="s">
        <v>2768</v>
      </c>
      <c r="J206" s="999"/>
      <c r="K206" s="995"/>
      <c r="L206" s="995" t="s">
        <v>2967</v>
      </c>
      <c r="M206" s="995" t="s">
        <v>1009</v>
      </c>
      <c r="N206" s="995" t="s">
        <v>1009</v>
      </c>
      <c r="O206" s="1043" t="s">
        <v>1009</v>
      </c>
      <c r="P206" s="995"/>
      <c r="Q206" s="1365"/>
      <c r="R206" s="1070"/>
    </row>
    <row r="207" spans="1:18" s="1036" customFormat="1" ht="30" customHeight="1">
      <c r="A207" s="1041"/>
      <c r="B207" s="995"/>
      <c r="C207" s="995"/>
      <c r="D207" s="995"/>
      <c r="E207" s="995"/>
      <c r="F207" s="995"/>
      <c r="G207" s="995"/>
      <c r="H207" s="995"/>
      <c r="I207" s="995"/>
      <c r="J207" s="999">
        <v>359.49599999999998</v>
      </c>
      <c r="K207" s="995"/>
      <c r="L207" s="995"/>
      <c r="M207" s="995"/>
      <c r="N207" s="995"/>
      <c r="O207" s="995"/>
      <c r="P207" s="995"/>
      <c r="Q207" s="1365"/>
      <c r="R207" s="1070"/>
    </row>
    <row r="208" spans="1:18" s="1036" customFormat="1" ht="30" customHeight="1">
      <c r="A208" s="1041">
        <v>101</v>
      </c>
      <c r="B208" s="995" t="s">
        <v>3115</v>
      </c>
      <c r="C208" s="995" t="s">
        <v>1269</v>
      </c>
      <c r="D208" s="995" t="s">
        <v>2012</v>
      </c>
      <c r="E208" s="995">
        <v>0</v>
      </c>
      <c r="F208" s="995">
        <v>0</v>
      </c>
      <c r="G208" s="995">
        <v>0</v>
      </c>
      <c r="H208" s="995">
        <v>0</v>
      </c>
      <c r="I208" s="995" t="s">
        <v>897</v>
      </c>
      <c r="J208" s="999"/>
      <c r="K208" s="1043">
        <f>J203+J205+J207</f>
        <v>1079.4960000000001</v>
      </c>
      <c r="L208" s="1043" t="s">
        <v>2967</v>
      </c>
      <c r="M208" s="1043" t="s">
        <v>1009</v>
      </c>
      <c r="N208" s="1043"/>
      <c r="O208" s="1043"/>
      <c r="P208" s="1043"/>
      <c r="Q208" s="1043"/>
      <c r="R208" s="1045"/>
    </row>
    <row r="209" spans="1:18" s="1036" customFormat="1" ht="30" customHeight="1">
      <c r="A209" s="1041"/>
      <c r="B209" s="995"/>
      <c r="C209" s="995"/>
      <c r="D209" s="995"/>
      <c r="E209" s="995"/>
      <c r="F209" s="995"/>
      <c r="G209" s="995"/>
      <c r="H209" s="995"/>
      <c r="I209" s="995"/>
      <c r="J209" s="999">
        <v>350.73899999999998</v>
      </c>
      <c r="K209" s="995"/>
      <c r="L209" s="995"/>
      <c r="M209" s="995"/>
      <c r="N209" s="995"/>
      <c r="O209" s="995"/>
      <c r="P209" s="995"/>
      <c r="Q209" s="1365"/>
      <c r="R209" s="1070"/>
    </row>
    <row r="210" spans="1:18" s="1036" customFormat="1" ht="30" customHeight="1">
      <c r="A210" s="1041">
        <v>102</v>
      </c>
      <c r="B210" s="995" t="s">
        <v>985</v>
      </c>
      <c r="C210" s="995" t="s">
        <v>76</v>
      </c>
      <c r="D210" s="995"/>
      <c r="E210" s="995">
        <v>0</v>
      </c>
      <c r="F210" s="995">
        <v>0</v>
      </c>
      <c r="G210" s="995">
        <v>0</v>
      </c>
      <c r="H210" s="995">
        <v>0</v>
      </c>
      <c r="I210" s="995" t="s">
        <v>2768</v>
      </c>
      <c r="J210" s="999"/>
      <c r="K210" s="995"/>
      <c r="L210" s="995" t="s">
        <v>2967</v>
      </c>
      <c r="M210" s="995" t="s">
        <v>1009</v>
      </c>
      <c r="N210" s="995" t="s">
        <v>1009</v>
      </c>
      <c r="O210" s="995"/>
      <c r="P210" s="995"/>
      <c r="Q210" s="1365"/>
      <c r="R210" s="1070"/>
    </row>
    <row r="211" spans="1:18" s="1036" customFormat="1" ht="30" customHeight="1">
      <c r="A211" s="1041"/>
      <c r="B211" s="995"/>
      <c r="C211" s="995"/>
      <c r="D211" s="995"/>
      <c r="E211" s="995"/>
      <c r="F211" s="995"/>
      <c r="G211" s="995"/>
      <c r="H211" s="995"/>
      <c r="I211" s="995"/>
      <c r="J211" s="999">
        <v>337.89100000000002</v>
      </c>
      <c r="K211" s="995"/>
      <c r="L211" s="995"/>
      <c r="M211" s="995"/>
      <c r="N211" s="995"/>
      <c r="O211" s="995"/>
      <c r="P211" s="995"/>
      <c r="Q211" s="1365"/>
      <c r="R211" s="1070"/>
    </row>
    <row r="212" spans="1:18" s="1036" customFormat="1" ht="30" customHeight="1">
      <c r="A212" s="1041">
        <v>103</v>
      </c>
      <c r="B212" s="995" t="s">
        <v>777</v>
      </c>
      <c r="C212" s="995" t="s">
        <v>76</v>
      </c>
      <c r="D212" s="995"/>
      <c r="E212" s="995">
        <v>0</v>
      </c>
      <c r="F212" s="995">
        <v>0</v>
      </c>
      <c r="G212" s="995">
        <v>0</v>
      </c>
      <c r="H212" s="995">
        <v>0</v>
      </c>
      <c r="I212" s="995"/>
      <c r="J212" s="999"/>
      <c r="K212" s="995"/>
      <c r="L212" s="995" t="s">
        <v>2967</v>
      </c>
      <c r="M212" s="995"/>
      <c r="N212" s="995"/>
      <c r="O212" s="995"/>
      <c r="P212" s="995"/>
      <c r="Q212" s="1365"/>
      <c r="R212" s="1070"/>
    </row>
    <row r="213" spans="1:18" s="1036" customFormat="1" ht="30" customHeight="1">
      <c r="A213" s="1041"/>
      <c r="B213" s="995"/>
      <c r="C213" s="995"/>
      <c r="D213" s="995"/>
      <c r="E213" s="995"/>
      <c r="F213" s="995"/>
      <c r="G213" s="995"/>
      <c r="H213" s="995"/>
      <c r="I213" s="995"/>
      <c r="J213" s="999">
        <v>331.00099999999998</v>
      </c>
      <c r="K213" s="995"/>
      <c r="L213" s="995"/>
      <c r="M213" s="995"/>
      <c r="N213" s="995"/>
      <c r="O213" s="995"/>
      <c r="P213" s="995"/>
      <c r="Q213" s="1365"/>
      <c r="R213" s="1070"/>
    </row>
    <row r="214" spans="1:18" s="1036" customFormat="1" ht="30" customHeight="1">
      <c r="A214" s="1041">
        <v>104</v>
      </c>
      <c r="B214" s="995" t="s">
        <v>786</v>
      </c>
      <c r="C214" s="995" t="s">
        <v>76</v>
      </c>
      <c r="D214" s="995"/>
      <c r="E214" s="995">
        <v>0</v>
      </c>
      <c r="F214" s="995">
        <v>0</v>
      </c>
      <c r="G214" s="995">
        <v>0</v>
      </c>
      <c r="H214" s="995">
        <v>0</v>
      </c>
      <c r="I214" s="995" t="s">
        <v>897</v>
      </c>
      <c r="J214" s="999"/>
      <c r="K214" s="995"/>
      <c r="L214" s="995" t="s">
        <v>2967</v>
      </c>
      <c r="M214" s="995" t="s">
        <v>1009</v>
      </c>
      <c r="N214" s="995" t="s">
        <v>1009</v>
      </c>
      <c r="O214" s="995"/>
      <c r="P214" s="995"/>
      <c r="Q214" s="1365"/>
      <c r="R214" s="1070"/>
    </row>
    <row r="215" spans="1:18" s="1036" customFormat="1" ht="30" customHeight="1">
      <c r="A215" s="1041"/>
      <c r="B215" s="995"/>
      <c r="C215" s="995"/>
      <c r="D215" s="995"/>
      <c r="E215" s="995"/>
      <c r="F215" s="995"/>
      <c r="G215" s="995"/>
      <c r="H215" s="995"/>
      <c r="I215" s="995"/>
      <c r="J215" s="999">
        <v>360.36900000000003</v>
      </c>
      <c r="K215" s="995"/>
      <c r="L215" s="995"/>
      <c r="M215" s="995"/>
      <c r="N215" s="995"/>
      <c r="O215" s="995"/>
      <c r="P215" s="995"/>
      <c r="Q215" s="1365"/>
      <c r="R215" s="1070"/>
    </row>
    <row r="216" spans="1:18" s="1036" customFormat="1" ht="30" customHeight="1">
      <c r="A216" s="1041">
        <v>105</v>
      </c>
      <c r="B216" s="995" t="s">
        <v>800</v>
      </c>
      <c r="C216" s="995" t="s">
        <v>76</v>
      </c>
      <c r="D216" s="995"/>
      <c r="E216" s="995">
        <v>0</v>
      </c>
      <c r="F216" s="995">
        <v>0</v>
      </c>
      <c r="G216" s="995">
        <v>0</v>
      </c>
      <c r="H216" s="995">
        <v>0</v>
      </c>
      <c r="I216" s="995"/>
      <c r="J216" s="999"/>
      <c r="K216" s="995"/>
      <c r="L216" s="995"/>
      <c r="M216" s="995"/>
      <c r="N216" s="995"/>
      <c r="O216" s="995"/>
      <c r="P216" s="995"/>
      <c r="Q216" s="1365"/>
      <c r="R216" s="1070"/>
    </row>
    <row r="217" spans="1:18" s="1036" customFormat="1" ht="30" customHeight="1">
      <c r="A217" s="1041"/>
      <c r="B217" s="995"/>
      <c r="C217" s="995"/>
      <c r="D217" s="995"/>
      <c r="E217" s="995"/>
      <c r="F217" s="995"/>
      <c r="G217" s="995"/>
      <c r="H217" s="995"/>
      <c r="I217" s="995"/>
      <c r="J217" s="999">
        <v>425</v>
      </c>
      <c r="K217" s="995"/>
      <c r="L217" s="995"/>
      <c r="M217" s="995"/>
      <c r="N217" s="995"/>
      <c r="O217" s="995"/>
      <c r="P217" s="995"/>
      <c r="Q217" s="1365"/>
      <c r="R217" s="1070"/>
    </row>
    <row r="218" spans="1:18" s="1036" customFormat="1" ht="30" customHeight="1">
      <c r="A218" s="1041">
        <v>106</v>
      </c>
      <c r="B218" s="995" t="s">
        <v>2013</v>
      </c>
      <c r="C218" s="995" t="s">
        <v>53</v>
      </c>
      <c r="D218" s="995"/>
      <c r="E218" s="995">
        <v>0</v>
      </c>
      <c r="F218" s="995">
        <v>0</v>
      </c>
      <c r="G218" s="995">
        <v>0</v>
      </c>
      <c r="H218" s="995">
        <v>0</v>
      </c>
      <c r="I218" s="995" t="s">
        <v>897</v>
      </c>
      <c r="J218" s="999"/>
      <c r="K218" s="995"/>
      <c r="L218" s="995" t="s">
        <v>2967</v>
      </c>
      <c r="M218" s="995" t="s">
        <v>22</v>
      </c>
      <c r="N218" s="995"/>
      <c r="O218" s="995"/>
      <c r="P218" s="995"/>
      <c r="Q218" s="1365"/>
      <c r="R218" s="1070"/>
    </row>
    <row r="219" spans="1:18" s="1036" customFormat="1" ht="30" customHeight="1">
      <c r="A219" s="1041"/>
      <c r="B219" s="995"/>
      <c r="C219" s="995"/>
      <c r="D219" s="995"/>
      <c r="E219" s="995"/>
      <c r="F219" s="995"/>
      <c r="G219" s="995"/>
      <c r="H219" s="995"/>
      <c r="I219" s="995"/>
      <c r="J219" s="999">
        <v>411.44799999999998</v>
      </c>
      <c r="K219" s="995"/>
      <c r="L219" s="995"/>
      <c r="M219" s="995"/>
      <c r="N219" s="995"/>
      <c r="O219" s="995"/>
      <c r="P219" s="995"/>
      <c r="Q219" s="1365"/>
      <c r="R219" s="1070"/>
    </row>
    <row r="220" spans="1:18" s="1036" customFormat="1" ht="30" customHeight="1">
      <c r="A220" s="1041">
        <v>107</v>
      </c>
      <c r="B220" s="995" t="s">
        <v>3116</v>
      </c>
      <c r="C220" s="995" t="s">
        <v>1269</v>
      </c>
      <c r="D220" s="995" t="s">
        <v>2016</v>
      </c>
      <c r="E220" s="995">
        <v>0</v>
      </c>
      <c r="F220" s="995">
        <v>0</v>
      </c>
      <c r="G220" s="995">
        <v>0</v>
      </c>
      <c r="H220" s="995">
        <v>0</v>
      </c>
      <c r="I220" s="995"/>
      <c r="J220" s="999"/>
      <c r="K220" s="1043">
        <f>J209+J211+J213+J215+J217+J219</f>
        <v>2216.4479999999999</v>
      </c>
      <c r="L220" s="1043"/>
      <c r="M220" s="1043"/>
      <c r="N220" s="1043"/>
      <c r="O220" s="1043"/>
      <c r="P220" s="1043"/>
      <c r="Q220" s="1043"/>
      <c r="R220" s="1045"/>
    </row>
    <row r="221" spans="1:18" s="1036" customFormat="1" ht="30" customHeight="1">
      <c r="A221" s="1041"/>
      <c r="B221" s="995"/>
      <c r="C221" s="995"/>
      <c r="D221" s="995"/>
      <c r="E221" s="995"/>
      <c r="F221" s="995"/>
      <c r="G221" s="995"/>
      <c r="H221" s="995"/>
      <c r="I221" s="995"/>
      <c r="J221" s="999">
        <v>298</v>
      </c>
      <c r="K221" s="995"/>
      <c r="L221" s="995"/>
      <c r="M221" s="995"/>
      <c r="N221" s="995"/>
      <c r="O221" s="995"/>
      <c r="P221" s="995"/>
      <c r="Q221" s="1365"/>
      <c r="R221" s="1070"/>
    </row>
    <row r="222" spans="1:18" s="1036" customFormat="1" ht="30" customHeight="1">
      <c r="A222" s="1041">
        <v>108</v>
      </c>
      <c r="B222" s="995" t="s">
        <v>562</v>
      </c>
      <c r="C222" s="995" t="s">
        <v>76</v>
      </c>
      <c r="D222" s="995"/>
      <c r="E222" s="995">
        <v>1</v>
      </c>
      <c r="F222" s="995">
        <v>1</v>
      </c>
      <c r="G222" s="995">
        <v>1</v>
      </c>
      <c r="H222" s="995">
        <v>1</v>
      </c>
      <c r="I222" s="995"/>
      <c r="J222" s="999"/>
      <c r="K222" s="995"/>
      <c r="L222" s="995"/>
      <c r="M222" s="995"/>
      <c r="N222" s="995"/>
      <c r="O222" s="995"/>
      <c r="P222" s="995"/>
      <c r="Q222" s="1365"/>
      <c r="R222" s="1070"/>
    </row>
    <row r="223" spans="1:18" s="1036" customFormat="1" ht="30" customHeight="1">
      <c r="A223" s="1041"/>
      <c r="B223" s="995"/>
      <c r="C223" s="995"/>
      <c r="D223" s="995"/>
      <c r="E223" s="995"/>
      <c r="F223" s="995"/>
      <c r="G223" s="995"/>
      <c r="H223" s="995"/>
      <c r="I223" s="995"/>
      <c r="J223" s="999">
        <v>349</v>
      </c>
      <c r="K223" s="995"/>
      <c r="L223" s="995"/>
      <c r="M223" s="995"/>
      <c r="N223" s="995"/>
      <c r="O223" s="995"/>
      <c r="P223" s="995"/>
      <c r="Q223" s="1365"/>
      <c r="R223" s="1070"/>
    </row>
    <row r="224" spans="1:18" s="1036" customFormat="1" ht="30" customHeight="1">
      <c r="A224" s="1041">
        <v>109</v>
      </c>
      <c r="B224" s="995" t="s">
        <v>322</v>
      </c>
      <c r="C224" s="995" t="s">
        <v>76</v>
      </c>
      <c r="D224" s="995"/>
      <c r="E224" s="995">
        <v>0</v>
      </c>
      <c r="F224" s="995">
        <v>0</v>
      </c>
      <c r="G224" s="995">
        <v>0</v>
      </c>
      <c r="H224" s="995">
        <v>0</v>
      </c>
      <c r="I224" s="995"/>
      <c r="J224" s="999"/>
      <c r="K224" s="995"/>
      <c r="L224" s="995"/>
      <c r="M224" s="995"/>
      <c r="N224" s="995"/>
      <c r="O224" s="995"/>
      <c r="P224" s="995"/>
      <c r="Q224" s="1365"/>
      <c r="R224" s="1070"/>
    </row>
    <row r="225" spans="1:18" s="1036" customFormat="1" ht="30" customHeight="1">
      <c r="A225" s="1041"/>
      <c r="B225" s="995"/>
      <c r="C225" s="995"/>
      <c r="D225" s="995"/>
      <c r="E225" s="995"/>
      <c r="F225" s="995"/>
      <c r="G225" s="995"/>
      <c r="H225" s="995"/>
      <c r="I225" s="995"/>
      <c r="J225" s="999">
        <v>350</v>
      </c>
      <c r="K225" s="995"/>
      <c r="L225" s="995"/>
      <c r="M225" s="995"/>
      <c r="N225" s="995"/>
      <c r="O225" s="995"/>
      <c r="P225" s="995"/>
      <c r="Q225" s="1365"/>
      <c r="R225" s="1070"/>
    </row>
    <row r="226" spans="1:18" s="1036" customFormat="1" ht="30" customHeight="1">
      <c r="A226" s="1041">
        <v>110</v>
      </c>
      <c r="B226" s="995" t="s">
        <v>336</v>
      </c>
      <c r="C226" s="995" t="s">
        <v>76</v>
      </c>
      <c r="D226" s="995"/>
      <c r="E226" s="995">
        <v>0</v>
      </c>
      <c r="F226" s="995">
        <v>0</v>
      </c>
      <c r="G226" s="995">
        <v>0</v>
      </c>
      <c r="H226" s="995">
        <v>0</v>
      </c>
      <c r="I226" s="995"/>
      <c r="J226" s="999"/>
      <c r="K226" s="995"/>
      <c r="L226" s="995"/>
      <c r="M226" s="995"/>
      <c r="N226" s="995"/>
      <c r="O226" s="995"/>
      <c r="P226" s="995"/>
      <c r="Q226" s="1365"/>
      <c r="R226" s="1070"/>
    </row>
    <row r="227" spans="1:18" s="1036" customFormat="1" ht="30" customHeight="1">
      <c r="A227" s="1041"/>
      <c r="B227" s="995"/>
      <c r="C227" s="995"/>
      <c r="D227" s="995"/>
      <c r="E227" s="995"/>
      <c r="F227" s="995"/>
      <c r="G227" s="995"/>
      <c r="H227" s="995"/>
      <c r="I227" s="995"/>
      <c r="J227" s="999">
        <v>363.36399999999998</v>
      </c>
      <c r="K227" s="995"/>
      <c r="L227" s="995"/>
      <c r="M227" s="995"/>
      <c r="N227" s="995"/>
      <c r="O227" s="995"/>
      <c r="P227" s="995"/>
      <c r="Q227" s="1365"/>
      <c r="R227" s="1070"/>
    </row>
    <row r="228" spans="1:18" s="1036" customFormat="1" ht="30" customHeight="1">
      <c r="A228" s="1041">
        <v>111</v>
      </c>
      <c r="B228" s="995" t="s">
        <v>3117</v>
      </c>
      <c r="C228" s="995" t="s">
        <v>1269</v>
      </c>
      <c r="D228" s="995" t="s">
        <v>2021</v>
      </c>
      <c r="E228" s="995">
        <v>0</v>
      </c>
      <c r="F228" s="995">
        <v>0</v>
      </c>
      <c r="G228" s="995">
        <v>0</v>
      </c>
      <c r="H228" s="995">
        <v>0</v>
      </c>
      <c r="I228" s="995"/>
      <c r="J228" s="999"/>
      <c r="K228" s="1043">
        <f>J221+J223+J225+J227</f>
        <v>1360.364</v>
      </c>
      <c r="L228" s="1043"/>
      <c r="M228" s="1043"/>
      <c r="N228" s="1043"/>
      <c r="O228" s="1043"/>
      <c r="P228" s="1043"/>
      <c r="Q228" s="1043"/>
      <c r="R228" s="1045"/>
    </row>
    <row r="229" spans="1:18" s="1036" customFormat="1" ht="30" customHeight="1">
      <c r="A229" s="1041"/>
      <c r="B229" s="995"/>
      <c r="C229" s="995"/>
      <c r="D229" s="995"/>
      <c r="E229" s="995"/>
      <c r="F229" s="995"/>
      <c r="G229" s="995"/>
      <c r="H229" s="995"/>
      <c r="I229" s="995"/>
      <c r="J229" s="999">
        <v>371.50400000000002</v>
      </c>
      <c r="K229" s="1043"/>
      <c r="L229" s="1043"/>
      <c r="M229" s="1043"/>
      <c r="N229" s="1043"/>
      <c r="O229" s="1043"/>
      <c r="P229" s="1043"/>
      <c r="Q229" s="1043"/>
      <c r="R229" s="1045"/>
    </row>
    <row r="230" spans="1:18" s="1036" customFormat="1" ht="30" customHeight="1">
      <c r="A230" s="1041">
        <v>112</v>
      </c>
      <c r="B230" s="995" t="s">
        <v>3118</v>
      </c>
      <c r="C230" s="995" t="s">
        <v>1992</v>
      </c>
      <c r="D230" s="995" t="s">
        <v>2023</v>
      </c>
      <c r="E230" s="995">
        <v>2</v>
      </c>
      <c r="F230" s="995">
        <v>2</v>
      </c>
      <c r="G230" s="995">
        <v>2</v>
      </c>
      <c r="H230" s="995">
        <v>2</v>
      </c>
      <c r="I230" s="995"/>
      <c r="J230" s="999"/>
      <c r="K230" s="1043">
        <f>J229</f>
        <v>371.50400000000002</v>
      </c>
      <c r="L230" s="1043"/>
      <c r="M230" s="1043"/>
      <c r="N230" s="1043"/>
      <c r="O230" s="1043"/>
      <c r="P230" s="1043"/>
      <c r="Q230" s="1043"/>
      <c r="R230" s="1045"/>
    </row>
    <row r="231" spans="1:18" s="1036" customFormat="1" ht="30" customHeight="1">
      <c r="A231" s="1041"/>
      <c r="B231" s="995"/>
      <c r="C231" s="995"/>
      <c r="D231" s="995"/>
      <c r="E231" s="995"/>
      <c r="F231" s="995"/>
      <c r="G231" s="995"/>
      <c r="H231" s="995"/>
      <c r="I231" s="995"/>
      <c r="J231" s="999">
        <v>203.304</v>
      </c>
      <c r="K231" s="1043"/>
      <c r="L231" s="1043"/>
      <c r="M231" s="1043"/>
      <c r="N231" s="1043"/>
      <c r="O231" s="1043"/>
      <c r="P231" s="1043"/>
      <c r="Q231" s="1043"/>
      <c r="R231" s="1045" t="s">
        <v>3074</v>
      </c>
    </row>
    <row r="232" spans="1:18" s="1036" customFormat="1" ht="30" customHeight="1">
      <c r="A232" s="1041">
        <v>113</v>
      </c>
      <c r="B232" s="995" t="s">
        <v>3119</v>
      </c>
      <c r="C232" s="995" t="s">
        <v>1992</v>
      </c>
      <c r="D232" s="995" t="s">
        <v>2026</v>
      </c>
      <c r="E232" s="995">
        <v>2</v>
      </c>
      <c r="F232" s="995">
        <v>2</v>
      </c>
      <c r="G232" s="995">
        <v>2</v>
      </c>
      <c r="H232" s="995">
        <v>2</v>
      </c>
      <c r="I232" s="995"/>
      <c r="J232" s="999"/>
      <c r="K232" s="1043">
        <f>J231</f>
        <v>203.304</v>
      </c>
      <c r="L232" s="1043"/>
      <c r="M232" s="1043"/>
      <c r="N232" s="1043"/>
      <c r="O232" s="1043"/>
      <c r="P232" s="1043"/>
      <c r="Q232" s="1043"/>
      <c r="R232" s="1045"/>
    </row>
    <row r="233" spans="1:18" s="1036" customFormat="1" ht="30" customHeight="1">
      <c r="A233" s="1041"/>
      <c r="B233" s="995"/>
      <c r="C233" s="995"/>
      <c r="D233" s="995"/>
      <c r="E233" s="995"/>
      <c r="F233" s="995"/>
      <c r="G233" s="995"/>
      <c r="H233" s="995"/>
      <c r="I233" s="995"/>
      <c r="J233" s="999">
        <v>409.90800000000002</v>
      </c>
      <c r="K233" s="1043"/>
      <c r="L233" s="1043"/>
      <c r="M233" s="1043"/>
      <c r="N233" s="1043"/>
      <c r="O233" s="1043"/>
      <c r="P233" s="1043"/>
      <c r="Q233" s="1043"/>
      <c r="R233" s="1045"/>
    </row>
    <row r="234" spans="1:18" s="1036" customFormat="1" ht="30" customHeight="1">
      <c r="A234" s="1041">
        <v>114</v>
      </c>
      <c r="B234" s="995" t="s">
        <v>3120</v>
      </c>
      <c r="C234" s="995" t="s">
        <v>1277</v>
      </c>
      <c r="D234" s="995" t="s">
        <v>2030</v>
      </c>
      <c r="E234" s="995">
        <v>0</v>
      </c>
      <c r="F234" s="995">
        <v>0</v>
      </c>
      <c r="G234" s="995">
        <v>0</v>
      </c>
      <c r="H234" s="995">
        <v>0</v>
      </c>
      <c r="I234" s="995"/>
      <c r="J234" s="999"/>
      <c r="K234" s="1043">
        <f>J233</f>
        <v>409.90800000000002</v>
      </c>
      <c r="L234" s="1043"/>
      <c r="M234" s="1043"/>
      <c r="N234" s="1043"/>
      <c r="O234" s="1043"/>
      <c r="P234" s="1043"/>
      <c r="Q234" s="1043"/>
      <c r="R234" s="1045"/>
    </row>
    <row r="235" spans="1:18" s="1036" customFormat="1" ht="30" customHeight="1">
      <c r="A235" s="1041"/>
      <c r="B235" s="995"/>
      <c r="C235" s="995"/>
      <c r="D235" s="995"/>
      <c r="E235" s="995"/>
      <c r="F235" s="995"/>
      <c r="G235" s="995"/>
      <c r="H235" s="995"/>
      <c r="I235" s="995"/>
      <c r="J235" s="999">
        <v>412</v>
      </c>
      <c r="K235" s="995"/>
      <c r="L235" s="995"/>
      <c r="M235" s="995"/>
      <c r="N235" s="995"/>
      <c r="O235" s="995"/>
      <c r="P235" s="995"/>
      <c r="Q235" s="1365"/>
      <c r="R235" s="1070"/>
    </row>
    <row r="236" spans="1:18" s="1036" customFormat="1" ht="30" customHeight="1">
      <c r="A236" s="1041">
        <v>115</v>
      </c>
      <c r="B236" s="995" t="s">
        <v>2031</v>
      </c>
      <c r="C236" s="995" t="s">
        <v>62</v>
      </c>
      <c r="D236" s="995"/>
      <c r="E236" s="995">
        <v>0</v>
      </c>
      <c r="F236" s="995">
        <v>0</v>
      </c>
      <c r="G236" s="995">
        <v>0</v>
      </c>
      <c r="H236" s="995">
        <v>0</v>
      </c>
      <c r="I236" s="995"/>
      <c r="J236" s="999"/>
      <c r="K236" s="995"/>
      <c r="L236" s="995"/>
      <c r="M236" s="995"/>
      <c r="N236" s="995"/>
      <c r="O236" s="995"/>
      <c r="P236" s="995"/>
      <c r="Q236" s="1365"/>
      <c r="R236" s="1070"/>
    </row>
    <row r="237" spans="1:18" s="1036" customFormat="1" ht="30" customHeight="1">
      <c r="A237" s="1041"/>
      <c r="B237" s="995"/>
      <c r="C237" s="995"/>
      <c r="D237" s="995"/>
      <c r="E237" s="995"/>
      <c r="F237" s="995"/>
      <c r="G237" s="995"/>
      <c r="H237" s="995"/>
      <c r="I237" s="995"/>
      <c r="J237" s="999">
        <v>428</v>
      </c>
      <c r="K237" s="995"/>
      <c r="L237" s="995"/>
      <c r="M237" s="995"/>
      <c r="N237" s="995"/>
      <c r="O237" s="995"/>
      <c r="P237" s="995"/>
      <c r="Q237" s="1365"/>
      <c r="R237" s="1070"/>
    </row>
    <row r="238" spans="1:18" s="1036" customFormat="1" ht="30" customHeight="1">
      <c r="A238" s="1041">
        <v>116</v>
      </c>
      <c r="B238" s="995" t="s">
        <v>2034</v>
      </c>
      <c r="C238" s="995" t="s">
        <v>62</v>
      </c>
      <c r="D238" s="995"/>
      <c r="E238" s="995">
        <v>0</v>
      </c>
      <c r="F238" s="995">
        <v>0</v>
      </c>
      <c r="G238" s="995">
        <v>0</v>
      </c>
      <c r="H238" s="995">
        <v>0</v>
      </c>
      <c r="I238" s="995"/>
      <c r="J238" s="999"/>
      <c r="K238" s="995"/>
      <c r="L238" s="995"/>
      <c r="M238" s="995"/>
      <c r="N238" s="995"/>
      <c r="O238" s="995"/>
      <c r="P238" s="995"/>
      <c r="Q238" s="1365"/>
      <c r="R238" s="1070"/>
    </row>
    <row r="239" spans="1:18" s="1036" customFormat="1" ht="30" customHeight="1">
      <c r="A239" s="1041"/>
      <c r="B239" s="995"/>
      <c r="C239" s="995"/>
      <c r="D239" s="995"/>
      <c r="E239" s="995"/>
      <c r="F239" s="995"/>
      <c r="G239" s="995"/>
      <c r="H239" s="995"/>
      <c r="I239" s="995"/>
      <c r="J239" s="999">
        <v>409</v>
      </c>
      <c r="K239" s="995"/>
      <c r="L239" s="995"/>
      <c r="M239" s="995"/>
      <c r="N239" s="995"/>
      <c r="O239" s="995"/>
      <c r="P239" s="995"/>
      <c r="Q239" s="1365"/>
      <c r="R239" s="1070"/>
    </row>
    <row r="240" spans="1:18" s="1036" customFormat="1" ht="30" customHeight="1">
      <c r="A240" s="1041">
        <v>117</v>
      </c>
      <c r="B240" s="995" t="s">
        <v>2035</v>
      </c>
      <c r="C240" s="995" t="s">
        <v>62</v>
      </c>
      <c r="D240" s="995"/>
      <c r="E240" s="995">
        <v>0</v>
      </c>
      <c r="F240" s="995">
        <v>0</v>
      </c>
      <c r="G240" s="995">
        <v>0</v>
      </c>
      <c r="H240" s="995">
        <v>0</v>
      </c>
      <c r="I240" s="995" t="s">
        <v>3349</v>
      </c>
      <c r="J240" s="999"/>
      <c r="K240" s="995"/>
      <c r="L240" s="995" t="s">
        <v>2967</v>
      </c>
      <c r="M240" s="995" t="s">
        <v>22</v>
      </c>
      <c r="N240" s="995"/>
      <c r="O240" s="995"/>
      <c r="P240" s="995"/>
      <c r="Q240" s="1365"/>
      <c r="R240" s="1070"/>
    </row>
    <row r="241" spans="1:18" s="1036" customFormat="1" ht="30" customHeight="1">
      <c r="A241" s="1041"/>
      <c r="B241" s="995"/>
      <c r="C241" s="995"/>
      <c r="D241" s="995"/>
      <c r="E241" s="995"/>
      <c r="F241" s="995"/>
      <c r="G241" s="995"/>
      <c r="H241" s="995"/>
      <c r="I241" s="995"/>
      <c r="J241" s="999">
        <v>416</v>
      </c>
      <c r="K241" s="995"/>
      <c r="L241" s="995"/>
      <c r="M241" s="995"/>
      <c r="N241" s="995"/>
      <c r="O241" s="995"/>
      <c r="P241" s="995"/>
      <c r="Q241" s="1365"/>
      <c r="R241" s="1070"/>
    </row>
    <row r="242" spans="1:18" s="1036" customFormat="1" ht="30" customHeight="1">
      <c r="A242" s="1041">
        <v>118</v>
      </c>
      <c r="B242" s="995" t="s">
        <v>2036</v>
      </c>
      <c r="C242" s="995" t="s">
        <v>76</v>
      </c>
      <c r="D242" s="995"/>
      <c r="E242" s="995">
        <v>0</v>
      </c>
      <c r="F242" s="995">
        <v>0</v>
      </c>
      <c r="G242" s="995">
        <v>0</v>
      </c>
      <c r="H242" s="995">
        <v>0</v>
      </c>
      <c r="I242" s="995"/>
      <c r="J242" s="999"/>
      <c r="K242" s="995"/>
      <c r="L242" s="995"/>
      <c r="M242" s="995"/>
      <c r="N242" s="995"/>
      <c r="O242" s="995"/>
      <c r="P242" s="995"/>
      <c r="Q242" s="1365"/>
      <c r="R242" s="1070"/>
    </row>
    <row r="243" spans="1:18" s="1036" customFormat="1" ht="30" customHeight="1">
      <c r="A243" s="1041"/>
      <c r="B243" s="995"/>
      <c r="C243" s="995"/>
      <c r="D243" s="995"/>
      <c r="E243" s="995"/>
      <c r="F243" s="995"/>
      <c r="G243" s="995"/>
      <c r="H243" s="995"/>
      <c r="I243" s="995"/>
      <c r="J243" s="999">
        <v>397</v>
      </c>
      <c r="K243" s="995"/>
      <c r="L243" s="995"/>
      <c r="M243" s="995"/>
      <c r="N243" s="995"/>
      <c r="O243" s="995"/>
      <c r="P243" s="995"/>
      <c r="Q243" s="1365"/>
      <c r="R243" s="1070"/>
    </row>
    <row r="244" spans="1:18" s="1036" customFormat="1" ht="30" customHeight="1">
      <c r="A244" s="1041">
        <v>119</v>
      </c>
      <c r="B244" s="995" t="s">
        <v>2038</v>
      </c>
      <c r="C244" s="995" t="s">
        <v>76</v>
      </c>
      <c r="D244" s="995"/>
      <c r="E244" s="995">
        <v>0</v>
      </c>
      <c r="F244" s="995">
        <v>0</v>
      </c>
      <c r="G244" s="995">
        <v>0</v>
      </c>
      <c r="H244" s="995">
        <v>0</v>
      </c>
      <c r="I244" s="995"/>
      <c r="J244" s="999"/>
      <c r="K244" s="995"/>
      <c r="L244" s="995"/>
      <c r="M244" s="995"/>
      <c r="N244" s="995"/>
      <c r="O244" s="995"/>
      <c r="P244" s="995"/>
      <c r="Q244" s="1365"/>
      <c r="R244" s="1070"/>
    </row>
    <row r="245" spans="1:18" s="1036" customFormat="1" ht="30" customHeight="1">
      <c r="A245" s="1041"/>
      <c r="B245" s="995"/>
      <c r="C245" s="995"/>
      <c r="D245" s="995"/>
      <c r="E245" s="995"/>
      <c r="F245" s="995"/>
      <c r="G245" s="995"/>
      <c r="H245" s="995"/>
      <c r="I245" s="995"/>
      <c r="J245" s="999">
        <v>337</v>
      </c>
      <c r="K245" s="995"/>
      <c r="L245" s="995"/>
      <c r="M245" s="995"/>
      <c r="N245" s="995"/>
      <c r="O245" s="995"/>
      <c r="P245" s="995"/>
      <c r="Q245" s="1365"/>
      <c r="R245" s="1070"/>
    </row>
    <row r="246" spans="1:18" s="1036" customFormat="1" ht="30" customHeight="1">
      <c r="A246" s="1041">
        <v>120</v>
      </c>
      <c r="B246" s="995" t="s">
        <v>2040</v>
      </c>
      <c r="C246" s="995" t="s">
        <v>62</v>
      </c>
      <c r="D246" s="995"/>
      <c r="E246" s="995">
        <v>0</v>
      </c>
      <c r="F246" s="995">
        <v>0</v>
      </c>
      <c r="G246" s="995">
        <v>0</v>
      </c>
      <c r="H246" s="995">
        <v>0</v>
      </c>
      <c r="I246" s="995"/>
      <c r="J246" s="999"/>
      <c r="K246" s="995"/>
      <c r="L246" s="995"/>
      <c r="M246" s="995"/>
      <c r="N246" s="995"/>
      <c r="O246" s="995"/>
      <c r="P246" s="995"/>
      <c r="Q246" s="1365"/>
      <c r="R246" s="1070"/>
    </row>
    <row r="247" spans="1:18" s="1036" customFormat="1" ht="30" customHeight="1">
      <c r="A247" s="1041"/>
      <c r="B247" s="995"/>
      <c r="C247" s="995"/>
      <c r="D247" s="995"/>
      <c r="E247" s="995"/>
      <c r="F247" s="995"/>
      <c r="G247" s="995"/>
      <c r="H247" s="995"/>
      <c r="I247" s="995"/>
      <c r="J247" s="999">
        <v>451</v>
      </c>
      <c r="K247" s="995"/>
      <c r="L247" s="995"/>
      <c r="M247" s="995"/>
      <c r="N247" s="995"/>
      <c r="O247" s="995"/>
      <c r="P247" s="995"/>
      <c r="Q247" s="1365"/>
      <c r="R247" s="1070"/>
    </row>
    <row r="248" spans="1:18" s="1036" customFormat="1" ht="30" customHeight="1">
      <c r="A248" s="1041">
        <v>121</v>
      </c>
      <c r="B248" s="995" t="s">
        <v>2042</v>
      </c>
      <c r="C248" s="995" t="s">
        <v>53</v>
      </c>
      <c r="D248" s="995"/>
      <c r="E248" s="995">
        <v>0</v>
      </c>
      <c r="F248" s="995">
        <v>0</v>
      </c>
      <c r="G248" s="995">
        <v>0</v>
      </c>
      <c r="H248" s="995">
        <v>0</v>
      </c>
      <c r="I248" s="995" t="s">
        <v>897</v>
      </c>
      <c r="J248" s="999"/>
      <c r="K248" s="995"/>
      <c r="L248" s="995" t="s">
        <v>2967</v>
      </c>
      <c r="M248" s="995" t="s">
        <v>1009</v>
      </c>
      <c r="N248" s="995"/>
      <c r="O248" s="995"/>
      <c r="P248" s="995"/>
      <c r="Q248" s="1365"/>
      <c r="R248" s="1070"/>
    </row>
    <row r="249" spans="1:18" s="1036" customFormat="1" ht="30" customHeight="1">
      <c r="A249" s="1041"/>
      <c r="B249" s="995"/>
      <c r="C249" s="995"/>
      <c r="D249" s="995"/>
      <c r="E249" s="995"/>
      <c r="F249" s="995"/>
      <c r="G249" s="995"/>
      <c r="H249" s="995"/>
      <c r="I249" s="995"/>
      <c r="J249" s="999">
        <v>389</v>
      </c>
      <c r="K249" s="995"/>
      <c r="L249" s="995"/>
      <c r="M249" s="995"/>
      <c r="N249" s="995"/>
      <c r="O249" s="995"/>
      <c r="P249" s="995"/>
      <c r="Q249" s="1365"/>
      <c r="R249" s="1070"/>
    </row>
    <row r="250" spans="1:18" s="1036" customFormat="1" ht="30" customHeight="1">
      <c r="A250" s="1041">
        <v>122</v>
      </c>
      <c r="B250" s="995" t="s">
        <v>2044</v>
      </c>
      <c r="C250" s="995" t="s">
        <v>76</v>
      </c>
      <c r="D250" s="995"/>
      <c r="E250" s="995">
        <v>0</v>
      </c>
      <c r="F250" s="995">
        <v>0</v>
      </c>
      <c r="G250" s="995">
        <v>0</v>
      </c>
      <c r="H250" s="995">
        <v>0</v>
      </c>
      <c r="I250" s="995" t="s">
        <v>2768</v>
      </c>
      <c r="J250" s="999"/>
      <c r="K250" s="995"/>
      <c r="L250" s="995" t="s">
        <v>2967</v>
      </c>
      <c r="M250" s="995" t="s">
        <v>1009</v>
      </c>
      <c r="N250" s="995"/>
      <c r="O250" s="995"/>
      <c r="P250" s="995"/>
      <c r="Q250" s="1365"/>
      <c r="R250" s="1070"/>
    </row>
    <row r="251" spans="1:18" s="1036" customFormat="1" ht="30" customHeight="1">
      <c r="A251" s="1041"/>
      <c r="B251" s="995"/>
      <c r="C251" s="995"/>
      <c r="D251" s="995"/>
      <c r="E251" s="995"/>
      <c r="F251" s="995"/>
      <c r="G251" s="995"/>
      <c r="H251" s="995"/>
      <c r="I251" s="995"/>
      <c r="J251" s="999">
        <v>395</v>
      </c>
      <c r="K251" s="995"/>
      <c r="L251" s="995"/>
      <c r="M251" s="995"/>
      <c r="N251" s="995"/>
      <c r="O251" s="995"/>
      <c r="P251" s="995"/>
      <c r="Q251" s="1365"/>
      <c r="R251" s="1070"/>
    </row>
    <row r="252" spans="1:18" s="1036" customFormat="1" ht="30" customHeight="1">
      <c r="A252" s="1041">
        <v>123</v>
      </c>
      <c r="B252" s="995" t="s">
        <v>2046</v>
      </c>
      <c r="C252" s="995" t="s">
        <v>76</v>
      </c>
      <c r="D252" s="995"/>
      <c r="E252" s="995">
        <v>0</v>
      </c>
      <c r="F252" s="995">
        <v>0</v>
      </c>
      <c r="G252" s="995">
        <v>0</v>
      </c>
      <c r="H252" s="995">
        <v>0</v>
      </c>
      <c r="I252" s="995"/>
      <c r="J252" s="999"/>
      <c r="K252" s="995"/>
      <c r="L252" s="995"/>
      <c r="M252" s="995"/>
      <c r="N252" s="995"/>
      <c r="O252" s="995"/>
      <c r="P252" s="995"/>
      <c r="Q252" s="1365"/>
      <c r="R252" s="1070"/>
    </row>
    <row r="253" spans="1:18" s="1036" customFormat="1" ht="30" customHeight="1">
      <c r="A253" s="1041"/>
      <c r="B253" s="995"/>
      <c r="C253" s="995"/>
      <c r="D253" s="995"/>
      <c r="E253" s="995"/>
      <c r="F253" s="995"/>
      <c r="G253" s="995"/>
      <c r="H253" s="995"/>
      <c r="I253" s="995"/>
      <c r="J253" s="999">
        <v>391</v>
      </c>
      <c r="K253" s="995"/>
      <c r="L253" s="995"/>
      <c r="M253" s="995"/>
      <c r="N253" s="995"/>
      <c r="O253" s="995"/>
      <c r="P253" s="995"/>
      <c r="Q253" s="1365"/>
      <c r="R253" s="1070"/>
    </row>
    <row r="254" spans="1:18" s="1036" customFormat="1" ht="30" customHeight="1">
      <c r="A254" s="1041">
        <v>124</v>
      </c>
      <c r="B254" s="995" t="s">
        <v>2048</v>
      </c>
      <c r="C254" s="995" t="s">
        <v>76</v>
      </c>
      <c r="D254" s="995"/>
      <c r="E254" s="995">
        <v>0</v>
      </c>
      <c r="F254" s="995">
        <v>0</v>
      </c>
      <c r="G254" s="995">
        <v>0</v>
      </c>
      <c r="H254" s="995">
        <v>0</v>
      </c>
      <c r="I254" s="995"/>
      <c r="J254" s="999"/>
      <c r="K254" s="995"/>
      <c r="L254" s="995"/>
      <c r="M254" s="995"/>
      <c r="N254" s="995"/>
      <c r="O254" s="995"/>
      <c r="P254" s="995"/>
      <c r="Q254" s="1365"/>
      <c r="R254" s="1070"/>
    </row>
    <row r="255" spans="1:18" s="1036" customFormat="1" ht="30" customHeight="1">
      <c r="A255" s="1041"/>
      <c r="B255" s="995"/>
      <c r="C255" s="995"/>
      <c r="D255" s="995"/>
      <c r="E255" s="995"/>
      <c r="F255" s="995"/>
      <c r="G255" s="995"/>
      <c r="H255" s="995"/>
      <c r="I255" s="995"/>
      <c r="J255" s="999">
        <v>425.90300000000002</v>
      </c>
      <c r="K255" s="995"/>
      <c r="L255" s="995"/>
      <c r="M255" s="995"/>
      <c r="N255" s="995"/>
      <c r="O255" s="995"/>
      <c r="P255" s="995"/>
      <c r="Q255" s="1365"/>
      <c r="R255" s="1070"/>
    </row>
    <row r="256" spans="1:18" s="1036" customFormat="1" ht="30" customHeight="1">
      <c r="A256" s="1041">
        <v>125</v>
      </c>
      <c r="B256" s="995" t="s">
        <v>3121</v>
      </c>
      <c r="C256" s="995" t="s">
        <v>1957</v>
      </c>
      <c r="D256" s="995"/>
      <c r="E256" s="995">
        <v>0</v>
      </c>
      <c r="F256" s="995">
        <v>0</v>
      </c>
      <c r="G256" s="995">
        <v>0</v>
      </c>
      <c r="H256" s="995">
        <v>0</v>
      </c>
      <c r="I256" s="995"/>
      <c r="J256" s="1068"/>
      <c r="K256" s="1043">
        <f>J235+J237+J239+J241+J243+J245+J247+J249+J251+J253+J255</f>
        <v>4450.9030000000002</v>
      </c>
      <c r="L256" s="1043"/>
      <c r="M256" s="1043"/>
      <c r="N256" s="1043"/>
      <c r="O256" s="1043"/>
      <c r="P256" s="1043"/>
      <c r="Q256" s="1043"/>
      <c r="R256" s="1045"/>
    </row>
    <row r="257" spans="2:10" ht="30" customHeight="1">
      <c r="J257" s="1014">
        <f>SUM(J8:J256)/1000</f>
        <v>46.051480999999995</v>
      </c>
    </row>
    <row r="260" spans="2:10">
      <c r="B260" s="1122"/>
    </row>
    <row r="261" spans="2:10">
      <c r="B261" s="1123"/>
    </row>
    <row r="263" spans="2:10">
      <c r="B263" s="1123"/>
    </row>
  </sheetData>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0" priority="3" operator="equal">
      <formula>"WIP"</formula>
    </cfRule>
    <cfRule type="cellIs" dxfId="3579" priority="4" operator="equal">
      <formula>"C"</formula>
    </cfRule>
  </conditionalFormatting>
  <conditionalFormatting sqref="B1:B1048576">
    <cfRule type="duplicateValues" dxfId="3578" priority="1"/>
  </conditionalFormatting>
  <conditionalFormatting sqref="L1:L1048576">
    <cfRule type="cellIs" dxfId="3577"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3">
        <v>1</v>
      </c>
      <c r="B5" s="893" t="s">
        <v>2395</v>
      </c>
      <c r="C5" s="893" t="s">
        <v>2773</v>
      </c>
      <c r="D5" s="895">
        <f>119.059/1000</f>
        <v>0.119059</v>
      </c>
      <c r="H5" s="893">
        <v>1</v>
      </c>
      <c r="I5" s="893" t="s">
        <v>2766</v>
      </c>
      <c r="J5" s="895">
        <v>1.9450000000000001</v>
      </c>
    </row>
    <row r="6" spans="1:10" s="757" customFormat="1">
      <c r="A6" s="893">
        <f t="shared" ref="A6:A21" si="0">A5+1</f>
        <v>2</v>
      </c>
      <c r="B6" s="893" t="s">
        <v>2395</v>
      </c>
      <c r="C6" s="893" t="s">
        <v>2774</v>
      </c>
      <c r="D6" s="895">
        <f>92.496/1000</f>
        <v>9.2495999999999995E-2</v>
      </c>
      <c r="H6" s="829">
        <v>2</v>
      </c>
      <c r="I6" s="851" t="s">
        <v>2657</v>
      </c>
      <c r="J6" s="848">
        <v>3.13</v>
      </c>
    </row>
    <row r="7" spans="1:10" s="757" customFormat="1">
      <c r="A7" s="893">
        <f t="shared" si="0"/>
        <v>3</v>
      </c>
      <c r="B7" s="893" t="s">
        <v>2395</v>
      </c>
      <c r="C7" s="893" t="s">
        <v>2775</v>
      </c>
      <c r="D7" s="895">
        <f>134.988/1000</f>
        <v>0.134988</v>
      </c>
      <c r="H7" s="829">
        <v>3</v>
      </c>
      <c r="I7" s="969" t="s">
        <v>2884</v>
      </c>
      <c r="J7" s="970">
        <v>5.5</v>
      </c>
    </row>
    <row r="8" spans="1:10" s="757" customFormat="1">
      <c r="A8" s="893">
        <f t="shared" si="0"/>
        <v>4</v>
      </c>
      <c r="B8" s="893" t="s">
        <v>2395</v>
      </c>
      <c r="C8" s="893" t="s">
        <v>2776</v>
      </c>
      <c r="D8" s="895">
        <f>365.176/1000</f>
        <v>0.365176</v>
      </c>
      <c r="H8" s="1267" t="s">
        <v>994</v>
      </c>
      <c r="I8" s="1267"/>
      <c r="J8" s="896">
        <f>SUM(J5:J7)</f>
        <v>10.574999999999999</v>
      </c>
    </row>
    <row r="9" spans="1:10" s="757" customFormat="1">
      <c r="A9" s="893">
        <f t="shared" si="0"/>
        <v>5</v>
      </c>
      <c r="B9" s="893" t="s">
        <v>2395</v>
      </c>
      <c r="C9" s="893" t="s">
        <v>2777</v>
      </c>
      <c r="D9" s="895">
        <f>236.697/1000</f>
        <v>0.23669699999999999</v>
      </c>
    </row>
    <row r="10" spans="1:10" s="757" customFormat="1">
      <c r="A10" s="893">
        <f t="shared" si="0"/>
        <v>6</v>
      </c>
      <c r="B10" s="893" t="s">
        <v>2395</v>
      </c>
      <c r="C10" s="893" t="s">
        <v>2778</v>
      </c>
      <c r="D10" s="895">
        <f>213.152/1000</f>
        <v>0.21315199999999998</v>
      </c>
      <c r="H10" s="651" t="s">
        <v>2729</v>
      </c>
    </row>
    <row r="11" spans="1:10" s="757" customFormat="1">
      <c r="A11" s="893">
        <f t="shared" si="0"/>
        <v>7</v>
      </c>
      <c r="B11" s="893" t="s">
        <v>2395</v>
      </c>
      <c r="C11" s="893" t="s">
        <v>2779</v>
      </c>
      <c r="D11" s="895">
        <f>206.593/1000</f>
        <v>0.206593</v>
      </c>
      <c r="H11" s="651" t="s">
        <v>1919</v>
      </c>
    </row>
    <row r="12" spans="1:10" s="757" customFormat="1" ht="29">
      <c r="A12" s="893">
        <f t="shared" si="0"/>
        <v>8</v>
      </c>
      <c r="B12" s="893" t="s">
        <v>2395</v>
      </c>
      <c r="C12" s="893" t="s">
        <v>2780</v>
      </c>
      <c r="D12" s="895">
        <f>289.862/1000</f>
        <v>0.28986200000000001</v>
      </c>
      <c r="H12" s="10" t="s">
        <v>1786</v>
      </c>
      <c r="I12" s="10" t="s">
        <v>1433</v>
      </c>
      <c r="J12" s="756" t="s">
        <v>1873</v>
      </c>
    </row>
    <row r="13" spans="1:10" s="757" customFormat="1">
      <c r="A13" s="893">
        <f t="shared" si="0"/>
        <v>9</v>
      </c>
      <c r="B13" s="893" t="s">
        <v>2395</v>
      </c>
      <c r="C13" s="893" t="s">
        <v>2781</v>
      </c>
      <c r="D13" s="895">
        <f>402.938/1000</f>
        <v>0.40293799999999996</v>
      </c>
      <c r="H13" s="893">
        <v>1</v>
      </c>
      <c r="I13" s="893" t="s">
        <v>2783</v>
      </c>
      <c r="J13" s="895">
        <v>2.1800000000000002</v>
      </c>
    </row>
    <row r="14" spans="1:10" s="757" customFormat="1">
      <c r="A14" s="893">
        <f t="shared" si="0"/>
        <v>10</v>
      </c>
      <c r="B14" s="893" t="s">
        <v>2395</v>
      </c>
      <c r="C14" s="893" t="s">
        <v>2782</v>
      </c>
      <c r="D14" s="895">
        <f>284.883/1000</f>
        <v>0.284883</v>
      </c>
    </row>
    <row r="15" spans="1:10" s="757" customFormat="1">
      <c r="A15" s="893">
        <f t="shared" si="0"/>
        <v>11</v>
      </c>
      <c r="B15" s="893" t="s">
        <v>2395</v>
      </c>
      <c r="C15" s="829" t="s">
        <v>2624</v>
      </c>
      <c r="D15" s="848">
        <f>1673.439/1000</f>
        <v>1.6734390000000001</v>
      </c>
    </row>
    <row r="16" spans="1:10" s="757" customFormat="1">
      <c r="A16" s="829">
        <f t="shared" si="0"/>
        <v>12</v>
      </c>
      <c r="B16" s="893" t="s">
        <v>2395</v>
      </c>
      <c r="C16" s="829" t="s">
        <v>2625</v>
      </c>
      <c r="D16" s="848">
        <f>285.948/1000</f>
        <v>0.28594799999999998</v>
      </c>
    </row>
    <row r="17" spans="1:4" s="757" customFormat="1">
      <c r="A17" s="829">
        <f t="shared" si="0"/>
        <v>13</v>
      </c>
      <c r="B17" s="893" t="s">
        <v>2395</v>
      </c>
      <c r="C17" s="829" t="s">
        <v>2626</v>
      </c>
      <c r="D17" s="848">
        <f>401.159/1000</f>
        <v>0.40115899999999999</v>
      </c>
    </row>
    <row r="18" spans="1:4" s="757" customFormat="1">
      <c r="A18" s="829">
        <f t="shared" si="0"/>
        <v>14</v>
      </c>
      <c r="B18" s="893" t="s">
        <v>2395</v>
      </c>
      <c r="C18" s="829" t="s">
        <v>2627</v>
      </c>
      <c r="D18" s="848">
        <f>1055.218/1000</f>
        <v>1.055218</v>
      </c>
    </row>
    <row r="19" spans="1:4" s="757" customFormat="1">
      <c r="A19" s="829">
        <f t="shared" si="0"/>
        <v>15</v>
      </c>
      <c r="B19" s="893" t="s">
        <v>2395</v>
      </c>
      <c r="C19" s="829" t="s">
        <v>2628</v>
      </c>
      <c r="D19" s="848">
        <f>1088.747/1000</f>
        <v>1.0887470000000001</v>
      </c>
    </row>
    <row r="20" spans="1:4">
      <c r="A20" s="829">
        <f t="shared" si="0"/>
        <v>16</v>
      </c>
      <c r="B20" s="893" t="s">
        <v>2395</v>
      </c>
      <c r="C20" s="33" t="s">
        <v>1874</v>
      </c>
      <c r="D20" s="755">
        <f>485.93/1000</f>
        <v>0.48593000000000003</v>
      </c>
    </row>
    <row r="21" spans="1:4">
      <c r="A21" s="33">
        <f t="shared" si="0"/>
        <v>17</v>
      </c>
      <c r="B21" s="893" t="s">
        <v>2395</v>
      </c>
      <c r="C21" s="33" t="s">
        <v>1875</v>
      </c>
      <c r="D21" s="755">
        <f>712.337/1000</f>
        <v>0.712337</v>
      </c>
    </row>
    <row r="22" spans="1:4">
      <c r="A22" s="33">
        <f t="shared" ref="A22:A41" si="1">A21+1</f>
        <v>18</v>
      </c>
      <c r="B22" s="893" t="s">
        <v>2395</v>
      </c>
      <c r="C22" s="33" t="s">
        <v>1876</v>
      </c>
      <c r="D22" s="755">
        <f>1177.079/1000</f>
        <v>1.177079</v>
      </c>
    </row>
    <row r="23" spans="1:4">
      <c r="A23" s="33">
        <f t="shared" si="1"/>
        <v>19</v>
      </c>
      <c r="B23" s="893" t="s">
        <v>2395</v>
      </c>
      <c r="C23" s="33" t="s">
        <v>1877</v>
      </c>
      <c r="D23" s="755">
        <f>2454.951/1000</f>
        <v>2.4549509999999999</v>
      </c>
    </row>
    <row r="24" spans="1:4">
      <c r="A24" s="33">
        <f t="shared" si="1"/>
        <v>20</v>
      </c>
      <c r="B24" s="893" t="s">
        <v>2395</v>
      </c>
      <c r="C24" s="33" t="s">
        <v>1878</v>
      </c>
      <c r="D24" s="755">
        <f>366.044/1000</f>
        <v>0.36604399999999998</v>
      </c>
    </row>
    <row r="25" spans="1:4">
      <c r="A25" s="33">
        <f t="shared" si="1"/>
        <v>21</v>
      </c>
      <c r="B25" s="893" t="s">
        <v>2395</v>
      </c>
      <c r="C25" s="33" t="s">
        <v>1879</v>
      </c>
      <c r="D25" s="755">
        <f>1028.029/1000</f>
        <v>1.0280290000000001</v>
      </c>
    </row>
    <row r="26" spans="1:4">
      <c r="A26" s="33">
        <f t="shared" si="1"/>
        <v>22</v>
      </c>
      <c r="B26" s="893" t="s">
        <v>2395</v>
      </c>
      <c r="C26" s="33" t="s">
        <v>1880</v>
      </c>
      <c r="D26" s="755">
        <f>442.371/1000</f>
        <v>0.44237099999999996</v>
      </c>
    </row>
    <row r="27" spans="1:4">
      <c r="A27" s="33">
        <f t="shared" si="1"/>
        <v>23</v>
      </c>
      <c r="B27" s="893" t="s">
        <v>2395</v>
      </c>
      <c r="C27" s="33" t="s">
        <v>1881</v>
      </c>
      <c r="D27" s="755">
        <f>739.739/1000</f>
        <v>0.73973900000000004</v>
      </c>
    </row>
    <row r="28" spans="1:4">
      <c r="A28" s="33">
        <f t="shared" si="1"/>
        <v>24</v>
      </c>
      <c r="B28" s="893" t="s">
        <v>2395</v>
      </c>
      <c r="C28" s="33" t="s">
        <v>1882</v>
      </c>
      <c r="D28" s="755">
        <f>445.991/1000</f>
        <v>0.44599099999999997</v>
      </c>
    </row>
    <row r="29" spans="1:4">
      <c r="A29" s="33">
        <f t="shared" si="1"/>
        <v>25</v>
      </c>
      <c r="B29" s="893" t="s">
        <v>2395</v>
      </c>
      <c r="C29" s="33" t="s">
        <v>1883</v>
      </c>
      <c r="D29" s="755">
        <f>2573.629/1000</f>
        <v>2.5736289999999999</v>
      </c>
    </row>
    <row r="30" spans="1:4">
      <c r="A30" s="33">
        <f t="shared" si="1"/>
        <v>26</v>
      </c>
      <c r="B30" s="893" t="s">
        <v>2395</v>
      </c>
      <c r="C30" s="33" t="s">
        <v>1884</v>
      </c>
      <c r="D30" s="755">
        <f>2514.73/1000</f>
        <v>2.5147300000000001</v>
      </c>
    </row>
    <row r="31" spans="1:4" ht="14.5" customHeight="1">
      <c r="A31" s="33">
        <f t="shared" si="1"/>
        <v>27</v>
      </c>
      <c r="B31" s="893" t="s">
        <v>2395</v>
      </c>
      <c r="C31" s="33" t="s">
        <v>1885</v>
      </c>
      <c r="D31" s="755">
        <f>2374.48/1000</f>
        <v>2.3744800000000001</v>
      </c>
    </row>
    <row r="32" spans="1:4">
      <c r="A32" s="33">
        <f t="shared" si="1"/>
        <v>28</v>
      </c>
      <c r="B32" s="893" t="s">
        <v>2395</v>
      </c>
      <c r="C32" s="33" t="s">
        <v>1886</v>
      </c>
      <c r="D32" s="755">
        <f>836.984/1000</f>
        <v>0.83698400000000006</v>
      </c>
    </row>
    <row r="33" spans="1:4">
      <c r="A33" s="33">
        <f t="shared" si="1"/>
        <v>29</v>
      </c>
      <c r="B33" s="893" t="s">
        <v>2395</v>
      </c>
      <c r="C33" s="33" t="s">
        <v>1887</v>
      </c>
      <c r="D33" s="755">
        <f>967.8/1000</f>
        <v>0.96779999999999999</v>
      </c>
    </row>
    <row r="34" spans="1:4">
      <c r="A34" s="33">
        <f t="shared" si="1"/>
        <v>30</v>
      </c>
      <c r="B34" s="893" t="s">
        <v>2395</v>
      </c>
      <c r="C34" s="33" t="s">
        <v>1888</v>
      </c>
      <c r="D34" s="755">
        <f>819.907/1000</f>
        <v>0.81990700000000005</v>
      </c>
    </row>
    <row r="35" spans="1:4">
      <c r="A35" s="33">
        <f t="shared" si="1"/>
        <v>31</v>
      </c>
      <c r="B35" s="893" t="s">
        <v>2395</v>
      </c>
      <c r="C35" s="33" t="s">
        <v>1889</v>
      </c>
      <c r="D35" s="755">
        <f>820.234/1000</f>
        <v>0.82023400000000002</v>
      </c>
    </row>
    <row r="36" spans="1:4">
      <c r="A36" s="33">
        <f t="shared" si="1"/>
        <v>32</v>
      </c>
      <c r="B36" s="893" t="s">
        <v>2395</v>
      </c>
      <c r="C36" s="33" t="s">
        <v>1890</v>
      </c>
      <c r="D36" s="755">
        <f>439.8/1000</f>
        <v>0.43980000000000002</v>
      </c>
    </row>
    <row r="37" spans="1:4">
      <c r="A37" s="33">
        <f t="shared" si="1"/>
        <v>33</v>
      </c>
      <c r="B37" s="893" t="s">
        <v>2395</v>
      </c>
      <c r="C37" s="33" t="s">
        <v>1891</v>
      </c>
      <c r="D37" s="755">
        <f>1203.4/1000</f>
        <v>1.2034</v>
      </c>
    </row>
    <row r="38" spans="1:4">
      <c r="A38" s="33">
        <f t="shared" si="1"/>
        <v>34</v>
      </c>
      <c r="B38" s="893" t="s">
        <v>2395</v>
      </c>
      <c r="C38" s="33" t="s">
        <v>1892</v>
      </c>
      <c r="D38" s="755">
        <f>775.272/1000</f>
        <v>0.77527200000000007</v>
      </c>
    </row>
    <row r="39" spans="1:4">
      <c r="A39" s="33">
        <f t="shared" si="1"/>
        <v>35</v>
      </c>
      <c r="B39" s="893" t="s">
        <v>2395</v>
      </c>
      <c r="C39" s="33" t="s">
        <v>1893</v>
      </c>
      <c r="D39" s="755">
        <f>1209.893/1000</f>
        <v>1.2098930000000001</v>
      </c>
    </row>
    <row r="40" spans="1:4">
      <c r="A40" s="33">
        <f t="shared" si="1"/>
        <v>36</v>
      </c>
      <c r="B40" s="893" t="s">
        <v>2395</v>
      </c>
      <c r="C40" s="33" t="s">
        <v>1894</v>
      </c>
      <c r="D40" s="755">
        <f>1760.473/1000</f>
        <v>1.760473</v>
      </c>
    </row>
    <row r="41" spans="1:4">
      <c r="A41" s="33">
        <f t="shared" si="1"/>
        <v>37</v>
      </c>
      <c r="B41" s="893" t="s">
        <v>2395</v>
      </c>
      <c r="C41" s="33" t="s">
        <v>1895</v>
      </c>
      <c r="D41" s="898">
        <f>212.44/1000</f>
        <v>0.21243999999999999</v>
      </c>
    </row>
    <row r="42" spans="1:4">
      <c r="A42" s="33">
        <f t="shared" ref="A42:A105" si="2">A41+1</f>
        <v>38</v>
      </c>
      <c r="B42" s="893" t="s">
        <v>2395</v>
      </c>
      <c r="C42" s="33" t="s">
        <v>1896</v>
      </c>
      <c r="D42" s="898">
        <f>1361.04/1000</f>
        <v>1.36104</v>
      </c>
    </row>
    <row r="43" spans="1:4">
      <c r="A43" s="33">
        <f t="shared" si="2"/>
        <v>39</v>
      </c>
      <c r="B43" s="893" t="s">
        <v>2395</v>
      </c>
      <c r="C43" s="33" t="s">
        <v>1897</v>
      </c>
      <c r="D43" s="898">
        <f>1911.9/1000</f>
        <v>1.9119000000000002</v>
      </c>
    </row>
    <row r="44" spans="1:4">
      <c r="A44" s="33">
        <f t="shared" si="2"/>
        <v>40</v>
      </c>
      <c r="B44" s="893" t="s">
        <v>2395</v>
      </c>
      <c r="C44" s="33" t="s">
        <v>1898</v>
      </c>
      <c r="D44" s="898">
        <f>1474.69/1000</f>
        <v>1.4746900000000001</v>
      </c>
    </row>
    <row r="45" spans="1:4">
      <c r="A45" s="33">
        <f t="shared" si="2"/>
        <v>41</v>
      </c>
      <c r="B45" s="893" t="s">
        <v>2395</v>
      </c>
      <c r="C45" s="33" t="s">
        <v>1899</v>
      </c>
      <c r="D45" s="898">
        <f>1079.5/1000</f>
        <v>1.0794999999999999</v>
      </c>
    </row>
    <row r="46" spans="1:4">
      <c r="A46" s="33">
        <f t="shared" si="2"/>
        <v>42</v>
      </c>
      <c r="B46" s="893" t="s">
        <v>2395</v>
      </c>
      <c r="C46" s="33" t="s">
        <v>1900</v>
      </c>
      <c r="D46" s="898">
        <f>2216.45/1000</f>
        <v>2.21645</v>
      </c>
    </row>
    <row r="47" spans="1:4">
      <c r="A47" s="33">
        <f t="shared" si="2"/>
        <v>43</v>
      </c>
      <c r="B47" s="893" t="s">
        <v>2395</v>
      </c>
      <c r="C47" s="33" t="s">
        <v>1901</v>
      </c>
      <c r="D47" s="898">
        <f>1360.36/1000</f>
        <v>1.3603599999999998</v>
      </c>
    </row>
    <row r="48" spans="1:4">
      <c r="A48" s="33">
        <f t="shared" si="2"/>
        <v>44</v>
      </c>
      <c r="B48" s="893" t="s">
        <v>2395</v>
      </c>
      <c r="C48" s="33" t="s">
        <v>1902</v>
      </c>
      <c r="D48" s="898">
        <f>371.5/1000</f>
        <v>0.3715</v>
      </c>
    </row>
    <row r="49" spans="1:4">
      <c r="A49" s="33">
        <f t="shared" si="2"/>
        <v>45</v>
      </c>
      <c r="B49" s="893" t="s">
        <v>2395</v>
      </c>
      <c r="C49" s="33" t="s">
        <v>1903</v>
      </c>
      <c r="D49" s="898">
        <f>203.3/1000</f>
        <v>0.20330000000000001</v>
      </c>
    </row>
    <row r="50" spans="1:4">
      <c r="A50" s="33">
        <f t="shared" si="2"/>
        <v>46</v>
      </c>
      <c r="B50" s="893" t="s">
        <v>2395</v>
      </c>
      <c r="C50" s="33" t="s">
        <v>1904</v>
      </c>
      <c r="D50" s="898">
        <f>409.91/1000</f>
        <v>0.40991000000000005</v>
      </c>
    </row>
    <row r="51" spans="1:4">
      <c r="A51" s="33">
        <f t="shared" si="2"/>
        <v>47</v>
      </c>
      <c r="B51" s="893" t="s">
        <v>2395</v>
      </c>
      <c r="C51" s="33" t="s">
        <v>1905</v>
      </c>
      <c r="D51" s="898">
        <f>4450.9/1000</f>
        <v>4.4508999999999999</v>
      </c>
    </row>
    <row r="52" spans="1:4">
      <c r="A52" s="33">
        <f t="shared" si="2"/>
        <v>48</v>
      </c>
      <c r="B52" s="893" t="s">
        <v>2400</v>
      </c>
      <c r="C52" s="33" t="s">
        <v>1906</v>
      </c>
      <c r="D52" s="898">
        <f>416.66/1000</f>
        <v>0.41666000000000003</v>
      </c>
    </row>
    <row r="53" spans="1:4">
      <c r="A53" s="33">
        <f t="shared" si="2"/>
        <v>49</v>
      </c>
      <c r="B53" s="893" t="s">
        <v>2400</v>
      </c>
      <c r="C53" s="33" t="s">
        <v>1907</v>
      </c>
      <c r="D53" s="898">
        <f>389.29/1000</f>
        <v>0.38929000000000002</v>
      </c>
    </row>
    <row r="54" spans="1:4">
      <c r="A54" s="33">
        <f t="shared" si="2"/>
        <v>50</v>
      </c>
      <c r="B54" s="893" t="s">
        <v>2400</v>
      </c>
      <c r="C54" s="33" t="s">
        <v>1908</v>
      </c>
      <c r="D54" s="898">
        <f>793.45/1000</f>
        <v>0.7934500000000001</v>
      </c>
    </row>
    <row r="55" spans="1:4">
      <c r="A55" s="33">
        <f t="shared" si="2"/>
        <v>51</v>
      </c>
      <c r="B55" s="893" t="s">
        <v>2400</v>
      </c>
      <c r="C55" s="33" t="s">
        <v>1909</v>
      </c>
      <c r="D55" s="898">
        <f>1906.1/1000</f>
        <v>1.9060999999999999</v>
      </c>
    </row>
    <row r="56" spans="1:4">
      <c r="A56" s="33">
        <f t="shared" si="2"/>
        <v>52</v>
      </c>
      <c r="B56" s="893" t="s">
        <v>2400</v>
      </c>
      <c r="C56" s="33" t="s">
        <v>1910</v>
      </c>
      <c r="D56" s="898">
        <f>982.37/1000</f>
        <v>0.98236999999999997</v>
      </c>
    </row>
    <row r="57" spans="1:4">
      <c r="A57" s="33">
        <f t="shared" si="2"/>
        <v>53</v>
      </c>
      <c r="B57" s="893" t="s">
        <v>2400</v>
      </c>
      <c r="C57" s="33" t="s">
        <v>1911</v>
      </c>
      <c r="D57" s="898">
        <f>406.44/1000</f>
        <v>0.40644000000000002</v>
      </c>
    </row>
    <row r="58" spans="1:4">
      <c r="A58" s="33">
        <f t="shared" si="2"/>
        <v>54</v>
      </c>
      <c r="B58" s="893" t="s">
        <v>2400</v>
      </c>
      <c r="C58" s="33" t="s">
        <v>1912</v>
      </c>
      <c r="D58" s="898">
        <f>788.04/1000</f>
        <v>0.78803999999999996</v>
      </c>
    </row>
    <row r="59" spans="1:4">
      <c r="A59" s="33">
        <f t="shared" si="2"/>
        <v>55</v>
      </c>
      <c r="B59" s="893" t="s">
        <v>2400</v>
      </c>
      <c r="C59" s="33" t="s">
        <v>1913</v>
      </c>
      <c r="D59" s="898">
        <f>757.58/1000</f>
        <v>0.75758000000000003</v>
      </c>
    </row>
    <row r="60" spans="1:4">
      <c r="A60" s="33">
        <f t="shared" si="2"/>
        <v>56</v>
      </c>
      <c r="B60" s="893" t="s">
        <v>2400</v>
      </c>
      <c r="C60" s="33" t="s">
        <v>1914</v>
      </c>
      <c r="D60" s="898">
        <f>563.92/1000</f>
        <v>0.56391999999999998</v>
      </c>
    </row>
    <row r="61" spans="1:4">
      <c r="A61" s="33">
        <f t="shared" si="2"/>
        <v>57</v>
      </c>
      <c r="B61" s="893" t="s">
        <v>2400</v>
      </c>
      <c r="C61" s="33" t="s">
        <v>1915</v>
      </c>
      <c r="D61" s="898">
        <f>1081.23/1000</f>
        <v>1.0812299999999999</v>
      </c>
    </row>
    <row r="62" spans="1:4">
      <c r="A62" s="33">
        <f t="shared" si="2"/>
        <v>58</v>
      </c>
      <c r="B62" s="893" t="s">
        <v>2400</v>
      </c>
      <c r="C62" s="33" t="s">
        <v>1916</v>
      </c>
      <c r="D62" s="898">
        <f>450.86/1000</f>
        <v>0.45086000000000004</v>
      </c>
    </row>
    <row r="63" spans="1:4">
      <c r="A63" s="33">
        <f t="shared" si="2"/>
        <v>59</v>
      </c>
      <c r="B63" s="893" t="s">
        <v>2400</v>
      </c>
      <c r="C63" s="33" t="s">
        <v>1917</v>
      </c>
      <c r="D63" s="898">
        <f>602.84/1000</f>
        <v>0.60284000000000004</v>
      </c>
    </row>
    <row r="64" spans="1:4">
      <c r="A64" s="33">
        <f t="shared" si="2"/>
        <v>60</v>
      </c>
      <c r="B64" s="893" t="s">
        <v>2400</v>
      </c>
      <c r="C64" s="33" t="s">
        <v>1918</v>
      </c>
      <c r="D64" s="898">
        <f>2228.49/1000</f>
        <v>2.2284899999999999</v>
      </c>
    </row>
    <row r="65" spans="1:4">
      <c r="A65" s="33">
        <f t="shared" si="2"/>
        <v>61</v>
      </c>
      <c r="B65" s="893" t="s">
        <v>2400</v>
      </c>
      <c r="C65" s="793" t="s">
        <v>2364</v>
      </c>
      <c r="D65" s="898">
        <f>1598.955/1000</f>
        <v>1.5989549999999999</v>
      </c>
    </row>
    <row r="66" spans="1:4">
      <c r="A66" s="33">
        <f t="shared" si="2"/>
        <v>62</v>
      </c>
      <c r="B66" s="893" t="s">
        <v>2400</v>
      </c>
      <c r="C66" s="793" t="s">
        <v>2365</v>
      </c>
      <c r="D66" s="898">
        <f>1666.222/1000</f>
        <v>1.6662219999999999</v>
      </c>
    </row>
    <row r="67" spans="1:4">
      <c r="A67" s="33">
        <f t="shared" si="2"/>
        <v>63</v>
      </c>
      <c r="B67" s="893" t="s">
        <v>2400</v>
      </c>
      <c r="C67" s="793" t="s">
        <v>2366</v>
      </c>
      <c r="D67" s="898">
        <f>809.571/1000</f>
        <v>0.80957100000000004</v>
      </c>
    </row>
    <row r="68" spans="1:4">
      <c r="A68" s="33">
        <f t="shared" si="2"/>
        <v>64</v>
      </c>
      <c r="B68" s="893" t="s">
        <v>2400</v>
      </c>
      <c r="C68" s="793" t="s">
        <v>2367</v>
      </c>
      <c r="D68" s="898">
        <f>406.688/1000</f>
        <v>0.40668799999999999</v>
      </c>
    </row>
    <row r="69" spans="1:4">
      <c r="A69" s="33">
        <f t="shared" si="2"/>
        <v>65</v>
      </c>
      <c r="B69" s="893" t="s">
        <v>2400</v>
      </c>
      <c r="C69" s="793" t="s">
        <v>2368</v>
      </c>
      <c r="D69" s="898">
        <f>316.253/1000</f>
        <v>0.31625300000000001</v>
      </c>
    </row>
    <row r="70" spans="1:4">
      <c r="A70" s="33">
        <f t="shared" si="2"/>
        <v>66</v>
      </c>
      <c r="B70" s="893" t="s">
        <v>2400</v>
      </c>
      <c r="C70" s="793" t="s">
        <v>2369</v>
      </c>
      <c r="D70" s="898">
        <f>248.423/1000</f>
        <v>0.248423</v>
      </c>
    </row>
    <row r="71" spans="1:4">
      <c r="A71" s="33">
        <f t="shared" si="2"/>
        <v>67</v>
      </c>
      <c r="B71" s="893" t="s">
        <v>2400</v>
      </c>
      <c r="C71" s="793" t="s">
        <v>2370</v>
      </c>
      <c r="D71" s="898">
        <f>1681.454/1000</f>
        <v>1.681454</v>
      </c>
    </row>
    <row r="72" spans="1:4">
      <c r="A72" s="33">
        <f t="shared" si="2"/>
        <v>68</v>
      </c>
      <c r="B72" s="893" t="s">
        <v>2400</v>
      </c>
      <c r="C72" s="793" t="s">
        <v>2371</v>
      </c>
      <c r="D72" s="898">
        <f>1630.396/1000</f>
        <v>1.630396</v>
      </c>
    </row>
    <row r="73" spans="1:4">
      <c r="A73" s="33">
        <f t="shared" si="2"/>
        <v>69</v>
      </c>
      <c r="B73" s="893" t="s">
        <v>2400</v>
      </c>
      <c r="C73" s="793" t="s">
        <v>2372</v>
      </c>
      <c r="D73" s="898">
        <f>320.743/1000</f>
        <v>0.320743</v>
      </c>
    </row>
    <row r="74" spans="1:4">
      <c r="A74" s="33">
        <f t="shared" si="2"/>
        <v>70</v>
      </c>
      <c r="B74" s="893" t="s">
        <v>2400</v>
      </c>
      <c r="C74" s="793" t="s">
        <v>2373</v>
      </c>
      <c r="D74" s="898">
        <f>242.225/1000</f>
        <v>0.242225</v>
      </c>
    </row>
    <row r="75" spans="1:4">
      <c r="A75" s="33">
        <f t="shared" si="2"/>
        <v>71</v>
      </c>
      <c r="B75" s="893" t="s">
        <v>2400</v>
      </c>
      <c r="C75" s="793" t="s">
        <v>2374</v>
      </c>
      <c r="D75" s="898">
        <f>839.249/1000</f>
        <v>0.83924900000000002</v>
      </c>
    </row>
    <row r="76" spans="1:4">
      <c r="A76" s="33">
        <f t="shared" si="2"/>
        <v>72</v>
      </c>
      <c r="B76" s="893" t="s">
        <v>2400</v>
      </c>
      <c r="C76" s="793" t="s">
        <v>2375</v>
      </c>
      <c r="D76" s="898">
        <f>242.663/1000</f>
        <v>0.24266300000000002</v>
      </c>
    </row>
    <row r="77" spans="1:4">
      <c r="A77" s="33">
        <f t="shared" si="2"/>
        <v>73</v>
      </c>
      <c r="B77" s="893" t="s">
        <v>2400</v>
      </c>
      <c r="C77" s="793" t="s">
        <v>2376</v>
      </c>
      <c r="D77" s="898">
        <f>1149.152/1000</f>
        <v>1.149152</v>
      </c>
    </row>
    <row r="78" spans="1:4">
      <c r="A78" s="33">
        <f t="shared" si="2"/>
        <v>74</v>
      </c>
      <c r="B78" s="893" t="s">
        <v>2400</v>
      </c>
      <c r="C78" s="793" t="s">
        <v>2377</v>
      </c>
      <c r="D78" s="898">
        <f>251.516/1000</f>
        <v>0.25151600000000002</v>
      </c>
    </row>
    <row r="79" spans="1:4">
      <c r="A79" s="33">
        <f t="shared" si="2"/>
        <v>75</v>
      </c>
      <c r="B79" s="893" t="s">
        <v>2400</v>
      </c>
      <c r="C79" s="793" t="s">
        <v>2378</v>
      </c>
      <c r="D79" s="898">
        <f>445.126/1000</f>
        <v>0.44512599999999997</v>
      </c>
    </row>
    <row r="80" spans="1:4">
      <c r="A80" s="33">
        <f t="shared" si="2"/>
        <v>76</v>
      </c>
      <c r="B80" s="893" t="s">
        <v>2400</v>
      </c>
      <c r="C80" s="793" t="s">
        <v>2379</v>
      </c>
      <c r="D80" s="898">
        <f>838.553/1000</f>
        <v>0.83855299999999999</v>
      </c>
    </row>
    <row r="81" spans="1:4">
      <c r="A81" s="33">
        <f t="shared" si="2"/>
        <v>77</v>
      </c>
      <c r="B81" s="893" t="s">
        <v>2400</v>
      </c>
      <c r="C81" s="793" t="s">
        <v>2380</v>
      </c>
      <c r="D81" s="898">
        <f>836.764/1000</f>
        <v>0.83676400000000006</v>
      </c>
    </row>
    <row r="82" spans="1:4">
      <c r="A82" s="33">
        <f t="shared" si="2"/>
        <v>78</v>
      </c>
      <c r="B82" s="893" t="s">
        <v>2400</v>
      </c>
      <c r="C82" s="793" t="s">
        <v>2381</v>
      </c>
      <c r="D82" s="898">
        <f>1185.42/1000</f>
        <v>1.1854200000000001</v>
      </c>
    </row>
    <row r="83" spans="1:4">
      <c r="A83" s="33">
        <f t="shared" si="2"/>
        <v>79</v>
      </c>
      <c r="B83" s="893" t="s">
        <v>2400</v>
      </c>
      <c r="C83" s="793" t="s">
        <v>2382</v>
      </c>
      <c r="D83" s="898">
        <f>211.063/1000</f>
        <v>0.211063</v>
      </c>
    </row>
    <row r="84" spans="1:4">
      <c r="A84" s="33">
        <f t="shared" si="2"/>
        <v>80</v>
      </c>
      <c r="B84" s="893" t="s">
        <v>2400</v>
      </c>
      <c r="C84" s="793" t="s">
        <v>2383</v>
      </c>
      <c r="D84" s="898">
        <f>618.229/1000</f>
        <v>0.61822900000000003</v>
      </c>
    </row>
    <row r="85" spans="1:4">
      <c r="A85" s="33">
        <f t="shared" si="2"/>
        <v>81</v>
      </c>
      <c r="B85" s="893" t="s">
        <v>2400</v>
      </c>
      <c r="C85" s="793" t="s">
        <v>2384</v>
      </c>
      <c r="D85" s="898">
        <f>1181.01/1000</f>
        <v>1.1810099999999999</v>
      </c>
    </row>
    <row r="86" spans="1:4">
      <c r="A86" s="33">
        <f t="shared" si="2"/>
        <v>82</v>
      </c>
      <c r="B86" s="893" t="s">
        <v>2400</v>
      </c>
      <c r="C86" s="793" t="s">
        <v>2385</v>
      </c>
      <c r="D86" s="898">
        <f>247.685/1000</f>
        <v>0.24768499999999999</v>
      </c>
    </row>
    <row r="87" spans="1:4">
      <c r="A87" s="33">
        <f t="shared" si="2"/>
        <v>83</v>
      </c>
      <c r="B87" s="893" t="s">
        <v>2400</v>
      </c>
      <c r="C87" s="793" t="s">
        <v>2386</v>
      </c>
      <c r="D87" s="898">
        <f>1455.156/1000</f>
        <v>1.4551559999999999</v>
      </c>
    </row>
    <row r="88" spans="1:4">
      <c r="A88" s="33">
        <f t="shared" si="2"/>
        <v>84</v>
      </c>
      <c r="B88" s="893" t="s">
        <v>2400</v>
      </c>
      <c r="C88" s="793" t="s">
        <v>2387</v>
      </c>
      <c r="D88" s="898">
        <f>889.075/1000</f>
        <v>0.88907500000000006</v>
      </c>
    </row>
    <row r="89" spans="1:4">
      <c r="A89" s="33">
        <f t="shared" si="2"/>
        <v>85</v>
      </c>
      <c r="B89" s="893" t="s">
        <v>2400</v>
      </c>
      <c r="C89" s="793" t="s">
        <v>2388</v>
      </c>
      <c r="D89" s="898">
        <f>411.542/1000</f>
        <v>0.41154199999999996</v>
      </c>
    </row>
    <row r="90" spans="1:4">
      <c r="A90" s="33">
        <f t="shared" si="2"/>
        <v>86</v>
      </c>
      <c r="B90" s="893" t="s">
        <v>2400</v>
      </c>
      <c r="C90" s="793" t="s">
        <v>2389</v>
      </c>
      <c r="D90" s="898">
        <f>1751.019/1000</f>
        <v>1.7510190000000001</v>
      </c>
    </row>
    <row r="91" spans="1:4">
      <c r="A91" s="33">
        <f t="shared" si="2"/>
        <v>87</v>
      </c>
      <c r="B91" s="893" t="s">
        <v>2400</v>
      </c>
      <c r="C91" s="829" t="s">
        <v>2629</v>
      </c>
      <c r="D91" s="898">
        <f>751.41/1000</f>
        <v>0.75141000000000002</v>
      </c>
    </row>
    <row r="92" spans="1:4">
      <c r="A92" s="33">
        <f t="shared" si="2"/>
        <v>88</v>
      </c>
      <c r="B92" s="893" t="s">
        <v>2400</v>
      </c>
      <c r="C92" s="829" t="s">
        <v>2630</v>
      </c>
      <c r="D92" s="898">
        <f>515.47/1000</f>
        <v>0.51546999999999998</v>
      </c>
    </row>
    <row r="93" spans="1:4">
      <c r="A93" s="33">
        <f t="shared" si="2"/>
        <v>89</v>
      </c>
      <c r="B93" s="893" t="s">
        <v>2400</v>
      </c>
      <c r="C93" s="829" t="s">
        <v>2631</v>
      </c>
      <c r="D93" s="898">
        <f>1409.68/1000</f>
        <v>1.40968</v>
      </c>
    </row>
    <row r="94" spans="1:4">
      <c r="A94" s="33">
        <f t="shared" si="2"/>
        <v>90</v>
      </c>
      <c r="B94" s="893" t="s">
        <v>2400</v>
      </c>
      <c r="C94" s="829" t="s">
        <v>2632</v>
      </c>
      <c r="D94" s="898">
        <f>634.36/1000</f>
        <v>0.63436000000000003</v>
      </c>
    </row>
    <row r="95" spans="1:4">
      <c r="A95" s="33">
        <f t="shared" si="2"/>
        <v>91</v>
      </c>
      <c r="B95" s="893" t="s">
        <v>2400</v>
      </c>
      <c r="C95" s="829" t="s">
        <v>2633</v>
      </c>
      <c r="D95" s="898">
        <f>518.18/1000</f>
        <v>0.51817999999999997</v>
      </c>
    </row>
    <row r="96" spans="1:4">
      <c r="A96" s="33">
        <f t="shared" si="2"/>
        <v>92</v>
      </c>
      <c r="B96" s="893" t="s">
        <v>2400</v>
      </c>
      <c r="C96" s="829" t="s">
        <v>2634</v>
      </c>
      <c r="D96" s="898">
        <f>1212.37/1000</f>
        <v>1.2123699999999999</v>
      </c>
    </row>
    <row r="97" spans="1:4">
      <c r="A97" s="33">
        <f t="shared" si="2"/>
        <v>93</v>
      </c>
      <c r="B97" s="893" t="s">
        <v>2400</v>
      </c>
      <c r="C97" s="829" t="s">
        <v>2635</v>
      </c>
      <c r="D97" s="898">
        <f>1136.859/1000</f>
        <v>1.1368589999999998</v>
      </c>
    </row>
    <row r="98" spans="1:4">
      <c r="A98" s="33">
        <f t="shared" si="2"/>
        <v>94</v>
      </c>
      <c r="B98" s="893" t="s">
        <v>2400</v>
      </c>
      <c r="C98" s="829" t="s">
        <v>2636</v>
      </c>
      <c r="D98" s="898">
        <f>753.546/1000</f>
        <v>0.75354600000000005</v>
      </c>
    </row>
    <row r="99" spans="1:4">
      <c r="A99" s="33">
        <f t="shared" si="2"/>
        <v>95</v>
      </c>
      <c r="B99" s="893" t="s">
        <v>2400</v>
      </c>
      <c r="C99" s="829" t="s">
        <v>2637</v>
      </c>
      <c r="D99" s="898">
        <f>2841.988/1000</f>
        <v>2.8419879999999997</v>
      </c>
    </row>
    <row r="100" spans="1:4">
      <c r="A100" s="33">
        <f t="shared" si="2"/>
        <v>96</v>
      </c>
      <c r="B100" s="893" t="s">
        <v>2400</v>
      </c>
      <c r="C100" s="829" t="s">
        <v>2638</v>
      </c>
      <c r="D100" s="898">
        <f>816.077/1000</f>
        <v>0.81607700000000005</v>
      </c>
    </row>
    <row r="101" spans="1:4">
      <c r="A101" s="33">
        <f t="shared" si="2"/>
        <v>97</v>
      </c>
      <c r="B101" s="893" t="s">
        <v>2400</v>
      </c>
      <c r="C101" s="829" t="s">
        <v>2639</v>
      </c>
      <c r="D101" s="898">
        <f>227.366/1000</f>
        <v>0.22736600000000001</v>
      </c>
    </row>
    <row r="102" spans="1:4">
      <c r="A102" s="33">
        <f t="shared" si="2"/>
        <v>98</v>
      </c>
      <c r="B102" s="893" t="s">
        <v>2400</v>
      </c>
      <c r="C102" s="829" t="s">
        <v>2640</v>
      </c>
      <c r="D102" s="898">
        <f>401.366/1000</f>
        <v>0.401366</v>
      </c>
    </row>
    <row r="103" spans="1:4">
      <c r="A103" s="33">
        <f t="shared" si="2"/>
        <v>99</v>
      </c>
      <c r="B103" s="893" t="s">
        <v>2400</v>
      </c>
      <c r="C103" s="829" t="s">
        <v>2641</v>
      </c>
      <c r="D103" s="898">
        <f>1221.902/1000</f>
        <v>1.221902</v>
      </c>
    </row>
    <row r="104" spans="1:4">
      <c r="A104" s="33">
        <f t="shared" si="2"/>
        <v>100</v>
      </c>
      <c r="B104" s="893" t="s">
        <v>2400</v>
      </c>
      <c r="C104" s="829" t="s">
        <v>2642</v>
      </c>
      <c r="D104" s="898">
        <f>2000.393/1000</f>
        <v>2.0003929999999999</v>
      </c>
    </row>
    <row r="105" spans="1:4">
      <c r="A105" s="33">
        <f t="shared" si="2"/>
        <v>101</v>
      </c>
      <c r="B105" s="893" t="s">
        <v>2400</v>
      </c>
      <c r="C105" s="829" t="s">
        <v>2643</v>
      </c>
      <c r="D105" s="898">
        <f>1037.587/1000</f>
        <v>1.037587</v>
      </c>
    </row>
    <row r="106" spans="1:4">
      <c r="A106" s="33">
        <f t="shared" ref="A106:A115" si="3">A105+1</f>
        <v>102</v>
      </c>
      <c r="B106" s="893" t="s">
        <v>2400</v>
      </c>
      <c r="C106" s="829" t="s">
        <v>2644</v>
      </c>
      <c r="D106" s="898">
        <f>944.974/1000</f>
        <v>0.94497400000000009</v>
      </c>
    </row>
    <row r="107" spans="1:4">
      <c r="A107" s="33">
        <f t="shared" si="3"/>
        <v>103</v>
      </c>
      <c r="B107" s="893" t="s">
        <v>2400</v>
      </c>
      <c r="C107" s="829" t="s">
        <v>2645</v>
      </c>
      <c r="D107" s="898">
        <f>809.122/1000</f>
        <v>0.80912200000000001</v>
      </c>
    </row>
    <row r="108" spans="1:4">
      <c r="A108" s="33">
        <f t="shared" si="3"/>
        <v>104</v>
      </c>
      <c r="B108" s="893" t="s">
        <v>2400</v>
      </c>
      <c r="C108" s="829" t="s">
        <v>2646</v>
      </c>
      <c r="D108" s="898">
        <f>1066.883/1000</f>
        <v>1.066883</v>
      </c>
    </row>
    <row r="109" spans="1:4">
      <c r="A109" s="33">
        <f t="shared" si="3"/>
        <v>105</v>
      </c>
      <c r="B109" s="893" t="s">
        <v>2400</v>
      </c>
      <c r="C109" s="829" t="s">
        <v>2647</v>
      </c>
      <c r="D109" s="898">
        <f>245.679/1000</f>
        <v>0.24567900000000001</v>
      </c>
    </row>
    <row r="110" spans="1:4">
      <c r="A110" s="33">
        <f t="shared" si="3"/>
        <v>106</v>
      </c>
      <c r="B110" s="893" t="s">
        <v>2400</v>
      </c>
      <c r="C110" s="829" t="s">
        <v>2648</v>
      </c>
      <c r="D110" s="898">
        <f>352.93/1000</f>
        <v>0.35293000000000002</v>
      </c>
    </row>
    <row r="111" spans="1:4">
      <c r="A111" s="33">
        <f t="shared" si="3"/>
        <v>107</v>
      </c>
      <c r="B111" s="893" t="s">
        <v>2400</v>
      </c>
      <c r="C111" s="829" t="s">
        <v>2649</v>
      </c>
      <c r="D111" s="898">
        <f>232.301/1000</f>
        <v>0.23230099999999998</v>
      </c>
    </row>
    <row r="112" spans="1:4">
      <c r="A112" s="33">
        <f t="shared" si="3"/>
        <v>108</v>
      </c>
      <c r="B112" s="893" t="s">
        <v>2400</v>
      </c>
      <c r="C112" s="829" t="s">
        <v>2650</v>
      </c>
      <c r="D112" s="898">
        <f>474.983/1000</f>
        <v>0.47498299999999999</v>
      </c>
    </row>
    <row r="113" spans="1:4">
      <c r="A113" s="33">
        <f t="shared" si="3"/>
        <v>109</v>
      </c>
      <c r="B113" s="893" t="s">
        <v>2400</v>
      </c>
      <c r="C113" s="829" t="s">
        <v>2651</v>
      </c>
      <c r="D113" s="898">
        <f>938.027/1000</f>
        <v>0.93802700000000006</v>
      </c>
    </row>
    <row r="114" spans="1:4">
      <c r="A114" s="33">
        <f t="shared" si="3"/>
        <v>110</v>
      </c>
      <c r="B114" s="893" t="s">
        <v>2400</v>
      </c>
      <c r="C114" s="829" t="s">
        <v>2652</v>
      </c>
      <c r="D114" s="898">
        <f>1117.048/1000</f>
        <v>1.117048</v>
      </c>
    </row>
    <row r="115" spans="1:4">
      <c r="A115" s="33">
        <f t="shared" si="3"/>
        <v>111</v>
      </c>
      <c r="B115" s="893" t="s">
        <v>2400</v>
      </c>
      <c r="C115" s="829" t="s">
        <v>2653</v>
      </c>
      <c r="D115" s="898">
        <f>1861.602/1000</f>
        <v>1.861602</v>
      </c>
    </row>
    <row r="116" spans="1:4">
      <c r="A116" s="1371" t="s">
        <v>994</v>
      </c>
      <c r="B116" s="1371"/>
      <c r="C116" s="1371"/>
      <c r="D116" s="899">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6.453125" style="903" customWidth="1"/>
    <col min="4" max="4" width="6.179687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2211</v>
      </c>
    </row>
    <row r="2" spans="1:27">
      <c r="A2" s="786" t="s">
        <v>2408</v>
      </c>
    </row>
    <row r="3" spans="1:27" s="789" customFormat="1" ht="27.75" customHeight="1">
      <c r="A3" s="1384" t="s">
        <v>1920</v>
      </c>
      <c r="B3" s="1384"/>
      <c r="C3" s="1384"/>
      <c r="D3" s="1384"/>
      <c r="E3" s="1384"/>
      <c r="F3" s="1384"/>
      <c r="G3" s="1384"/>
      <c r="H3" s="1384"/>
      <c r="I3" s="905"/>
      <c r="J3" s="1384" t="s">
        <v>1921</v>
      </c>
      <c r="K3" s="1384"/>
      <c r="L3" s="1384"/>
      <c r="M3" s="1384"/>
      <c r="N3" s="1384"/>
      <c r="O3" s="1384"/>
      <c r="P3" s="1384"/>
      <c r="Q3" s="1384"/>
      <c r="R3" s="1384"/>
      <c r="S3" s="1384"/>
      <c r="T3" s="1384"/>
      <c r="U3" s="1384"/>
      <c r="V3" s="1384"/>
      <c r="W3" s="1384"/>
      <c r="X3" s="1384"/>
      <c r="Y3" s="1384"/>
      <c r="Z3" s="1384"/>
      <c r="AA3" s="1384"/>
    </row>
    <row r="4" spans="1:27" s="791" customFormat="1" ht="20" customHeight="1">
      <c r="A4" s="1382" t="s">
        <v>1922</v>
      </c>
      <c r="B4" s="1382" t="s">
        <v>1923</v>
      </c>
      <c r="C4" s="1382" t="s">
        <v>1924</v>
      </c>
      <c r="D4" s="1382" t="s">
        <v>1925</v>
      </c>
      <c r="E4" s="1382" t="s">
        <v>1926</v>
      </c>
      <c r="F4" s="1382" t="s">
        <v>1927</v>
      </c>
      <c r="G4" s="1382" t="s">
        <v>1928</v>
      </c>
      <c r="H4" s="1382"/>
      <c r="I4" s="905"/>
      <c r="J4" s="1382" t="s">
        <v>1922</v>
      </c>
      <c r="K4" s="1382" t="s">
        <v>1923</v>
      </c>
      <c r="L4" s="1382" t="s">
        <v>1924</v>
      </c>
      <c r="M4" s="1382" t="s">
        <v>1000</v>
      </c>
      <c r="N4" s="1382"/>
      <c r="O4" s="1382"/>
      <c r="P4" s="1382"/>
      <c r="Q4" s="1382" t="s">
        <v>1929</v>
      </c>
      <c r="R4" s="1382"/>
      <c r="S4" s="1382"/>
      <c r="T4" s="1382"/>
      <c r="U4" s="1383" t="s">
        <v>1925</v>
      </c>
      <c r="V4" s="1383" t="s">
        <v>1926</v>
      </c>
      <c r="W4" s="1385" t="s">
        <v>1930</v>
      </c>
      <c r="X4" s="1382" t="s">
        <v>1927</v>
      </c>
      <c r="Y4" s="1382" t="s">
        <v>1928</v>
      </c>
      <c r="Z4" s="1382"/>
      <c r="AA4" s="1382" t="s">
        <v>1931</v>
      </c>
    </row>
    <row r="5" spans="1:27" s="791" customFormat="1" ht="12" customHeight="1">
      <c r="A5" s="1382"/>
      <c r="B5" s="1382"/>
      <c r="C5" s="1382"/>
      <c r="D5" s="1382"/>
      <c r="E5" s="1382"/>
      <c r="F5" s="1382"/>
      <c r="G5" s="792" t="s">
        <v>1932</v>
      </c>
      <c r="H5" s="792" t="s">
        <v>1933</v>
      </c>
      <c r="I5" s="905"/>
      <c r="J5" s="1382"/>
      <c r="K5" s="1382"/>
      <c r="L5" s="1382"/>
      <c r="M5" s="790" t="s">
        <v>1934</v>
      </c>
      <c r="N5" s="790" t="s">
        <v>1935</v>
      </c>
      <c r="O5" s="790" t="s">
        <v>1936</v>
      </c>
      <c r="P5" s="790" t="s">
        <v>1937</v>
      </c>
      <c r="Q5" s="790" t="s">
        <v>1934</v>
      </c>
      <c r="R5" s="790" t="s">
        <v>1935</v>
      </c>
      <c r="S5" s="790" t="s">
        <v>1936</v>
      </c>
      <c r="T5" s="790" t="s">
        <v>1937</v>
      </c>
      <c r="U5" s="1383"/>
      <c r="V5" s="1383"/>
      <c r="W5" s="1385"/>
      <c r="X5" s="1382"/>
      <c r="Y5" s="792" t="s">
        <v>1932</v>
      </c>
      <c r="Z5" s="792" t="s">
        <v>1933</v>
      </c>
      <c r="AA5" s="1382"/>
    </row>
    <row r="6" spans="1:27" s="791" customFormat="1" ht="12" customHeight="1">
      <c r="A6" s="901">
        <v>1</v>
      </c>
      <c r="B6" s="758" t="s">
        <v>2784</v>
      </c>
      <c r="C6" s="758" t="s">
        <v>2221</v>
      </c>
      <c r="D6" s="758"/>
      <c r="E6" s="758">
        <v>0</v>
      </c>
      <c r="F6" s="758" t="s">
        <v>2785</v>
      </c>
      <c r="G6" s="758">
        <v>516661.837</v>
      </c>
      <c r="H6" s="758">
        <v>3596578.1469999999</v>
      </c>
      <c r="I6" s="905"/>
      <c r="J6" s="901">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3"/>
    </row>
    <row r="7" spans="1:27" s="791" customFormat="1" ht="12" customHeight="1">
      <c r="A7" s="828"/>
      <c r="B7" s="758"/>
      <c r="C7" s="758"/>
      <c r="D7" s="835">
        <v>119.059</v>
      </c>
      <c r="E7" s="758"/>
      <c r="F7" s="758"/>
      <c r="G7" s="758"/>
      <c r="H7" s="758"/>
      <c r="I7" s="905"/>
      <c r="J7" s="828"/>
      <c r="K7" s="758"/>
      <c r="L7" s="758"/>
      <c r="M7" s="758"/>
      <c r="N7" s="758"/>
      <c r="O7" s="758"/>
      <c r="P7" s="758"/>
      <c r="Q7" s="758"/>
      <c r="R7" s="758"/>
      <c r="S7" s="758"/>
      <c r="T7" s="758"/>
      <c r="U7" s="758">
        <v>119.059</v>
      </c>
      <c r="V7" s="758"/>
      <c r="W7" s="758"/>
      <c r="X7" s="758"/>
      <c r="Y7" s="758"/>
      <c r="Z7" s="758"/>
      <c r="AA7" s="824" t="s">
        <v>2806</v>
      </c>
    </row>
    <row r="8" spans="1:27" s="791" customFormat="1" ht="12" customHeight="1">
      <c r="A8" s="901">
        <f>A6+1</f>
        <v>2</v>
      </c>
      <c r="B8" s="758" t="s">
        <v>2786</v>
      </c>
      <c r="C8" s="758" t="s">
        <v>76</v>
      </c>
      <c r="D8" s="835"/>
      <c r="E8" s="936">
        <f>E6+D7</f>
        <v>119.059</v>
      </c>
      <c r="F8" s="758" t="s">
        <v>2787</v>
      </c>
      <c r="G8" s="758">
        <v>516805.33199999999</v>
      </c>
      <c r="H8" s="758">
        <v>3596183.2080000001</v>
      </c>
      <c r="I8" s="905"/>
      <c r="J8" s="901">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5"/>
    </row>
    <row r="9" spans="1:27" s="791" customFormat="1" ht="12" customHeight="1">
      <c r="A9" s="828"/>
      <c r="B9" s="758"/>
      <c r="C9" s="758"/>
      <c r="D9" s="835">
        <v>92.495999999999995</v>
      </c>
      <c r="E9" s="936"/>
      <c r="F9" s="758"/>
      <c r="G9" s="758"/>
      <c r="H9" s="758"/>
      <c r="I9" s="905"/>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901">
        <f>A8+1</f>
        <v>3</v>
      </c>
      <c r="B10" s="758" t="s">
        <v>2788</v>
      </c>
      <c r="C10" s="758" t="s">
        <v>76</v>
      </c>
      <c r="D10" s="835"/>
      <c r="E10" s="936">
        <f t="shared" ref="E10:E26" si="0">E8+D9</f>
        <v>211.55500000000001</v>
      </c>
      <c r="F10" s="758" t="s">
        <v>2789</v>
      </c>
      <c r="G10" s="758">
        <v>516948.80200000003</v>
      </c>
      <c r="H10" s="758">
        <v>3595788.3369999998</v>
      </c>
      <c r="I10" s="905"/>
      <c r="J10" s="901">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6"/>
    </row>
    <row r="11" spans="1:27" s="791" customFormat="1" ht="12" customHeight="1">
      <c r="A11" s="828"/>
      <c r="B11" s="758"/>
      <c r="C11" s="758"/>
      <c r="D11" s="835">
        <v>134.989</v>
      </c>
      <c r="E11" s="936"/>
      <c r="F11" s="758"/>
      <c r="G11" s="758"/>
      <c r="H11" s="758"/>
      <c r="I11" s="905"/>
      <c r="J11" s="828"/>
      <c r="K11" s="758"/>
      <c r="L11" s="758"/>
      <c r="M11" s="758"/>
      <c r="N11" s="758"/>
      <c r="O11" s="758"/>
      <c r="P11" s="758"/>
      <c r="Q11" s="758"/>
      <c r="R11" s="758"/>
      <c r="S11" s="758"/>
      <c r="T11" s="758"/>
      <c r="U11" s="758">
        <v>134.988</v>
      </c>
      <c r="V11" s="758"/>
      <c r="W11" s="758"/>
      <c r="X11" s="758"/>
      <c r="Y11" s="758"/>
      <c r="Z11" s="758"/>
      <c r="AA11" s="825" t="s">
        <v>2809</v>
      </c>
    </row>
    <row r="12" spans="1:27" s="791" customFormat="1" ht="12" customHeight="1">
      <c r="A12" s="901">
        <f>A10+1</f>
        <v>4</v>
      </c>
      <c r="B12" s="758" t="s">
        <v>2790</v>
      </c>
      <c r="C12" s="758" t="s">
        <v>53</v>
      </c>
      <c r="D12" s="835"/>
      <c r="E12" s="936">
        <f t="shared" si="0"/>
        <v>346.54399999999998</v>
      </c>
      <c r="F12" s="758" t="s">
        <v>2791</v>
      </c>
      <c r="G12" s="758">
        <v>517087.15899999999</v>
      </c>
      <c r="H12" s="758">
        <v>3595407.5410000002</v>
      </c>
      <c r="I12" s="905"/>
      <c r="J12" s="901">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5"/>
    </row>
    <row r="13" spans="1:27" s="791" customFormat="1" ht="12" customHeight="1">
      <c r="A13" s="828"/>
      <c r="B13" s="758"/>
      <c r="C13" s="758"/>
      <c r="D13" s="835">
        <v>365.17500000000001</v>
      </c>
      <c r="E13" s="936"/>
      <c r="F13" s="758"/>
      <c r="G13" s="758"/>
      <c r="H13" s="758"/>
      <c r="I13" s="905"/>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901">
        <f>A12+1</f>
        <v>5</v>
      </c>
      <c r="B14" s="758" t="s">
        <v>2792</v>
      </c>
      <c r="C14" s="758" t="s">
        <v>1402</v>
      </c>
      <c r="D14" s="835"/>
      <c r="E14" s="936">
        <f t="shared" si="0"/>
        <v>711.71900000000005</v>
      </c>
      <c r="F14" s="758" t="s">
        <v>2793</v>
      </c>
      <c r="G14" s="758">
        <v>517233.304</v>
      </c>
      <c r="H14" s="758">
        <v>3595005.3080000002</v>
      </c>
      <c r="I14" s="905"/>
      <c r="J14" s="901">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5"/>
    </row>
    <row r="15" spans="1:27" s="791" customFormat="1" ht="12" customHeight="1">
      <c r="A15" s="828"/>
      <c r="B15" s="758"/>
      <c r="C15" s="758"/>
      <c r="D15" s="835">
        <v>236.697</v>
      </c>
      <c r="E15" s="936"/>
      <c r="F15" s="758"/>
      <c r="G15" s="758"/>
      <c r="H15" s="758"/>
      <c r="I15" s="905"/>
      <c r="J15" s="828"/>
      <c r="K15" s="758"/>
      <c r="L15" s="758"/>
      <c r="M15" s="758"/>
      <c r="N15" s="758"/>
      <c r="O15" s="758"/>
      <c r="P15" s="758"/>
      <c r="Q15" s="758"/>
      <c r="R15" s="758"/>
      <c r="S15" s="758"/>
      <c r="T15" s="758"/>
      <c r="U15" s="758">
        <v>236.697</v>
      </c>
      <c r="V15" s="758"/>
      <c r="W15" s="758"/>
      <c r="X15" s="758"/>
      <c r="Y15" s="758"/>
      <c r="Z15" s="758"/>
      <c r="AA15" s="825" t="s">
        <v>2812</v>
      </c>
    </row>
    <row r="16" spans="1:27" s="791" customFormat="1" ht="12" customHeight="1">
      <c r="A16" s="901">
        <f>A14+1</f>
        <v>6</v>
      </c>
      <c r="B16" s="758" t="s">
        <v>2794</v>
      </c>
      <c r="C16" s="758" t="s">
        <v>1361</v>
      </c>
      <c r="D16" s="835"/>
      <c r="E16" s="936">
        <f t="shared" si="0"/>
        <v>948.41600000000005</v>
      </c>
      <c r="F16" s="758" t="s">
        <v>2795</v>
      </c>
      <c r="G16" s="758">
        <v>517425.65</v>
      </c>
      <c r="H16" s="758">
        <v>3594793.72</v>
      </c>
      <c r="I16" s="905"/>
      <c r="J16" s="901">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5"/>
    </row>
    <row r="17" spans="1:27" s="791" customFormat="1" ht="12" customHeight="1">
      <c r="A17" s="828"/>
      <c r="B17" s="758"/>
      <c r="C17" s="758"/>
      <c r="D17" s="835">
        <v>213.25200000000001</v>
      </c>
      <c r="E17" s="936"/>
      <c r="F17" s="758"/>
      <c r="G17" s="758"/>
      <c r="H17" s="758"/>
      <c r="I17" s="905"/>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901">
        <f>A16+1</f>
        <v>7</v>
      </c>
      <c r="B18" s="758" t="s">
        <v>2796</v>
      </c>
      <c r="C18" s="758" t="s">
        <v>1361</v>
      </c>
      <c r="D18" s="835"/>
      <c r="E18" s="936">
        <f t="shared" si="0"/>
        <v>1161.6680000000001</v>
      </c>
      <c r="F18" s="758" t="s">
        <v>2797</v>
      </c>
      <c r="G18" s="758">
        <v>517777.57199999999</v>
      </c>
      <c r="H18" s="758">
        <v>3594601.159</v>
      </c>
      <c r="I18" s="905"/>
      <c r="J18" s="901">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5"/>
    </row>
    <row r="19" spans="1:27" s="791" customFormat="1" ht="12" customHeight="1">
      <c r="A19" s="828"/>
      <c r="B19" s="758"/>
      <c r="C19" s="758"/>
      <c r="D19" s="835">
        <v>206.59200000000001</v>
      </c>
      <c r="E19" s="936"/>
      <c r="F19" s="758"/>
      <c r="G19" s="758"/>
      <c r="H19" s="758"/>
      <c r="I19" s="905"/>
      <c r="J19" s="828"/>
      <c r="K19" s="758"/>
      <c r="L19" s="758"/>
      <c r="M19" s="758"/>
      <c r="N19" s="758"/>
      <c r="O19" s="758"/>
      <c r="P19" s="758"/>
      <c r="Q19" s="758"/>
      <c r="R19" s="758"/>
      <c r="S19" s="758"/>
      <c r="T19" s="758"/>
      <c r="U19" s="758">
        <v>206.59299999999999</v>
      </c>
      <c r="V19" s="758"/>
      <c r="W19" s="758"/>
      <c r="X19" s="758"/>
      <c r="Y19" s="758"/>
      <c r="Z19" s="758"/>
      <c r="AA19" s="825" t="s">
        <v>2815</v>
      </c>
    </row>
    <row r="20" spans="1:27" s="791" customFormat="1" ht="12" customHeight="1">
      <c r="A20" s="901">
        <f>A18+1</f>
        <v>8</v>
      </c>
      <c r="B20" s="758" t="s">
        <v>2798</v>
      </c>
      <c r="C20" s="758" t="s">
        <v>76</v>
      </c>
      <c r="D20" s="835"/>
      <c r="E20" s="936">
        <f t="shared" si="0"/>
        <v>1368.2600000000002</v>
      </c>
      <c r="F20" s="758" t="s">
        <v>2799</v>
      </c>
      <c r="G20" s="758">
        <v>517986.277</v>
      </c>
      <c r="H20" s="758">
        <v>3594326.446</v>
      </c>
      <c r="I20" s="905"/>
      <c r="J20" s="901">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5"/>
    </row>
    <row r="21" spans="1:27" s="791" customFormat="1" ht="12" customHeight="1">
      <c r="A21" s="828"/>
      <c r="B21" s="758"/>
      <c r="C21" s="758"/>
      <c r="D21" s="835">
        <v>289.86200000000002</v>
      </c>
      <c r="E21" s="936"/>
      <c r="F21" s="758"/>
      <c r="G21" s="758"/>
      <c r="H21" s="758"/>
      <c r="I21" s="905"/>
      <c r="J21" s="828"/>
      <c r="K21" s="758"/>
      <c r="L21" s="758"/>
      <c r="M21" s="758"/>
      <c r="N21" s="758"/>
      <c r="O21" s="758"/>
      <c r="P21" s="758"/>
      <c r="Q21" s="758"/>
      <c r="R21" s="758"/>
      <c r="S21" s="758"/>
      <c r="T21" s="758"/>
      <c r="U21" s="758">
        <v>289.86200000000002</v>
      </c>
      <c r="V21" s="758"/>
      <c r="W21" s="758"/>
      <c r="X21" s="758"/>
      <c r="Y21" s="758"/>
      <c r="Z21" s="758"/>
      <c r="AA21" s="825" t="s">
        <v>2817</v>
      </c>
    </row>
    <row r="22" spans="1:27" s="791" customFormat="1" ht="12" customHeight="1">
      <c r="A22" s="901">
        <f>A20+1</f>
        <v>9</v>
      </c>
      <c r="B22" s="758" t="s">
        <v>2800</v>
      </c>
      <c r="C22" s="758" t="s">
        <v>76</v>
      </c>
      <c r="D22" s="835"/>
      <c r="E22" s="936">
        <f t="shared" si="0"/>
        <v>1658.1220000000003</v>
      </c>
      <c r="F22" s="758" t="s">
        <v>2801</v>
      </c>
      <c r="G22" s="758">
        <v>518204.05699999997</v>
      </c>
      <c r="H22" s="758">
        <v>3594039.7889999999</v>
      </c>
      <c r="I22" s="905"/>
      <c r="J22" s="901">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5"/>
    </row>
    <row r="23" spans="1:27" s="791" customFormat="1" ht="12" customHeight="1">
      <c r="A23" s="828"/>
      <c r="B23" s="758"/>
      <c r="C23" s="758"/>
      <c r="D23" s="835">
        <v>402.93799999999999</v>
      </c>
      <c r="E23" s="936"/>
      <c r="F23" s="758"/>
      <c r="G23" s="758"/>
      <c r="H23" s="758"/>
      <c r="I23" s="905"/>
      <c r="J23" s="828"/>
      <c r="K23" s="758"/>
      <c r="L23" s="758"/>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1">
        <f>A22+1</f>
        <v>10</v>
      </c>
      <c r="B24" s="758" t="s">
        <v>2802</v>
      </c>
      <c r="C24" s="758" t="s">
        <v>1277</v>
      </c>
      <c r="D24" s="835"/>
      <c r="E24" s="936">
        <f t="shared" si="0"/>
        <v>2061.0600000000004</v>
      </c>
      <c r="F24" s="758" t="s">
        <v>2803</v>
      </c>
      <c r="G24" s="758">
        <v>518415.91800000001</v>
      </c>
      <c r="H24" s="758">
        <v>3593760.9219999998</v>
      </c>
      <c r="I24" s="905"/>
      <c r="J24" s="901">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5"/>
    </row>
    <row r="25" spans="1:27" s="791" customFormat="1" ht="12" customHeight="1">
      <c r="A25" s="828"/>
      <c r="B25" s="758"/>
      <c r="C25" s="758"/>
      <c r="D25" s="835">
        <v>284.88299999999998</v>
      </c>
      <c r="E25" s="936"/>
      <c r="F25" s="758"/>
      <c r="G25" s="758"/>
      <c r="H25" s="758"/>
      <c r="I25" s="905"/>
      <c r="J25" s="828"/>
      <c r="K25" s="758"/>
      <c r="L25" s="758"/>
      <c r="M25" s="758"/>
      <c r="N25" s="758"/>
      <c r="O25" s="758"/>
      <c r="P25" s="758"/>
      <c r="Q25" s="758"/>
      <c r="R25" s="758"/>
      <c r="S25" s="758"/>
      <c r="T25" s="758"/>
      <c r="U25" s="758">
        <v>284.88299999999998</v>
      </c>
      <c r="V25" s="758"/>
      <c r="W25" s="758"/>
      <c r="X25" s="758"/>
      <c r="Y25" s="758"/>
      <c r="Z25" s="758"/>
      <c r="AA25" s="825" t="s">
        <v>2821</v>
      </c>
    </row>
    <row r="26" spans="1:27" s="791" customFormat="1" ht="12" customHeight="1">
      <c r="A26" s="901">
        <f>A24+1</f>
        <v>11</v>
      </c>
      <c r="B26" s="758" t="s">
        <v>2455</v>
      </c>
      <c r="C26" s="758" t="s">
        <v>76</v>
      </c>
      <c r="D26" s="758"/>
      <c r="E26" s="936">
        <f t="shared" si="0"/>
        <v>2345.9430000000002</v>
      </c>
      <c r="F26" s="758" t="s">
        <v>2804</v>
      </c>
      <c r="G26" s="758">
        <v>518741.12199999997</v>
      </c>
      <c r="H26" s="758">
        <v>3593584.4509999999</v>
      </c>
      <c r="I26" s="905"/>
      <c r="J26" s="901">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5"/>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901">
        <f>A26+1</f>
        <v>12</v>
      </c>
      <c r="B28" s="758" t="s">
        <v>1630</v>
      </c>
      <c r="C28" s="758" t="s">
        <v>76</v>
      </c>
      <c r="D28" s="758"/>
      <c r="E28" s="758"/>
      <c r="F28" s="758"/>
      <c r="G28" s="758">
        <v>516805.33199999999</v>
      </c>
      <c r="H28" s="758">
        <v>3596183.2080000001</v>
      </c>
      <c r="I28" s="905"/>
      <c r="J28" s="901">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5"/>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901">
        <f>A28+1</f>
        <v>13</v>
      </c>
      <c r="B30" s="758" t="s">
        <v>1631</v>
      </c>
      <c r="C30" s="758" t="s">
        <v>76</v>
      </c>
      <c r="D30" s="758"/>
      <c r="E30" s="758"/>
      <c r="F30" s="758"/>
      <c r="G30" s="758">
        <v>516948.80200000003</v>
      </c>
      <c r="H30" s="758">
        <v>3595788.3369999998</v>
      </c>
      <c r="I30" s="905"/>
      <c r="J30" s="901">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5"/>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901">
        <f>A30+1</f>
        <v>14</v>
      </c>
      <c r="B32" s="758" t="s">
        <v>1632</v>
      </c>
      <c r="C32" s="758" t="s">
        <v>53</v>
      </c>
      <c r="D32" s="758"/>
      <c r="E32" s="758"/>
      <c r="F32" s="758"/>
      <c r="G32" s="758">
        <v>517087.15899999999</v>
      </c>
      <c r="H32" s="758">
        <v>3595407.5410000002</v>
      </c>
      <c r="I32" s="905"/>
      <c r="J32" s="901">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5"/>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901">
        <f>A32+1</f>
        <v>15</v>
      </c>
      <c r="B34" s="758" t="s">
        <v>2458</v>
      </c>
      <c r="C34" s="758" t="s">
        <v>1402</v>
      </c>
      <c r="D34" s="758"/>
      <c r="E34" s="758">
        <f>D27+D29+D31+D33</f>
        <v>1673.4380000000001</v>
      </c>
      <c r="F34" s="758" t="s">
        <v>2459</v>
      </c>
      <c r="G34" s="758">
        <v>517233.304</v>
      </c>
      <c r="H34" s="758">
        <v>3595005.3080000002</v>
      </c>
      <c r="I34" s="905"/>
      <c r="J34" s="901">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5"/>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901">
        <f>A34+1</f>
        <v>16</v>
      </c>
      <c r="B36" s="758" t="s">
        <v>2461</v>
      </c>
      <c r="C36" s="758" t="s">
        <v>1361</v>
      </c>
      <c r="D36" s="758"/>
      <c r="E36" s="758">
        <f>D35</f>
        <v>285.94799999999998</v>
      </c>
      <c r="F36" s="758" t="s">
        <v>2462</v>
      </c>
      <c r="G36" s="758">
        <v>517425.65</v>
      </c>
      <c r="H36" s="758">
        <v>3594793.72</v>
      </c>
      <c r="I36" s="905"/>
      <c r="J36" s="901">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5"/>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901">
        <f>A36+1</f>
        <v>17</v>
      </c>
      <c r="B38" s="758" t="s">
        <v>2465</v>
      </c>
      <c r="C38" s="758" t="s">
        <v>1361</v>
      </c>
      <c r="D38" s="758"/>
      <c r="E38" s="758">
        <f>D37</f>
        <v>401.15899999999999</v>
      </c>
      <c r="F38" s="758" t="s">
        <v>2466</v>
      </c>
      <c r="G38" s="758">
        <v>517777.57199999999</v>
      </c>
      <c r="H38" s="758">
        <v>3594601.159</v>
      </c>
      <c r="I38" s="905"/>
      <c r="J38" s="901">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5"/>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901">
        <f>A38+1</f>
        <v>18</v>
      </c>
      <c r="B40" s="758" t="s">
        <v>1635</v>
      </c>
      <c r="C40" s="758" t="s">
        <v>76</v>
      </c>
      <c r="D40" s="758"/>
      <c r="E40" s="758"/>
      <c r="F40" s="758"/>
      <c r="G40" s="758">
        <v>517986.277</v>
      </c>
      <c r="H40" s="758">
        <v>3594326.446</v>
      </c>
      <c r="I40" s="905"/>
      <c r="J40" s="901">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5"/>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901">
        <f>A40+1</f>
        <v>19</v>
      </c>
      <c r="B42" s="758" t="s">
        <v>1636</v>
      </c>
      <c r="C42" s="758" t="s">
        <v>76</v>
      </c>
      <c r="D42" s="758"/>
      <c r="E42" s="758"/>
      <c r="F42" s="758"/>
      <c r="G42" s="758">
        <v>518204.05699999997</v>
      </c>
      <c r="H42" s="758">
        <v>3594039.7889999999</v>
      </c>
      <c r="I42" s="905"/>
      <c r="J42" s="901">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5"/>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901">
        <f>A42+1</f>
        <v>20</v>
      </c>
      <c r="B44" s="758" t="s">
        <v>2467</v>
      </c>
      <c r="C44" s="758" t="s">
        <v>1277</v>
      </c>
      <c r="D44" s="758"/>
      <c r="E44" s="758">
        <f>D39+D41+D43</f>
        <v>1055.2170000000001</v>
      </c>
      <c r="F44" s="758" t="s">
        <v>2468</v>
      </c>
      <c r="G44" s="758">
        <v>518415.91800000001</v>
      </c>
      <c r="H44" s="758">
        <v>3593760.9219999998</v>
      </c>
      <c r="I44" s="905"/>
      <c r="J44" s="901">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5"/>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901">
        <f>A44+1</f>
        <v>21</v>
      </c>
      <c r="B46" s="758" t="s">
        <v>1637</v>
      </c>
      <c r="C46" s="758" t="s">
        <v>76</v>
      </c>
      <c r="D46" s="758"/>
      <c r="E46" s="758"/>
      <c r="F46" s="758"/>
      <c r="G46" s="758">
        <v>518741.12199999997</v>
      </c>
      <c r="H46" s="758">
        <v>3593584.4509999999</v>
      </c>
      <c r="I46" s="905"/>
      <c r="J46" s="901">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5"/>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901">
        <f>A46+1</f>
        <v>22</v>
      </c>
      <c r="B48" s="758" t="s">
        <v>1638</v>
      </c>
      <c r="C48" s="758" t="s">
        <v>76</v>
      </c>
      <c r="D48" s="758"/>
      <c r="E48" s="758"/>
      <c r="F48" s="758"/>
      <c r="G48" s="758">
        <v>519057.53700000001</v>
      </c>
      <c r="H48" s="758">
        <v>3593412.7489999998</v>
      </c>
      <c r="I48" s="905"/>
      <c r="J48" s="901">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5"/>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901">
        <f>A48+1</f>
        <v>23</v>
      </c>
      <c r="B50" s="55" t="s">
        <v>1639</v>
      </c>
      <c r="C50" s="758" t="s">
        <v>1938</v>
      </c>
      <c r="D50" s="759"/>
      <c r="E50" s="759">
        <v>0</v>
      </c>
      <c r="F50" s="55"/>
      <c r="G50" s="760">
        <v>519372.85100000002</v>
      </c>
      <c r="H50" s="760" t="s">
        <v>2884</v>
      </c>
      <c r="I50" s="905"/>
      <c r="J50" s="901">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6"/>
      <c r="B51" s="55"/>
      <c r="C51" s="55"/>
      <c r="D51" s="762">
        <v>485.93</v>
      </c>
      <c r="E51" s="759"/>
      <c r="F51" s="55"/>
      <c r="G51" s="761"/>
      <c r="H51" s="761"/>
      <c r="I51" s="905"/>
      <c r="J51" s="907"/>
      <c r="K51" s="55"/>
      <c r="L51" s="55"/>
      <c r="M51" s="55"/>
      <c r="N51" s="55"/>
      <c r="O51" s="55"/>
      <c r="P51" s="55"/>
      <c r="Q51" s="55"/>
      <c r="R51" s="55"/>
      <c r="S51" s="55"/>
      <c r="T51" s="55"/>
      <c r="U51" s="763">
        <v>485.93</v>
      </c>
      <c r="V51" s="761"/>
      <c r="W51" s="759"/>
      <c r="X51" s="55"/>
      <c r="Y51" s="761"/>
      <c r="Z51" s="761"/>
      <c r="AA51" s="768" t="s">
        <v>2118</v>
      </c>
    </row>
    <row r="52" spans="1:27">
      <c r="A52" s="906">
        <f>A50+1</f>
        <v>24</v>
      </c>
      <c r="B52" s="55" t="s">
        <v>1640</v>
      </c>
      <c r="C52" s="758" t="s">
        <v>1939</v>
      </c>
      <c r="D52" s="759"/>
      <c r="E52" s="759">
        <f>D51</f>
        <v>485.93</v>
      </c>
      <c r="F52" s="55" t="s">
        <v>1940</v>
      </c>
      <c r="G52" s="761">
        <v>519776.09700000001</v>
      </c>
      <c r="H52" s="761">
        <v>3592970.4980000001</v>
      </c>
      <c r="I52" s="905"/>
      <c r="J52" s="906">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6"/>
      <c r="B53" s="55"/>
      <c r="C53" s="55"/>
      <c r="D53" s="762">
        <v>325</v>
      </c>
      <c r="E53" s="759"/>
      <c r="F53" s="55"/>
      <c r="G53" s="761"/>
      <c r="H53" s="761"/>
      <c r="I53" s="905"/>
      <c r="J53" s="908"/>
      <c r="K53" s="55"/>
      <c r="L53" s="55"/>
      <c r="M53" s="55"/>
      <c r="N53" s="55"/>
      <c r="O53" s="55"/>
      <c r="P53" s="55"/>
      <c r="Q53" s="55"/>
      <c r="R53" s="55"/>
      <c r="S53" s="55"/>
      <c r="T53" s="55"/>
      <c r="U53" s="763">
        <v>325</v>
      </c>
      <c r="V53" s="761"/>
      <c r="W53" s="759"/>
      <c r="X53" s="55"/>
      <c r="Y53" s="761"/>
      <c r="Z53" s="761"/>
      <c r="AA53" s="769" t="s">
        <v>2119</v>
      </c>
    </row>
    <row r="54" spans="1:27">
      <c r="A54" s="906">
        <f>A52+1</f>
        <v>25</v>
      </c>
      <c r="B54" s="55" t="s">
        <v>1641</v>
      </c>
      <c r="C54" s="758" t="s">
        <v>76</v>
      </c>
      <c r="D54" s="759"/>
      <c r="E54" s="759"/>
      <c r="F54" s="55" t="s">
        <v>1942</v>
      </c>
      <c r="G54" s="761">
        <v>519869.95600000001</v>
      </c>
      <c r="H54" s="761">
        <v>3592659.3459999999</v>
      </c>
      <c r="I54" s="905"/>
      <c r="J54" s="906">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6"/>
      <c r="B55" s="55"/>
      <c r="C55" s="55"/>
      <c r="D55" s="762">
        <v>387.33699999999999</v>
      </c>
      <c r="E55" s="759"/>
      <c r="F55" s="55"/>
      <c r="G55" s="761"/>
      <c r="H55" s="761"/>
      <c r="I55" s="905"/>
      <c r="J55" s="908"/>
      <c r="K55" s="55"/>
      <c r="L55" s="55"/>
      <c r="M55" s="55"/>
      <c r="N55" s="55"/>
      <c r="O55" s="55"/>
      <c r="P55" s="55"/>
      <c r="Q55" s="55"/>
      <c r="R55" s="55"/>
      <c r="S55" s="55"/>
      <c r="T55" s="55"/>
      <c r="U55" s="763">
        <v>387.33699999999999</v>
      </c>
      <c r="V55" s="761"/>
      <c r="W55" s="759"/>
      <c r="X55" s="55"/>
      <c r="Y55" s="761"/>
      <c r="Z55" s="761"/>
      <c r="AA55" s="769" t="s">
        <v>2120</v>
      </c>
    </row>
    <row r="56" spans="1:27">
      <c r="A56" s="906">
        <f>A54+1</f>
        <v>26</v>
      </c>
      <c r="B56" s="55" t="s">
        <v>1642</v>
      </c>
      <c r="C56" s="758" t="s">
        <v>1361</v>
      </c>
      <c r="D56" s="759"/>
      <c r="E56" s="759">
        <f>D53+D55</f>
        <v>712.33699999999999</v>
      </c>
      <c r="F56" s="55" t="s">
        <v>1944</v>
      </c>
      <c r="G56" s="761">
        <v>519981.81599999999</v>
      </c>
      <c r="H56" s="761">
        <v>3592288.5120000001</v>
      </c>
      <c r="I56" s="905"/>
      <c r="J56" s="906">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6"/>
      <c r="B57" s="55"/>
      <c r="C57" s="55"/>
      <c r="D57" s="762">
        <v>390</v>
      </c>
      <c r="E57" s="759"/>
      <c r="F57" s="55"/>
      <c r="G57" s="761"/>
      <c r="H57" s="761"/>
      <c r="I57" s="905"/>
      <c r="J57" s="908"/>
      <c r="K57" s="55"/>
      <c r="L57" s="55"/>
      <c r="M57" s="55"/>
      <c r="N57" s="55"/>
      <c r="O57" s="55"/>
      <c r="P57" s="55"/>
      <c r="Q57" s="55"/>
      <c r="R57" s="55"/>
      <c r="S57" s="55"/>
      <c r="T57" s="55"/>
      <c r="U57" s="763">
        <v>390</v>
      </c>
      <c r="V57" s="761"/>
      <c r="W57" s="759"/>
      <c r="X57" s="55"/>
      <c r="Y57" s="761"/>
      <c r="Z57" s="761"/>
      <c r="AA57" s="769" t="s">
        <v>2121</v>
      </c>
    </row>
    <row r="58" spans="1:27">
      <c r="A58" s="906">
        <f>A56+1</f>
        <v>27</v>
      </c>
      <c r="B58" s="55" t="s">
        <v>1643</v>
      </c>
      <c r="C58" s="758" t="s">
        <v>62</v>
      </c>
      <c r="D58" s="759"/>
      <c r="E58" s="759"/>
      <c r="F58" s="55" t="s">
        <v>1942</v>
      </c>
      <c r="G58" s="761">
        <v>520192.87800000003</v>
      </c>
      <c r="H58" s="761">
        <v>3591960.56</v>
      </c>
      <c r="I58" s="905"/>
      <c r="J58" s="906">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6"/>
      <c r="B59" s="55"/>
      <c r="C59" s="55"/>
      <c r="D59" s="762">
        <v>388.62900000000002</v>
      </c>
      <c r="E59" s="759"/>
      <c r="F59" s="55"/>
      <c r="G59" s="761"/>
      <c r="H59" s="761"/>
      <c r="I59" s="905"/>
      <c r="J59" s="908"/>
      <c r="K59" s="55"/>
      <c r="L59" s="55"/>
      <c r="M59" s="55"/>
      <c r="N59" s="55"/>
      <c r="O59" s="55"/>
      <c r="P59" s="55"/>
      <c r="Q59" s="55"/>
      <c r="R59" s="55"/>
      <c r="S59" s="55"/>
      <c r="T59" s="55"/>
      <c r="U59" s="763">
        <v>388.62900000000002</v>
      </c>
      <c r="V59" s="761"/>
      <c r="W59" s="759"/>
      <c r="X59" s="55"/>
      <c r="Y59" s="761"/>
      <c r="Z59" s="761"/>
      <c r="AA59" s="769" t="s">
        <v>2122</v>
      </c>
    </row>
    <row r="60" spans="1:27">
      <c r="A60" s="906">
        <f>A58+1</f>
        <v>28</v>
      </c>
      <c r="B60" s="55" t="s">
        <v>1644</v>
      </c>
      <c r="C60" s="758" t="s">
        <v>62</v>
      </c>
      <c r="D60" s="759"/>
      <c r="E60" s="759"/>
      <c r="F60" s="55" t="s">
        <v>1942</v>
      </c>
      <c r="G60" s="761">
        <v>520403.19799999997</v>
      </c>
      <c r="H60" s="761">
        <v>3591633.76</v>
      </c>
      <c r="I60" s="905"/>
      <c r="J60" s="906">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6"/>
      <c r="B61" s="55"/>
      <c r="C61" s="55"/>
      <c r="D61" s="762">
        <v>398.45</v>
      </c>
      <c r="E61" s="759"/>
      <c r="F61" s="55"/>
      <c r="G61" s="761"/>
      <c r="H61" s="761"/>
      <c r="I61" s="905"/>
      <c r="J61" s="908"/>
      <c r="K61" s="55"/>
      <c r="L61" s="55"/>
      <c r="M61" s="55"/>
      <c r="N61" s="55"/>
      <c r="O61" s="55"/>
      <c r="P61" s="55"/>
      <c r="Q61" s="55"/>
      <c r="R61" s="55"/>
      <c r="S61" s="55"/>
      <c r="T61" s="55"/>
      <c r="U61" s="763">
        <v>398.45</v>
      </c>
      <c r="V61" s="761"/>
      <c r="W61" s="759"/>
      <c r="X61" s="55"/>
      <c r="Y61" s="761"/>
      <c r="Z61" s="761"/>
      <c r="AA61" s="769" t="s">
        <v>2123</v>
      </c>
    </row>
    <row r="62" spans="1:27">
      <c r="A62" s="906">
        <f>A60+1</f>
        <v>29</v>
      </c>
      <c r="B62" s="55" t="s">
        <v>1115</v>
      </c>
      <c r="C62" s="758" t="s">
        <v>1269</v>
      </c>
      <c r="D62" s="759"/>
      <c r="E62" s="759">
        <f>D57+D59+D61</f>
        <v>1177.079</v>
      </c>
      <c r="F62" s="55" t="s">
        <v>1945</v>
      </c>
      <c r="G62" s="761">
        <v>520618.83299999998</v>
      </c>
      <c r="H62" s="761">
        <v>3591298.7030000002</v>
      </c>
      <c r="I62" s="905"/>
      <c r="J62" s="906">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6"/>
      <c r="B63" s="55"/>
      <c r="C63" s="55"/>
      <c r="D63" s="762">
        <v>419.99900000000002</v>
      </c>
      <c r="E63" s="759"/>
      <c r="F63" s="55"/>
      <c r="G63" s="761"/>
      <c r="H63" s="761"/>
      <c r="I63" s="905"/>
      <c r="J63" s="908"/>
      <c r="K63" s="55"/>
      <c r="L63" s="55"/>
      <c r="M63" s="55"/>
      <c r="N63" s="55"/>
      <c r="O63" s="55"/>
      <c r="P63" s="55"/>
      <c r="Q63" s="55"/>
      <c r="R63" s="55"/>
      <c r="S63" s="55"/>
      <c r="T63" s="55"/>
      <c r="U63" s="763">
        <v>435.99900000000002</v>
      </c>
      <c r="V63" s="761"/>
      <c r="W63" s="759"/>
      <c r="X63" s="55"/>
      <c r="Y63" s="761"/>
      <c r="Z63" s="761"/>
      <c r="AA63" s="769" t="s">
        <v>2124</v>
      </c>
    </row>
    <row r="64" spans="1:27">
      <c r="A64" s="906">
        <f>A62+1</f>
        <v>30</v>
      </c>
      <c r="B64" s="55" t="s">
        <v>1116</v>
      </c>
      <c r="C64" s="758" t="s">
        <v>53</v>
      </c>
      <c r="D64" s="759"/>
      <c r="E64" s="759"/>
      <c r="F64" s="55" t="s">
        <v>1942</v>
      </c>
      <c r="G64" s="761">
        <v>520901.37599999999</v>
      </c>
      <c r="H64" s="761">
        <v>3590987.9470000002</v>
      </c>
      <c r="I64" s="905"/>
      <c r="J64" s="906">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6"/>
      <c r="B65" s="55"/>
      <c r="C65" s="55"/>
      <c r="D65" s="762">
        <v>400</v>
      </c>
      <c r="E65" s="759"/>
      <c r="F65" s="55"/>
      <c r="G65" s="761"/>
      <c r="H65" s="761"/>
      <c r="I65" s="905"/>
      <c r="J65" s="908"/>
      <c r="K65" s="55"/>
      <c r="L65" s="55"/>
      <c r="M65" s="55"/>
      <c r="N65" s="55"/>
      <c r="O65" s="55"/>
      <c r="P65" s="55"/>
      <c r="Q65" s="55"/>
      <c r="R65" s="55"/>
      <c r="S65" s="55"/>
      <c r="T65" s="55"/>
      <c r="U65" s="763">
        <v>384</v>
      </c>
      <c r="V65" s="761"/>
      <c r="W65" s="759"/>
      <c r="X65" s="55"/>
      <c r="Y65" s="761"/>
      <c r="Z65" s="761"/>
      <c r="AA65" s="769" t="s">
        <v>2125</v>
      </c>
    </row>
    <row r="66" spans="1:27">
      <c r="A66" s="906">
        <f>A64+1</f>
        <v>31</v>
      </c>
      <c r="B66" s="55" t="s">
        <v>1645</v>
      </c>
      <c r="C66" s="758" t="s">
        <v>62</v>
      </c>
      <c r="D66" s="759"/>
      <c r="E66" s="759"/>
      <c r="F66" s="55"/>
      <c r="G66" s="761">
        <v>521170.46399999998</v>
      </c>
      <c r="H66" s="761">
        <v>3590691.9890000001</v>
      </c>
      <c r="I66" s="905"/>
      <c r="J66" s="906">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6"/>
      <c r="B67" s="55"/>
      <c r="C67" s="55"/>
      <c r="D67" s="762">
        <v>420</v>
      </c>
      <c r="E67" s="759"/>
      <c r="F67" s="55"/>
      <c r="G67" s="761"/>
      <c r="H67" s="761"/>
      <c r="I67" s="905"/>
      <c r="J67" s="908"/>
      <c r="K67" s="55"/>
      <c r="L67" s="55"/>
      <c r="M67" s="55"/>
      <c r="N67" s="55"/>
      <c r="O67" s="55"/>
      <c r="P67" s="55"/>
      <c r="Q67" s="55"/>
      <c r="R67" s="55"/>
      <c r="S67" s="55"/>
      <c r="T67" s="55"/>
      <c r="U67" s="763">
        <v>420</v>
      </c>
      <c r="V67" s="761"/>
      <c r="W67" s="759"/>
      <c r="X67" s="55"/>
      <c r="Y67" s="761"/>
      <c r="Z67" s="761"/>
      <c r="AA67" s="769" t="s">
        <v>2126</v>
      </c>
    </row>
    <row r="68" spans="1:27">
      <c r="A68" s="906">
        <f>A66+1</f>
        <v>32</v>
      </c>
      <c r="B68" s="55" t="s">
        <v>1117</v>
      </c>
      <c r="C68" s="758" t="s">
        <v>62</v>
      </c>
      <c r="D68" s="759"/>
      <c r="E68" s="759"/>
      <c r="F68" s="55"/>
      <c r="G68" s="761">
        <v>521453.00799999997</v>
      </c>
      <c r="H68" s="761">
        <v>3590381.233</v>
      </c>
      <c r="I68" s="905"/>
      <c r="J68" s="906">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6"/>
      <c r="B69" s="55"/>
      <c r="C69" s="55"/>
      <c r="D69" s="762">
        <v>410</v>
      </c>
      <c r="E69" s="759"/>
      <c r="F69" s="55"/>
      <c r="G69" s="761"/>
      <c r="H69" s="761"/>
      <c r="I69" s="905"/>
      <c r="J69" s="908"/>
      <c r="K69" s="55"/>
      <c r="L69" s="55"/>
      <c r="M69" s="55"/>
      <c r="N69" s="55"/>
      <c r="O69" s="55"/>
      <c r="P69" s="55"/>
      <c r="Q69" s="55"/>
      <c r="R69" s="55"/>
      <c r="S69" s="55"/>
      <c r="T69" s="55"/>
      <c r="U69" s="763">
        <v>410</v>
      </c>
      <c r="V69" s="761"/>
      <c r="W69" s="759"/>
      <c r="X69" s="55"/>
      <c r="Y69" s="761"/>
      <c r="Z69" s="761"/>
      <c r="AA69" s="769" t="s">
        <v>2123</v>
      </c>
    </row>
    <row r="70" spans="1:27">
      <c r="A70" s="906">
        <f>A68+1</f>
        <v>33</v>
      </c>
      <c r="B70" s="55" t="s">
        <v>1646</v>
      </c>
      <c r="C70" s="758" t="s">
        <v>62</v>
      </c>
      <c r="D70" s="759"/>
      <c r="E70" s="759"/>
      <c r="F70" s="55"/>
      <c r="G70" s="761">
        <v>521728.82400000002</v>
      </c>
      <c r="H70" s="761">
        <v>3590077.875</v>
      </c>
      <c r="I70" s="905"/>
      <c r="J70" s="906">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6"/>
      <c r="B71" s="55"/>
      <c r="C71" s="55"/>
      <c r="D71" s="762">
        <v>407.25</v>
      </c>
      <c r="E71" s="759"/>
      <c r="F71" s="55"/>
      <c r="G71" s="761"/>
      <c r="H71" s="761"/>
      <c r="I71" s="905"/>
      <c r="J71" s="908"/>
      <c r="K71" s="55"/>
      <c r="L71" s="55"/>
      <c r="M71" s="55"/>
      <c r="N71" s="55"/>
      <c r="O71" s="55"/>
      <c r="P71" s="55"/>
      <c r="Q71" s="55"/>
      <c r="R71" s="55"/>
      <c r="S71" s="55"/>
      <c r="T71" s="55"/>
      <c r="U71" s="763">
        <v>407.25</v>
      </c>
      <c r="V71" s="761"/>
      <c r="W71" s="759"/>
      <c r="X71" s="55"/>
      <c r="Y71" s="761"/>
      <c r="Z71" s="761"/>
      <c r="AA71" s="769" t="s">
        <v>2127</v>
      </c>
    </row>
    <row r="72" spans="1:27">
      <c r="A72" s="906">
        <f>A70+1</f>
        <v>34</v>
      </c>
      <c r="B72" s="55" t="s">
        <v>1647</v>
      </c>
      <c r="C72" s="758" t="s">
        <v>62</v>
      </c>
      <c r="D72" s="759"/>
      <c r="E72" s="759"/>
      <c r="F72" s="55"/>
      <c r="G72" s="761">
        <v>522002.79</v>
      </c>
      <c r="H72" s="761">
        <v>3589776.5529999998</v>
      </c>
      <c r="I72" s="905"/>
      <c r="J72" s="906">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6"/>
      <c r="B73" s="55"/>
      <c r="C73" s="55"/>
      <c r="D73" s="762">
        <v>397.702</v>
      </c>
      <c r="E73" s="759"/>
      <c r="F73" s="55"/>
      <c r="G73" s="761"/>
      <c r="H73" s="761"/>
      <c r="I73" s="905"/>
      <c r="J73" s="908"/>
      <c r="K73" s="55"/>
      <c r="L73" s="55"/>
      <c r="M73" s="55"/>
      <c r="N73" s="55"/>
      <c r="O73" s="55"/>
      <c r="P73" s="55"/>
      <c r="Q73" s="55"/>
      <c r="R73" s="55"/>
      <c r="S73" s="55"/>
      <c r="T73" s="55"/>
      <c r="U73" s="763">
        <v>397.702</v>
      </c>
      <c r="V73" s="761"/>
      <c r="W73" s="759"/>
      <c r="X73" s="55"/>
      <c r="Y73" s="761"/>
      <c r="Z73" s="761"/>
      <c r="AA73" s="769" t="s">
        <v>2128</v>
      </c>
    </row>
    <row r="74" spans="1:27">
      <c r="A74" s="906">
        <f>A72+1</f>
        <v>35</v>
      </c>
      <c r="B74" s="55" t="s">
        <v>1122</v>
      </c>
      <c r="C74" s="758" t="s">
        <v>1277</v>
      </c>
      <c r="D74" s="759"/>
      <c r="E74" s="759">
        <f>D63+D65+D67+D69+D71+D73</f>
        <v>2454.951</v>
      </c>
      <c r="F74" s="55" t="s">
        <v>1946</v>
      </c>
      <c r="G74" s="761">
        <v>522270.33199999999</v>
      </c>
      <c r="H74" s="761">
        <v>3589482.2949999999</v>
      </c>
      <c r="I74" s="905"/>
      <c r="J74" s="906">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6"/>
      <c r="B75" s="55"/>
      <c r="C75" s="55"/>
      <c r="D75" s="762">
        <v>310.14699999999999</v>
      </c>
      <c r="E75" s="759"/>
      <c r="F75" s="55"/>
      <c r="G75" s="761"/>
      <c r="H75" s="761"/>
      <c r="I75" s="905"/>
      <c r="J75" s="908"/>
      <c r="K75" s="55"/>
      <c r="L75" s="55"/>
      <c r="M75" s="55"/>
      <c r="N75" s="55"/>
      <c r="O75" s="55"/>
      <c r="P75" s="55"/>
      <c r="Q75" s="55"/>
      <c r="R75" s="55"/>
      <c r="S75" s="55"/>
      <c r="T75" s="55"/>
      <c r="U75" s="763">
        <v>366.00400000000002</v>
      </c>
      <c r="V75" s="761"/>
      <c r="W75" s="759"/>
      <c r="X75" s="55"/>
      <c r="Y75" s="761"/>
      <c r="Z75" s="761"/>
      <c r="AA75" s="769" t="s">
        <v>2129</v>
      </c>
    </row>
    <row r="76" spans="1:27">
      <c r="A76" s="906">
        <f>A74+1</f>
        <v>36</v>
      </c>
      <c r="B76" s="55" t="s">
        <v>1124</v>
      </c>
      <c r="C76" s="758" t="s">
        <v>1319</v>
      </c>
      <c r="D76" s="759"/>
      <c r="E76" s="759">
        <f>D75</f>
        <v>310.14699999999999</v>
      </c>
      <c r="F76" s="55" t="s">
        <v>1948</v>
      </c>
      <c r="G76" s="761">
        <v>522356.68699999998</v>
      </c>
      <c r="H76" s="761">
        <v>3589184.412</v>
      </c>
      <c r="I76" s="905"/>
      <c r="J76" s="906">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6"/>
      <c r="B77" s="55"/>
      <c r="C77" s="55"/>
      <c r="D77" s="762">
        <v>374.99900000000002</v>
      </c>
      <c r="E77" s="759"/>
      <c r="F77" s="55"/>
      <c r="G77" s="761"/>
      <c r="H77" s="761"/>
      <c r="I77" s="905"/>
      <c r="J77" s="908"/>
      <c r="K77" s="55"/>
      <c r="L77" s="55"/>
      <c r="M77" s="55"/>
      <c r="N77" s="55"/>
      <c r="O77" s="55"/>
      <c r="P77" s="55"/>
      <c r="Q77" s="55"/>
      <c r="R77" s="55"/>
      <c r="S77" s="55"/>
      <c r="T77" s="55"/>
      <c r="U77" s="763">
        <v>372.4</v>
      </c>
      <c r="V77" s="761"/>
      <c r="W77" s="759"/>
      <c r="X77" s="55"/>
      <c r="Y77" s="761"/>
      <c r="Z77" s="761"/>
      <c r="AA77" s="768" t="s">
        <v>2130</v>
      </c>
    </row>
    <row r="78" spans="1:27">
      <c r="A78" s="906">
        <f>A76+1</f>
        <v>37</v>
      </c>
      <c r="B78" s="55" t="s">
        <v>1648</v>
      </c>
      <c r="C78" s="758" t="s">
        <v>76</v>
      </c>
      <c r="D78" s="759"/>
      <c r="E78" s="759"/>
      <c r="F78" s="55"/>
      <c r="G78" s="761">
        <v>522649.61099999998</v>
      </c>
      <c r="H78" s="761">
        <v>3588950.2749999999</v>
      </c>
      <c r="I78" s="905"/>
      <c r="J78" s="906">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6"/>
      <c r="B79" s="55"/>
      <c r="C79" s="55"/>
      <c r="D79" s="762">
        <v>330</v>
      </c>
      <c r="E79" s="759"/>
      <c r="F79" s="55"/>
      <c r="G79" s="761"/>
      <c r="H79" s="761"/>
      <c r="I79" s="905"/>
      <c r="J79" s="908"/>
      <c r="K79" s="55"/>
      <c r="L79" s="55"/>
      <c r="M79" s="55"/>
      <c r="N79" s="55"/>
      <c r="O79" s="55"/>
      <c r="P79" s="55"/>
      <c r="Q79" s="55"/>
      <c r="R79" s="55"/>
      <c r="S79" s="55"/>
      <c r="T79" s="55"/>
      <c r="U79" s="763">
        <v>311.86599999999999</v>
      </c>
      <c r="V79" s="761"/>
      <c r="W79" s="759"/>
      <c r="X79" s="55"/>
      <c r="Y79" s="761"/>
      <c r="Z79" s="761"/>
      <c r="AA79" s="768" t="s">
        <v>2131</v>
      </c>
    </row>
    <row r="80" spans="1:27">
      <c r="A80" s="906">
        <f>A78+1</f>
        <v>38</v>
      </c>
      <c r="B80" s="55" t="s">
        <v>1125</v>
      </c>
      <c r="C80" s="758" t="s">
        <v>76</v>
      </c>
      <c r="D80" s="759"/>
      <c r="E80" s="759"/>
      <c r="F80" s="55"/>
      <c r="G80" s="761">
        <v>522907.38500000001</v>
      </c>
      <c r="H80" s="761">
        <v>3588744.2340000002</v>
      </c>
      <c r="I80" s="905"/>
      <c r="J80" s="906">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6"/>
      <c r="B81" s="55"/>
      <c r="C81" s="55"/>
      <c r="D81" s="762">
        <v>366.04599999999999</v>
      </c>
      <c r="E81" s="759"/>
      <c r="F81" s="55"/>
      <c r="G81" s="761"/>
      <c r="H81" s="761"/>
      <c r="I81" s="905"/>
      <c r="J81" s="908"/>
      <c r="K81" s="55"/>
      <c r="L81" s="55"/>
      <c r="M81" s="55"/>
      <c r="N81" s="55"/>
      <c r="O81" s="55"/>
      <c r="P81" s="55"/>
      <c r="Q81" s="55"/>
      <c r="R81" s="55"/>
      <c r="S81" s="55"/>
      <c r="T81" s="55"/>
      <c r="U81" s="763">
        <v>343.76299999999998</v>
      </c>
      <c r="V81" s="761"/>
      <c r="W81" s="759"/>
      <c r="X81" s="55"/>
      <c r="Y81" s="761"/>
      <c r="Z81" s="761"/>
      <c r="AA81" s="768" t="s">
        <v>2126</v>
      </c>
    </row>
    <row r="82" spans="1:27">
      <c r="A82" s="906">
        <f>A80+1</f>
        <v>39</v>
      </c>
      <c r="B82" s="55" t="s">
        <v>1649</v>
      </c>
      <c r="C82" s="758" t="s">
        <v>1319</v>
      </c>
      <c r="D82" s="759"/>
      <c r="E82" s="761">
        <f>D77+D79+D81</f>
        <v>1071.0450000000001</v>
      </c>
      <c r="F82" s="55" t="s">
        <v>1950</v>
      </c>
      <c r="G82" s="761">
        <v>523193.315</v>
      </c>
      <c r="H82" s="761">
        <v>3588515.6880000001</v>
      </c>
      <c r="I82" s="905"/>
      <c r="J82" s="906">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6"/>
      <c r="B83" s="55"/>
      <c r="C83" s="55"/>
      <c r="D83" s="762">
        <v>445.75700000000001</v>
      </c>
      <c r="E83" s="759"/>
      <c r="F83" s="55"/>
      <c r="G83" s="761"/>
      <c r="H83" s="761"/>
      <c r="I83" s="905"/>
      <c r="J83" s="908"/>
      <c r="K83" s="55"/>
      <c r="L83" s="55"/>
      <c r="M83" s="55"/>
      <c r="N83" s="55"/>
      <c r="O83" s="55"/>
      <c r="P83" s="55"/>
      <c r="Q83" s="55"/>
      <c r="R83" s="55"/>
      <c r="S83" s="55"/>
      <c r="T83" s="55"/>
      <c r="U83" s="763">
        <v>442.37099999999998</v>
      </c>
      <c r="V83" s="761"/>
      <c r="W83" s="759"/>
      <c r="X83" s="55"/>
      <c r="Y83" s="761"/>
      <c r="Z83" s="761"/>
      <c r="AA83" s="768" t="s">
        <v>2118</v>
      </c>
    </row>
    <row r="84" spans="1:27">
      <c r="A84" s="906">
        <f>A82+1</f>
        <v>40</v>
      </c>
      <c r="B84" s="55" t="s">
        <v>1138</v>
      </c>
      <c r="C84" s="758" t="s">
        <v>1269</v>
      </c>
      <c r="D84" s="759"/>
      <c r="E84" s="759">
        <f>D83</f>
        <v>445.75700000000001</v>
      </c>
      <c r="F84" s="55" t="s">
        <v>1952</v>
      </c>
      <c r="G84" s="761">
        <v>523205.04700000002</v>
      </c>
      <c r="H84" s="761">
        <v>3588070.085</v>
      </c>
      <c r="I84" s="905"/>
      <c r="J84" s="906">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6"/>
      <c r="B85" s="55"/>
      <c r="C85" s="55"/>
      <c r="D85" s="762">
        <v>320</v>
      </c>
      <c r="E85" s="759"/>
      <c r="F85" s="55"/>
      <c r="G85" s="761"/>
      <c r="H85" s="761"/>
      <c r="I85" s="905"/>
      <c r="J85" s="908"/>
      <c r="K85" s="55"/>
      <c r="L85" s="55"/>
      <c r="M85" s="55"/>
      <c r="N85" s="55"/>
      <c r="O85" s="55"/>
      <c r="P85" s="55"/>
      <c r="Q85" s="55"/>
      <c r="R85" s="55"/>
      <c r="S85" s="55"/>
      <c r="T85" s="55"/>
      <c r="U85" s="763">
        <v>360</v>
      </c>
      <c r="V85" s="761"/>
      <c r="W85" s="759"/>
      <c r="X85" s="55"/>
      <c r="Y85" s="761"/>
      <c r="Z85" s="761"/>
      <c r="AA85" s="769" t="s">
        <v>2126</v>
      </c>
    </row>
    <row r="86" spans="1:27">
      <c r="A86" s="906">
        <f>A84+1</f>
        <v>41</v>
      </c>
      <c r="B86" s="55" t="s">
        <v>1140</v>
      </c>
      <c r="C86" s="758" t="s">
        <v>62</v>
      </c>
      <c r="D86" s="759"/>
      <c r="E86" s="759"/>
      <c r="F86" s="55"/>
      <c r="G86" s="761">
        <v>523153.97600000002</v>
      </c>
      <c r="H86" s="761">
        <v>3587754.1869999999</v>
      </c>
      <c r="I86" s="905"/>
      <c r="J86" s="906">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6"/>
      <c r="B87" s="55"/>
      <c r="C87" s="55"/>
      <c r="D87" s="762">
        <v>419.73899999999998</v>
      </c>
      <c r="E87" s="759"/>
      <c r="F87" s="55"/>
      <c r="G87" s="761"/>
      <c r="H87" s="761"/>
      <c r="I87" s="905"/>
      <c r="J87" s="908"/>
      <c r="K87" s="55"/>
      <c r="L87" s="55"/>
      <c r="M87" s="55"/>
      <c r="N87" s="55"/>
      <c r="O87" s="55"/>
      <c r="P87" s="55"/>
      <c r="Q87" s="55"/>
      <c r="R87" s="55"/>
      <c r="S87" s="55"/>
      <c r="T87" s="55"/>
      <c r="U87" s="763">
        <v>379.73899999999998</v>
      </c>
      <c r="V87" s="761"/>
      <c r="W87" s="759"/>
      <c r="X87" s="55"/>
      <c r="Y87" s="761"/>
      <c r="Z87" s="761"/>
      <c r="AA87" s="769" t="s">
        <v>2132</v>
      </c>
    </row>
    <row r="88" spans="1:27">
      <c r="A88" s="906">
        <f>A86+1</f>
        <v>42</v>
      </c>
      <c r="B88" s="55" t="s">
        <v>1650</v>
      </c>
      <c r="C88" s="758" t="s">
        <v>1402</v>
      </c>
      <c r="D88" s="759"/>
      <c r="E88" s="759">
        <f>D85+D87</f>
        <v>739.73900000000003</v>
      </c>
      <c r="F88" s="55" t="s">
        <v>1955</v>
      </c>
      <c r="G88" s="761">
        <v>523086.98499999999</v>
      </c>
      <c r="H88" s="761">
        <v>3587339.8280000002</v>
      </c>
      <c r="I88" s="905"/>
      <c r="J88" s="906">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6"/>
      <c r="B89" s="55"/>
      <c r="C89" s="55"/>
      <c r="D89" s="762">
        <v>445.99099999999999</v>
      </c>
      <c r="E89" s="759"/>
      <c r="F89" s="55"/>
      <c r="G89" s="761"/>
      <c r="H89" s="761"/>
      <c r="I89" s="905"/>
      <c r="J89" s="908"/>
      <c r="K89" s="55"/>
      <c r="L89" s="55"/>
      <c r="M89" s="55"/>
      <c r="N89" s="55"/>
      <c r="O89" s="55"/>
      <c r="P89" s="55"/>
      <c r="Q89" s="55"/>
      <c r="R89" s="55"/>
      <c r="S89" s="55"/>
      <c r="T89" s="55"/>
      <c r="U89" s="763">
        <v>445.99099999999999</v>
      </c>
      <c r="V89" s="761"/>
      <c r="W89" s="759"/>
      <c r="X89" s="55"/>
      <c r="Y89" s="761"/>
      <c r="Z89" s="761"/>
      <c r="AA89" s="769" t="s">
        <v>2133</v>
      </c>
    </row>
    <row r="90" spans="1:27">
      <c r="A90" s="906">
        <f>A88+1</f>
        <v>43</v>
      </c>
      <c r="B90" s="55" t="s">
        <v>1651</v>
      </c>
      <c r="C90" s="758" t="s">
        <v>1957</v>
      </c>
      <c r="D90" s="759"/>
      <c r="E90" s="759">
        <f>D89</f>
        <v>445.99099999999999</v>
      </c>
      <c r="F90" s="55" t="s">
        <v>1958</v>
      </c>
      <c r="G90" s="761">
        <v>523229.30200000003</v>
      </c>
      <c r="H90" s="761">
        <v>3586917.1529999999</v>
      </c>
      <c r="I90" s="905"/>
      <c r="J90" s="906">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6"/>
      <c r="B91" s="55"/>
      <c r="C91" s="55"/>
      <c r="D91" s="762">
        <v>378</v>
      </c>
      <c r="E91" s="759"/>
      <c r="F91" s="55"/>
      <c r="G91" s="761"/>
      <c r="H91" s="761"/>
      <c r="I91" s="905"/>
      <c r="J91" s="908"/>
      <c r="K91" s="55"/>
      <c r="L91" s="55"/>
      <c r="M91" s="55"/>
      <c r="N91" s="55"/>
      <c r="O91" s="55"/>
      <c r="P91" s="55"/>
      <c r="Q91" s="55"/>
      <c r="R91" s="55"/>
      <c r="S91" s="55"/>
      <c r="T91" s="55"/>
      <c r="U91" s="763">
        <v>373</v>
      </c>
      <c r="V91" s="761"/>
      <c r="W91" s="759"/>
      <c r="X91" s="55"/>
      <c r="Y91" s="761"/>
      <c r="Z91" s="761"/>
      <c r="AA91" s="769" t="s">
        <v>2126</v>
      </c>
    </row>
    <row r="92" spans="1:27">
      <c r="A92" s="906">
        <f>A90+1</f>
        <v>44</v>
      </c>
      <c r="B92" s="55" t="s">
        <v>1652</v>
      </c>
      <c r="C92" s="758" t="s">
        <v>76</v>
      </c>
      <c r="D92" s="759"/>
      <c r="E92" s="759"/>
      <c r="F92" s="55"/>
      <c r="G92" s="761">
        <v>523480.30200000003</v>
      </c>
      <c r="H92" s="761">
        <v>3586634.517</v>
      </c>
      <c r="I92" s="905"/>
      <c r="J92" s="906">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6"/>
      <c r="B93" s="55"/>
      <c r="C93" s="55"/>
      <c r="D93" s="762">
        <v>361</v>
      </c>
      <c r="E93" s="759"/>
      <c r="F93" s="55"/>
      <c r="G93" s="761"/>
      <c r="H93" s="761"/>
      <c r="I93" s="905"/>
      <c r="J93" s="908"/>
      <c r="K93" s="55"/>
      <c r="L93" s="55"/>
      <c r="M93" s="55"/>
      <c r="N93" s="55"/>
      <c r="O93" s="55"/>
      <c r="P93" s="55"/>
      <c r="Q93" s="55"/>
      <c r="R93" s="55"/>
      <c r="S93" s="55"/>
      <c r="T93" s="55"/>
      <c r="U93" s="763">
        <v>374</v>
      </c>
      <c r="V93" s="761"/>
      <c r="W93" s="759"/>
      <c r="X93" s="55"/>
      <c r="Y93" s="761"/>
      <c r="Z93" s="761"/>
      <c r="AA93" s="769"/>
    </row>
    <row r="94" spans="1:27">
      <c r="A94" s="906">
        <f>A92+1</f>
        <v>45</v>
      </c>
      <c r="B94" s="55" t="s">
        <v>1653</v>
      </c>
      <c r="C94" s="758" t="s">
        <v>62</v>
      </c>
      <c r="D94" s="759"/>
      <c r="E94" s="759"/>
      <c r="F94" s="55"/>
      <c r="G94" s="761">
        <v>523720.01400000002</v>
      </c>
      <c r="H94" s="761">
        <v>3586364.5929999999</v>
      </c>
      <c r="I94" s="905"/>
      <c r="J94" s="906">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6"/>
      <c r="B95" s="55"/>
      <c r="C95" s="55"/>
      <c r="D95" s="762">
        <v>356</v>
      </c>
      <c r="E95" s="759"/>
      <c r="F95" s="55"/>
      <c r="G95" s="761"/>
      <c r="H95" s="761"/>
      <c r="I95" s="905"/>
      <c r="J95" s="908"/>
      <c r="K95" s="55"/>
      <c r="L95" s="55"/>
      <c r="M95" s="55"/>
      <c r="N95" s="55"/>
      <c r="O95" s="55"/>
      <c r="P95" s="55"/>
      <c r="Q95" s="55"/>
      <c r="R95" s="55"/>
      <c r="S95" s="55"/>
      <c r="T95" s="55"/>
      <c r="U95" s="763">
        <v>352</v>
      </c>
      <c r="V95" s="761"/>
      <c r="W95" s="759"/>
      <c r="X95" s="55"/>
      <c r="Y95" s="761"/>
      <c r="Z95" s="761"/>
      <c r="AA95" s="769"/>
    </row>
    <row r="96" spans="1:27">
      <c r="A96" s="906">
        <f>A94+1</f>
        <v>46</v>
      </c>
      <c r="B96" s="55" t="s">
        <v>1654</v>
      </c>
      <c r="C96" s="758" t="s">
        <v>76</v>
      </c>
      <c r="D96" s="759"/>
      <c r="E96" s="759"/>
      <c r="F96" s="55"/>
      <c r="G96" s="761">
        <v>523956.40500000003</v>
      </c>
      <c r="H96" s="761">
        <v>3586098.4070000001</v>
      </c>
      <c r="I96" s="905"/>
      <c r="J96" s="906">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6"/>
      <c r="B97" s="55"/>
      <c r="C97" s="55"/>
      <c r="D97" s="762">
        <v>410</v>
      </c>
      <c r="E97" s="759"/>
      <c r="F97" s="55"/>
      <c r="G97" s="761"/>
      <c r="H97" s="761"/>
      <c r="I97" s="905"/>
      <c r="J97" s="908"/>
      <c r="K97" s="55"/>
      <c r="L97" s="55"/>
      <c r="M97" s="55"/>
      <c r="N97" s="55"/>
      <c r="O97" s="55"/>
      <c r="P97" s="55"/>
      <c r="Q97" s="55"/>
      <c r="R97" s="55"/>
      <c r="S97" s="55"/>
      <c r="T97" s="55"/>
      <c r="U97" s="763">
        <v>406</v>
      </c>
      <c r="V97" s="761"/>
      <c r="W97" s="759"/>
      <c r="X97" s="55"/>
      <c r="Y97" s="761"/>
      <c r="Z97" s="761"/>
      <c r="AA97" s="769"/>
    </row>
    <row r="98" spans="1:27">
      <c r="A98" s="906">
        <f>A96+1</f>
        <v>47</v>
      </c>
      <c r="B98" s="55" t="s">
        <v>1655</v>
      </c>
      <c r="C98" s="758" t="s">
        <v>76</v>
      </c>
      <c r="D98" s="759"/>
      <c r="E98" s="759"/>
      <c r="F98" s="55"/>
      <c r="G98" s="761">
        <v>524228.65399999998</v>
      </c>
      <c r="H98" s="761">
        <v>3585791.844</v>
      </c>
      <c r="I98" s="905"/>
      <c r="J98" s="906">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6"/>
      <c r="B99" s="55"/>
      <c r="C99" s="55"/>
      <c r="D99" s="762">
        <v>358</v>
      </c>
      <c r="E99" s="759"/>
      <c r="F99" s="55"/>
      <c r="G99" s="761"/>
      <c r="H99" s="761"/>
      <c r="I99" s="905"/>
      <c r="J99" s="908"/>
      <c r="K99" s="55"/>
      <c r="L99" s="55"/>
      <c r="M99" s="55"/>
      <c r="N99" s="55"/>
      <c r="O99" s="55"/>
      <c r="P99" s="55"/>
      <c r="Q99" s="55"/>
      <c r="R99" s="55"/>
      <c r="S99" s="55"/>
      <c r="T99" s="55"/>
      <c r="U99" s="763">
        <v>352</v>
      </c>
      <c r="V99" s="761"/>
      <c r="W99" s="759"/>
      <c r="X99" s="55"/>
      <c r="Y99" s="761"/>
      <c r="Z99" s="761"/>
      <c r="AA99" s="769" t="s">
        <v>2134</v>
      </c>
    </row>
    <row r="100" spans="1:27">
      <c r="A100" s="906">
        <f>A98+1</f>
        <v>48</v>
      </c>
      <c r="B100" s="55" t="s">
        <v>1656</v>
      </c>
      <c r="C100" s="758" t="s">
        <v>76</v>
      </c>
      <c r="D100" s="759"/>
      <c r="E100" s="759"/>
      <c r="F100" s="55"/>
      <c r="G100" s="761">
        <v>524466.37300000002</v>
      </c>
      <c r="H100" s="761">
        <v>3585524.162</v>
      </c>
      <c r="I100" s="905"/>
      <c r="J100" s="906">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6"/>
      <c r="B101" s="55"/>
      <c r="C101" s="55"/>
      <c r="D101" s="762">
        <v>324</v>
      </c>
      <c r="E101" s="759"/>
      <c r="F101" s="55"/>
      <c r="G101" s="761"/>
      <c r="H101" s="761"/>
      <c r="I101" s="905"/>
      <c r="J101" s="908"/>
      <c r="K101" s="55"/>
      <c r="L101" s="55"/>
      <c r="M101" s="55"/>
      <c r="N101" s="55"/>
      <c r="O101" s="55"/>
      <c r="P101" s="55"/>
      <c r="Q101" s="55"/>
      <c r="R101" s="55"/>
      <c r="S101" s="55"/>
      <c r="T101" s="55"/>
      <c r="U101" s="763">
        <v>340</v>
      </c>
      <c r="V101" s="761"/>
      <c r="W101" s="759"/>
      <c r="X101" s="55"/>
      <c r="Y101" s="761"/>
      <c r="Z101" s="761"/>
      <c r="AA101" s="769" t="s">
        <v>2132</v>
      </c>
    </row>
    <row r="102" spans="1:27">
      <c r="A102" s="906">
        <f>A100+1</f>
        <v>49</v>
      </c>
      <c r="B102" s="55" t="s">
        <v>1657</v>
      </c>
      <c r="C102" s="758" t="s">
        <v>76</v>
      </c>
      <c r="D102" s="759"/>
      <c r="E102" s="759"/>
      <c r="F102" s="55"/>
      <c r="G102" s="761">
        <v>524681.51599999995</v>
      </c>
      <c r="H102" s="761">
        <v>3585281.9029999999</v>
      </c>
      <c r="I102" s="905"/>
      <c r="J102" s="906">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6"/>
      <c r="B103" s="55"/>
      <c r="C103" s="55"/>
      <c r="D103" s="762">
        <v>386.62900000000002</v>
      </c>
      <c r="E103" s="759"/>
      <c r="F103" s="55"/>
      <c r="G103" s="761"/>
      <c r="H103" s="761"/>
      <c r="I103" s="905"/>
      <c r="J103" s="908"/>
      <c r="K103" s="55"/>
      <c r="L103" s="55"/>
      <c r="M103" s="55"/>
      <c r="N103" s="55"/>
      <c r="O103" s="55"/>
      <c r="P103" s="55"/>
      <c r="Q103" s="55"/>
      <c r="R103" s="55"/>
      <c r="S103" s="55"/>
      <c r="T103" s="55"/>
      <c r="U103" s="763">
        <v>376.62900000000002</v>
      </c>
      <c r="V103" s="761"/>
      <c r="W103" s="759"/>
      <c r="X103" s="55"/>
      <c r="Y103" s="761"/>
      <c r="Z103" s="761"/>
      <c r="AA103" s="769" t="s">
        <v>2135</v>
      </c>
    </row>
    <row r="104" spans="1:27">
      <c r="A104" s="906">
        <f>A102+1</f>
        <v>50</v>
      </c>
      <c r="B104" s="55" t="s">
        <v>1961</v>
      </c>
      <c r="C104" s="55" t="s">
        <v>1269</v>
      </c>
      <c r="D104" s="55"/>
      <c r="E104" s="55">
        <v>2573.6289999999999</v>
      </c>
      <c r="F104" s="55" t="s">
        <v>1962</v>
      </c>
      <c r="G104" s="55">
        <v>524938.24600000004</v>
      </c>
      <c r="H104" s="55">
        <v>3584992.8149999999</v>
      </c>
      <c r="I104" s="905"/>
      <c r="J104" s="906">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6"/>
      <c r="B105" s="55"/>
      <c r="C105" s="55"/>
      <c r="D105" s="55">
        <v>423</v>
      </c>
      <c r="E105" s="55"/>
      <c r="F105" s="55"/>
      <c r="G105" s="55"/>
      <c r="H105" s="55"/>
      <c r="I105" s="905"/>
      <c r="J105" s="908"/>
      <c r="K105" s="55"/>
      <c r="L105" s="55"/>
      <c r="M105" s="55"/>
      <c r="N105" s="55"/>
      <c r="O105" s="55"/>
      <c r="P105" s="55"/>
      <c r="Q105" s="55"/>
      <c r="R105" s="55"/>
      <c r="S105" s="55"/>
      <c r="T105" s="55"/>
      <c r="U105" s="761">
        <v>423</v>
      </c>
      <c r="V105" s="55"/>
      <c r="W105" s="55"/>
      <c r="X105" s="55"/>
      <c r="Y105" s="55"/>
      <c r="Z105" s="55"/>
      <c r="AA105" s="768" t="s">
        <v>2134</v>
      </c>
    </row>
    <row r="106" spans="1:27">
      <c r="A106" s="906">
        <f>A104+1</f>
        <v>51</v>
      </c>
      <c r="B106" s="55" t="s">
        <v>1659</v>
      </c>
      <c r="C106" s="55" t="s">
        <v>53</v>
      </c>
      <c r="D106" s="55"/>
      <c r="E106" s="55"/>
      <c r="F106" s="55"/>
      <c r="G106" s="55">
        <v>525248.54200000002</v>
      </c>
      <c r="H106" s="55">
        <v>3584705.335</v>
      </c>
      <c r="I106" s="905"/>
      <c r="J106" s="906">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6"/>
      <c r="B107" s="55"/>
      <c r="C107" s="55"/>
      <c r="D107" s="55">
        <v>417</v>
      </c>
      <c r="E107" s="55"/>
      <c r="F107" s="55"/>
      <c r="G107" s="55"/>
      <c r="H107" s="55"/>
      <c r="I107" s="905"/>
      <c r="J107" s="908"/>
      <c r="K107" s="55"/>
      <c r="L107" s="55"/>
      <c r="M107" s="55"/>
      <c r="N107" s="55"/>
      <c r="O107" s="55"/>
      <c r="P107" s="55"/>
      <c r="Q107" s="55"/>
      <c r="R107" s="55"/>
      <c r="S107" s="55"/>
      <c r="T107" s="55"/>
      <c r="U107" s="761">
        <v>417</v>
      </c>
      <c r="V107" s="55"/>
      <c r="W107" s="55"/>
      <c r="X107" s="55"/>
      <c r="Y107" s="55"/>
      <c r="Z107" s="55"/>
      <c r="AA107" s="769" t="s">
        <v>2130</v>
      </c>
    </row>
    <row r="108" spans="1:27">
      <c r="A108" s="906">
        <f>A106+1</f>
        <v>52</v>
      </c>
      <c r="B108" s="55" t="s">
        <v>658</v>
      </c>
      <c r="C108" s="55" t="s">
        <v>76</v>
      </c>
      <c r="D108" s="55"/>
      <c r="E108" s="55"/>
      <c r="F108" s="55"/>
      <c r="G108" s="55">
        <v>525554.43799999997</v>
      </c>
      <c r="H108" s="55">
        <v>3584421.932</v>
      </c>
      <c r="I108" s="905"/>
      <c r="J108" s="906">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6"/>
      <c r="B109" s="55"/>
      <c r="C109" s="55"/>
      <c r="D109" s="55">
        <v>415</v>
      </c>
      <c r="E109" s="55"/>
      <c r="F109" s="55"/>
      <c r="G109" s="55"/>
      <c r="H109" s="55"/>
      <c r="I109" s="905"/>
      <c r="J109" s="908"/>
      <c r="K109" s="55"/>
      <c r="L109" s="55"/>
      <c r="M109" s="55"/>
      <c r="N109" s="55"/>
      <c r="O109" s="55"/>
      <c r="P109" s="55"/>
      <c r="Q109" s="55"/>
      <c r="R109" s="55"/>
      <c r="S109" s="55"/>
      <c r="T109" s="55"/>
      <c r="U109" s="761">
        <v>415</v>
      </c>
      <c r="V109" s="55"/>
      <c r="W109" s="55"/>
      <c r="X109" s="55"/>
      <c r="Y109" s="55"/>
      <c r="Z109" s="55"/>
      <c r="AA109" s="769" t="s">
        <v>2130</v>
      </c>
    </row>
    <row r="110" spans="1:27">
      <c r="A110" s="906">
        <f>A108+1</f>
        <v>53</v>
      </c>
      <c r="B110" s="55" t="s">
        <v>1660</v>
      </c>
      <c r="C110" s="55" t="s">
        <v>53</v>
      </c>
      <c r="D110" s="55"/>
      <c r="E110" s="55"/>
      <c r="F110" s="55"/>
      <c r="G110" s="55">
        <v>525858.86600000004</v>
      </c>
      <c r="H110" s="55">
        <v>3584139.8879999998</v>
      </c>
      <c r="I110" s="905"/>
      <c r="J110" s="906">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6"/>
      <c r="B111" s="55"/>
      <c r="C111" s="55"/>
      <c r="D111" s="55">
        <v>421</v>
      </c>
      <c r="E111" s="55"/>
      <c r="F111" s="55"/>
      <c r="G111" s="55"/>
      <c r="H111" s="55"/>
      <c r="I111" s="905"/>
      <c r="J111" s="908"/>
      <c r="K111" s="55"/>
      <c r="L111" s="55"/>
      <c r="M111" s="55"/>
      <c r="N111" s="55"/>
      <c r="O111" s="55"/>
      <c r="P111" s="55"/>
      <c r="Q111" s="55"/>
      <c r="R111" s="55"/>
      <c r="S111" s="55"/>
      <c r="T111" s="55"/>
      <c r="U111" s="761">
        <v>421</v>
      </c>
      <c r="V111" s="55"/>
      <c r="W111" s="55"/>
      <c r="X111" s="55"/>
      <c r="Y111" s="55"/>
      <c r="Z111" s="55"/>
      <c r="AA111" s="769" t="s">
        <v>2137</v>
      </c>
    </row>
    <row r="112" spans="1:27">
      <c r="A112" s="906">
        <f>A110+1</f>
        <v>54</v>
      </c>
      <c r="B112" s="55" t="s">
        <v>1963</v>
      </c>
      <c r="C112" s="55" t="s">
        <v>76</v>
      </c>
      <c r="D112" s="55"/>
      <c r="E112" s="55"/>
      <c r="F112" s="55"/>
      <c r="G112" s="55">
        <v>526167.69499999995</v>
      </c>
      <c r="H112" s="55">
        <v>3583853.767</v>
      </c>
      <c r="I112" s="905"/>
      <c r="J112" s="906">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6"/>
      <c r="B113" s="55"/>
      <c r="C113" s="55"/>
      <c r="D113" s="55">
        <v>404</v>
      </c>
      <c r="E113" s="55"/>
      <c r="F113" s="55"/>
      <c r="G113" s="55"/>
      <c r="H113" s="55"/>
      <c r="I113" s="905"/>
      <c r="J113" s="908"/>
      <c r="K113" s="55"/>
      <c r="L113" s="55"/>
      <c r="M113" s="55"/>
      <c r="N113" s="55"/>
      <c r="O113" s="55"/>
      <c r="P113" s="55"/>
      <c r="Q113" s="55"/>
      <c r="R113" s="55"/>
      <c r="S113" s="55"/>
      <c r="T113" s="55"/>
      <c r="U113" s="761">
        <v>404</v>
      </c>
      <c r="V113" s="55"/>
      <c r="W113" s="55"/>
      <c r="X113" s="55"/>
      <c r="Y113" s="55"/>
      <c r="Z113" s="55"/>
      <c r="AA113" s="769"/>
    </row>
    <row r="114" spans="1:27">
      <c r="A114" s="906">
        <f>A112+1</f>
        <v>55</v>
      </c>
      <c r="B114" s="55" t="s">
        <v>1964</v>
      </c>
      <c r="C114" s="55" t="s">
        <v>249</v>
      </c>
      <c r="D114" s="55"/>
      <c r="E114" s="55"/>
      <c r="F114" s="55"/>
      <c r="G114" s="55">
        <v>526464.054</v>
      </c>
      <c r="H114" s="761">
        <v>3583579.2</v>
      </c>
      <c r="I114" s="905"/>
      <c r="J114" s="906">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6"/>
      <c r="B115" s="55"/>
      <c r="C115" s="55"/>
      <c r="D115" s="55">
        <v>434.72899999999998</v>
      </c>
      <c r="E115" s="55"/>
      <c r="F115" s="55"/>
      <c r="G115" s="55"/>
      <c r="H115" s="55"/>
      <c r="I115" s="905"/>
      <c r="J115" s="908"/>
      <c r="K115" s="55"/>
      <c r="L115" s="55"/>
      <c r="M115" s="55"/>
      <c r="N115" s="55"/>
      <c r="O115" s="55"/>
      <c r="P115" s="55"/>
      <c r="Q115" s="55"/>
      <c r="R115" s="55"/>
      <c r="S115" s="55"/>
      <c r="T115" s="55"/>
      <c r="U115" s="761">
        <v>434.73</v>
      </c>
      <c r="V115" s="55"/>
      <c r="W115" s="55"/>
      <c r="X115" s="55"/>
      <c r="Y115" s="55"/>
      <c r="Z115" s="55"/>
      <c r="AA115" s="769" t="s">
        <v>2138</v>
      </c>
    </row>
    <row r="116" spans="1:27">
      <c r="A116" s="906">
        <f>A114+1</f>
        <v>56</v>
      </c>
      <c r="B116" s="55" t="s">
        <v>1965</v>
      </c>
      <c r="C116" s="55" t="s">
        <v>1269</v>
      </c>
      <c r="D116" s="55"/>
      <c r="E116" s="55">
        <f>D105+D107+D109+D111+D113+D115</f>
        <v>2514.7289999999998</v>
      </c>
      <c r="F116" s="55" t="s">
        <v>1966</v>
      </c>
      <c r="G116" s="55">
        <v>526782.95499999996</v>
      </c>
      <c r="H116" s="55">
        <v>3583283.7480000001</v>
      </c>
      <c r="I116" s="905"/>
      <c r="J116" s="906">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6"/>
      <c r="B117" s="55"/>
      <c r="C117" s="55"/>
      <c r="D117" s="55">
        <v>395</v>
      </c>
      <c r="E117" s="55"/>
      <c r="F117" s="55"/>
      <c r="G117" s="55"/>
      <c r="H117" s="55"/>
      <c r="I117" s="905"/>
      <c r="J117" s="908"/>
      <c r="K117" s="55"/>
      <c r="L117" s="55"/>
      <c r="M117" s="55"/>
      <c r="N117" s="55"/>
      <c r="O117" s="55"/>
      <c r="P117" s="55"/>
      <c r="Q117" s="55"/>
      <c r="R117" s="55"/>
      <c r="S117" s="55"/>
      <c r="T117" s="55"/>
      <c r="U117" s="761">
        <v>395</v>
      </c>
      <c r="V117" s="55"/>
      <c r="W117" s="55"/>
      <c r="X117" s="55"/>
      <c r="Y117" s="55"/>
      <c r="Z117" s="55"/>
      <c r="AA117" s="769"/>
    </row>
    <row r="118" spans="1:27">
      <c r="A118" s="906">
        <f>A116+1</f>
        <v>57</v>
      </c>
      <c r="B118" s="55" t="s">
        <v>1661</v>
      </c>
      <c r="C118" s="55" t="s">
        <v>62</v>
      </c>
      <c r="D118" s="55"/>
      <c r="E118" s="55"/>
      <c r="F118" s="55"/>
      <c r="G118" s="55">
        <v>527125.01300000004</v>
      </c>
      <c r="H118" s="55">
        <v>3583086.2110000001</v>
      </c>
      <c r="I118" s="905"/>
      <c r="J118" s="906">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6"/>
      <c r="B119" s="55"/>
      <c r="C119" s="55"/>
      <c r="D119" s="55">
        <v>385</v>
      </c>
      <c r="E119" s="55"/>
      <c r="F119" s="55"/>
      <c r="G119" s="55"/>
      <c r="H119" s="55"/>
      <c r="I119" s="905"/>
      <c r="J119" s="908"/>
      <c r="K119" s="55"/>
      <c r="L119" s="55"/>
      <c r="M119" s="55"/>
      <c r="N119" s="55"/>
      <c r="O119" s="55"/>
      <c r="P119" s="55"/>
      <c r="Q119" s="55"/>
      <c r="R119" s="55"/>
      <c r="S119" s="55"/>
      <c r="T119" s="55"/>
      <c r="U119" s="761">
        <v>385</v>
      </c>
      <c r="V119" s="55"/>
      <c r="W119" s="55"/>
      <c r="X119" s="55"/>
      <c r="Y119" s="55"/>
      <c r="Z119" s="55"/>
      <c r="AA119" s="769"/>
    </row>
    <row r="120" spans="1:27">
      <c r="A120" s="906">
        <f>A118+1</f>
        <v>58</v>
      </c>
      <c r="B120" s="55" t="s">
        <v>1662</v>
      </c>
      <c r="C120" s="55" t="s">
        <v>76</v>
      </c>
      <c r="D120" s="55"/>
      <c r="E120" s="55"/>
      <c r="F120" s="55"/>
      <c r="G120" s="55">
        <v>527458.41299999994</v>
      </c>
      <c r="H120" s="55">
        <v>3582893.6749999998</v>
      </c>
      <c r="I120" s="905"/>
      <c r="J120" s="906">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6"/>
      <c r="B121" s="55"/>
      <c r="C121" s="55"/>
      <c r="D121" s="55">
        <v>395</v>
      </c>
      <c r="E121" s="55"/>
      <c r="F121" s="55"/>
      <c r="G121" s="55"/>
      <c r="H121" s="55"/>
      <c r="I121" s="905"/>
      <c r="J121" s="908"/>
      <c r="K121" s="55"/>
      <c r="L121" s="55"/>
      <c r="M121" s="55"/>
      <c r="N121" s="55"/>
      <c r="O121" s="55"/>
      <c r="P121" s="55"/>
      <c r="Q121" s="55"/>
      <c r="R121" s="55"/>
      <c r="S121" s="55"/>
      <c r="T121" s="55"/>
      <c r="U121" s="761">
        <v>395</v>
      </c>
      <c r="V121" s="55"/>
      <c r="W121" s="55"/>
      <c r="X121" s="55"/>
      <c r="Y121" s="55"/>
      <c r="Z121" s="55"/>
      <c r="AA121" s="769"/>
    </row>
    <row r="122" spans="1:27">
      <c r="A122" s="906">
        <f>A120+1</f>
        <v>59</v>
      </c>
      <c r="B122" s="55" t="s">
        <v>668</v>
      </c>
      <c r="C122" s="55" t="s">
        <v>76</v>
      </c>
      <c r="D122" s="55"/>
      <c r="E122" s="55"/>
      <c r="F122" s="55"/>
      <c r="G122" s="55">
        <v>527800.47100000002</v>
      </c>
      <c r="H122" s="55">
        <v>3582696.1379999998</v>
      </c>
      <c r="I122" s="905"/>
      <c r="J122" s="906">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6"/>
      <c r="B123" s="55"/>
      <c r="C123" s="55"/>
      <c r="D123" s="55">
        <v>390</v>
      </c>
      <c r="E123" s="55"/>
      <c r="F123" s="55"/>
      <c r="G123" s="55"/>
      <c r="H123" s="55"/>
      <c r="I123" s="905"/>
      <c r="J123" s="908"/>
      <c r="K123" s="55"/>
      <c r="L123" s="55"/>
      <c r="M123" s="55"/>
      <c r="N123" s="55"/>
      <c r="O123" s="55"/>
      <c r="P123" s="55"/>
      <c r="Q123" s="55"/>
      <c r="R123" s="55"/>
      <c r="S123" s="55"/>
      <c r="T123" s="55"/>
      <c r="U123" s="761">
        <v>390</v>
      </c>
      <c r="V123" s="55"/>
      <c r="W123" s="55"/>
      <c r="X123" s="55"/>
      <c r="Y123" s="55"/>
      <c r="Z123" s="55"/>
      <c r="AA123" s="769"/>
    </row>
    <row r="124" spans="1:27">
      <c r="A124" s="906">
        <f>A122+1</f>
        <v>60</v>
      </c>
      <c r="B124" s="55" t="s">
        <v>1663</v>
      </c>
      <c r="C124" s="55" t="s">
        <v>62</v>
      </c>
      <c r="D124" s="55"/>
      <c r="E124" s="55"/>
      <c r="F124" s="55"/>
      <c r="G124" s="55">
        <v>528138.19999999995</v>
      </c>
      <c r="H124" s="55">
        <v>3582501.102</v>
      </c>
      <c r="I124" s="905"/>
      <c r="J124" s="906">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6"/>
      <c r="B125" s="55"/>
      <c r="C125" s="55"/>
      <c r="D125" s="55">
        <v>420</v>
      </c>
      <c r="E125" s="55"/>
      <c r="F125" s="55"/>
      <c r="G125" s="55"/>
      <c r="H125" s="55"/>
      <c r="I125" s="905"/>
      <c r="J125" s="908"/>
      <c r="K125" s="55"/>
      <c r="L125" s="55"/>
      <c r="M125" s="55"/>
      <c r="N125" s="55"/>
      <c r="O125" s="55"/>
      <c r="P125" s="55"/>
      <c r="Q125" s="55"/>
      <c r="R125" s="55"/>
      <c r="S125" s="55"/>
      <c r="T125" s="55"/>
      <c r="U125" s="761">
        <v>420</v>
      </c>
      <c r="V125" s="55"/>
      <c r="W125" s="55"/>
      <c r="X125" s="55"/>
      <c r="Y125" s="55"/>
      <c r="Z125" s="55"/>
      <c r="AA125" s="769" t="s">
        <v>2139</v>
      </c>
    </row>
    <row r="126" spans="1:27">
      <c r="A126" s="906">
        <f>A124+1</f>
        <v>61</v>
      </c>
      <c r="B126" s="55" t="s">
        <v>1967</v>
      </c>
      <c r="C126" s="55" t="s">
        <v>62</v>
      </c>
      <c r="D126" s="55"/>
      <c r="E126" s="55"/>
      <c r="F126" s="55"/>
      <c r="G126" s="55">
        <v>528501.90800000005</v>
      </c>
      <c r="H126" s="55">
        <v>3582291.0630000001</v>
      </c>
      <c r="I126" s="905"/>
      <c r="J126" s="906">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6"/>
      <c r="B127" s="55"/>
      <c r="C127" s="55"/>
      <c r="D127" s="55">
        <v>389.47699999999998</v>
      </c>
      <c r="E127" s="55"/>
      <c r="F127" s="55"/>
      <c r="G127" s="55"/>
      <c r="H127" s="55"/>
      <c r="I127" s="905"/>
      <c r="J127" s="908"/>
      <c r="K127" s="55"/>
      <c r="L127" s="55"/>
      <c r="M127" s="55"/>
      <c r="N127" s="55"/>
      <c r="O127" s="55"/>
      <c r="P127" s="55"/>
      <c r="Q127" s="55"/>
      <c r="R127" s="55"/>
      <c r="S127" s="55"/>
      <c r="T127" s="55"/>
      <c r="U127" s="761">
        <v>389.48</v>
      </c>
      <c r="V127" s="55"/>
      <c r="W127" s="55"/>
      <c r="X127" s="55"/>
      <c r="Y127" s="55"/>
      <c r="Z127" s="55"/>
      <c r="AA127" s="769" t="s">
        <v>2126</v>
      </c>
    </row>
    <row r="128" spans="1:27">
      <c r="A128" s="906">
        <f>A126+1</f>
        <v>62</v>
      </c>
      <c r="B128" s="55" t="s">
        <v>1968</v>
      </c>
      <c r="C128" s="55" t="s">
        <v>1269</v>
      </c>
      <c r="D128" s="55"/>
      <c r="E128" s="55">
        <f>D117+D119+D121+D123+D125+D127</f>
        <v>2374.4769999999999</v>
      </c>
      <c r="F128" s="55" t="s">
        <v>1969</v>
      </c>
      <c r="G128" s="55">
        <v>528839.18400000001</v>
      </c>
      <c r="H128" s="55">
        <v>3582096.2880000002</v>
      </c>
      <c r="I128" s="905"/>
      <c r="J128" s="906">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6"/>
      <c r="B129" s="55"/>
      <c r="C129" s="55"/>
      <c r="D129" s="55">
        <v>409.99900000000002</v>
      </c>
      <c r="E129" s="55"/>
      <c r="F129" s="55"/>
      <c r="G129" s="55"/>
      <c r="H129" s="55"/>
      <c r="I129" s="905"/>
      <c r="J129" s="908"/>
      <c r="K129" s="55"/>
      <c r="L129" s="55"/>
      <c r="M129" s="55"/>
      <c r="N129" s="55"/>
      <c r="O129" s="55"/>
      <c r="P129" s="55"/>
      <c r="Q129" s="55"/>
      <c r="R129" s="55"/>
      <c r="S129" s="55"/>
      <c r="T129" s="55"/>
      <c r="U129" s="761">
        <v>410</v>
      </c>
      <c r="V129" s="55"/>
      <c r="W129" s="55"/>
      <c r="X129" s="55"/>
      <c r="Y129" s="55"/>
      <c r="Z129" s="55"/>
      <c r="AA129" s="769" t="s">
        <v>2140</v>
      </c>
    </row>
    <row r="130" spans="1:27">
      <c r="A130" s="906">
        <f>A128+1</f>
        <v>63</v>
      </c>
      <c r="B130" s="55" t="s">
        <v>654</v>
      </c>
      <c r="C130" s="55" t="s">
        <v>53</v>
      </c>
      <c r="D130" s="55"/>
      <c r="E130" s="55"/>
      <c r="F130" s="55"/>
      <c r="G130" s="55">
        <v>529153.89599999995</v>
      </c>
      <c r="H130" s="55">
        <v>3581833.5040000002</v>
      </c>
      <c r="I130" s="905"/>
      <c r="J130" s="906">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6"/>
      <c r="B131" s="55"/>
      <c r="C131" s="55"/>
      <c r="D131" s="55">
        <v>426.98399999999998</v>
      </c>
      <c r="E131" s="55"/>
      <c r="F131" s="55"/>
      <c r="G131" s="55"/>
      <c r="H131" s="55"/>
      <c r="I131" s="905"/>
      <c r="J131" s="908"/>
      <c r="K131" s="55"/>
      <c r="L131" s="55"/>
      <c r="M131" s="55"/>
      <c r="N131" s="55"/>
      <c r="O131" s="55"/>
      <c r="P131" s="55"/>
      <c r="Q131" s="55"/>
      <c r="R131" s="55"/>
      <c r="S131" s="55"/>
      <c r="T131" s="55"/>
      <c r="U131" s="761">
        <v>426.98399999999998</v>
      </c>
      <c r="V131" s="55"/>
      <c r="W131" s="55"/>
      <c r="X131" s="55"/>
      <c r="Y131" s="55"/>
      <c r="Z131" s="55"/>
      <c r="AA131" s="768" t="s">
        <v>2130</v>
      </c>
    </row>
    <row r="132" spans="1:27">
      <c r="A132" s="906">
        <f>A130+1</f>
        <v>64</v>
      </c>
      <c r="B132" s="55" t="s">
        <v>1970</v>
      </c>
      <c r="C132" s="55" t="s">
        <v>1277</v>
      </c>
      <c r="D132" s="55"/>
      <c r="E132" s="55">
        <f>D129+D131</f>
        <v>836.98299999999995</v>
      </c>
      <c r="F132" s="55" t="s">
        <v>1971</v>
      </c>
      <c r="G132" s="55">
        <v>529481.64599999995</v>
      </c>
      <c r="H132" s="55">
        <v>3581559.8339999998</v>
      </c>
      <c r="I132" s="905"/>
      <c r="J132" s="906">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6"/>
      <c r="B133" s="55"/>
      <c r="C133" s="55"/>
      <c r="D133" s="55">
        <v>289.99900000000002</v>
      </c>
      <c r="E133" s="55"/>
      <c r="F133" s="55"/>
      <c r="G133" s="55"/>
      <c r="H133" s="55"/>
      <c r="I133" s="905"/>
      <c r="J133" s="908"/>
      <c r="K133" s="55"/>
      <c r="L133" s="55"/>
      <c r="M133" s="55"/>
      <c r="N133" s="55"/>
      <c r="O133" s="55"/>
      <c r="P133" s="55"/>
      <c r="Q133" s="55"/>
      <c r="R133" s="55"/>
      <c r="S133" s="55"/>
      <c r="T133" s="55"/>
      <c r="U133" s="761">
        <v>290</v>
      </c>
      <c r="V133" s="55"/>
      <c r="W133" s="55"/>
      <c r="X133" s="55"/>
      <c r="Y133" s="55"/>
      <c r="Z133" s="55"/>
      <c r="AA133" s="768"/>
    </row>
    <row r="134" spans="1:27">
      <c r="A134" s="906">
        <f>A132+1</f>
        <v>65</v>
      </c>
      <c r="B134" s="55" t="s">
        <v>770</v>
      </c>
      <c r="C134" s="55" t="s">
        <v>76</v>
      </c>
      <c r="D134" s="55"/>
      <c r="E134" s="55"/>
      <c r="F134" s="55"/>
      <c r="G134" s="55">
        <v>529602.60699999996</v>
      </c>
      <c r="H134" s="55">
        <v>3581296.2659999998</v>
      </c>
      <c r="I134" s="905"/>
      <c r="J134" s="906">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6"/>
      <c r="B135" s="55"/>
      <c r="C135" s="55"/>
      <c r="D135" s="55">
        <v>360</v>
      </c>
      <c r="E135" s="55"/>
      <c r="F135" s="55"/>
      <c r="G135" s="55"/>
      <c r="H135" s="55"/>
      <c r="I135" s="905"/>
      <c r="J135" s="908"/>
      <c r="K135" s="55"/>
      <c r="L135" s="55"/>
      <c r="M135" s="55"/>
      <c r="N135" s="55"/>
      <c r="O135" s="55"/>
      <c r="P135" s="55"/>
      <c r="Q135" s="55"/>
      <c r="R135" s="55"/>
      <c r="S135" s="55"/>
      <c r="T135" s="55"/>
      <c r="U135" s="761">
        <v>360</v>
      </c>
      <c r="V135" s="55"/>
      <c r="W135" s="55"/>
      <c r="X135" s="55"/>
      <c r="Y135" s="55"/>
      <c r="Z135" s="55"/>
      <c r="AA135" s="768" t="s">
        <v>2130</v>
      </c>
    </row>
    <row r="136" spans="1:27">
      <c r="A136" s="906">
        <f>A134+1</f>
        <v>66</v>
      </c>
      <c r="B136" s="55" t="s">
        <v>984</v>
      </c>
      <c r="C136" s="55" t="s">
        <v>76</v>
      </c>
      <c r="D136" s="55"/>
      <c r="E136" s="55"/>
      <c r="F136" s="55"/>
      <c r="G136" s="55">
        <v>529752.76599999995</v>
      </c>
      <c r="H136" s="55">
        <v>3580969.0780000002</v>
      </c>
      <c r="I136" s="905"/>
      <c r="J136" s="906">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6"/>
      <c r="B137" s="55"/>
      <c r="C137" s="55"/>
      <c r="D137" s="55">
        <v>317.79899999999998</v>
      </c>
      <c r="E137" s="55"/>
      <c r="F137" s="55"/>
      <c r="G137" s="55"/>
      <c r="H137" s="55"/>
      <c r="I137" s="905"/>
      <c r="J137" s="908"/>
      <c r="K137" s="55"/>
      <c r="L137" s="55"/>
      <c r="M137" s="55"/>
      <c r="N137" s="55"/>
      <c r="O137" s="55"/>
      <c r="P137" s="55"/>
      <c r="Q137" s="55"/>
      <c r="R137" s="55"/>
      <c r="S137" s="55"/>
      <c r="T137" s="55"/>
      <c r="U137" s="761">
        <v>317.8</v>
      </c>
      <c r="V137" s="55"/>
      <c r="W137" s="55"/>
      <c r="X137" s="55"/>
      <c r="Y137" s="55"/>
      <c r="Z137" s="55"/>
      <c r="AA137" s="768" t="s">
        <v>2141</v>
      </c>
    </row>
    <row r="138" spans="1:27">
      <c r="A138" s="906">
        <f>A136+1</f>
        <v>67</v>
      </c>
      <c r="B138" s="55" t="s">
        <v>1972</v>
      </c>
      <c r="C138" s="55" t="s">
        <v>1269</v>
      </c>
      <c r="D138" s="55"/>
      <c r="E138" s="55">
        <f>D133+D135+D137</f>
        <v>967.798</v>
      </c>
      <c r="F138" s="55" t="s">
        <v>1973</v>
      </c>
      <c r="G138" s="55">
        <v>529885.32299999997</v>
      </c>
      <c r="H138" s="55">
        <v>3580680.2439999999</v>
      </c>
      <c r="I138" s="905"/>
      <c r="J138" s="906">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6"/>
      <c r="B139" s="55"/>
      <c r="C139" s="55"/>
      <c r="D139" s="55">
        <v>412.154</v>
      </c>
      <c r="E139" s="55"/>
      <c r="F139" s="55"/>
      <c r="G139" s="55"/>
      <c r="H139" s="55"/>
      <c r="I139" s="905"/>
      <c r="J139" s="908"/>
      <c r="K139" s="55"/>
      <c r="L139" s="55"/>
      <c r="M139" s="55"/>
      <c r="N139" s="55"/>
      <c r="O139" s="55"/>
      <c r="P139" s="55"/>
      <c r="Q139" s="55"/>
      <c r="R139" s="55"/>
      <c r="S139" s="55"/>
      <c r="T139" s="55"/>
      <c r="U139" s="761">
        <v>427.154</v>
      </c>
      <c r="V139" s="55"/>
      <c r="W139" s="55"/>
      <c r="X139" s="55"/>
      <c r="Y139" s="55"/>
      <c r="Z139" s="55"/>
      <c r="AA139" s="769" t="s">
        <v>2142</v>
      </c>
    </row>
    <row r="140" spans="1:27">
      <c r="A140" s="906">
        <f>A138+1</f>
        <v>68</v>
      </c>
      <c r="B140" s="55" t="s">
        <v>962</v>
      </c>
      <c r="C140" s="55" t="s">
        <v>62</v>
      </c>
      <c r="D140" s="55"/>
      <c r="E140" s="55"/>
      <c r="F140" s="55"/>
      <c r="G140" s="55">
        <v>530020.17299999995</v>
      </c>
      <c r="H140" s="55">
        <v>3580290.7749999999</v>
      </c>
      <c r="I140" s="905"/>
      <c r="J140" s="906">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6"/>
      <c r="B141" s="55"/>
      <c r="C141" s="55"/>
      <c r="D141" s="55">
        <v>407.75299999999999</v>
      </c>
      <c r="E141" s="55"/>
      <c r="F141" s="55"/>
      <c r="G141" s="55"/>
      <c r="H141" s="55"/>
      <c r="I141" s="905"/>
      <c r="J141" s="908"/>
      <c r="K141" s="55"/>
      <c r="L141" s="55"/>
      <c r="M141" s="55"/>
      <c r="N141" s="55"/>
      <c r="O141" s="55"/>
      <c r="P141" s="55"/>
      <c r="Q141" s="55"/>
      <c r="R141" s="55"/>
      <c r="S141" s="55"/>
      <c r="T141" s="55"/>
      <c r="U141" s="761">
        <v>392.75299999999999</v>
      </c>
      <c r="V141" s="55"/>
      <c r="W141" s="55"/>
      <c r="X141" s="55"/>
      <c r="Y141" s="55"/>
      <c r="Z141" s="55"/>
      <c r="AA141" s="769" t="s">
        <v>2143</v>
      </c>
    </row>
    <row r="142" spans="1:27">
      <c r="A142" s="906">
        <f>A140+1</f>
        <v>69</v>
      </c>
      <c r="B142" s="55" t="s">
        <v>1974</v>
      </c>
      <c r="C142" s="55" t="s">
        <v>1319</v>
      </c>
      <c r="D142" s="55"/>
      <c r="E142" s="55">
        <f>D139+D141</f>
        <v>819.90699999999993</v>
      </c>
      <c r="F142" s="55" t="s">
        <v>1975</v>
      </c>
      <c r="G142" s="55">
        <v>530153.58299999998</v>
      </c>
      <c r="H142" s="55">
        <v>3579905.4640000002</v>
      </c>
      <c r="I142" s="905"/>
      <c r="J142" s="906">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6"/>
      <c r="B143" s="55"/>
      <c r="C143" s="55"/>
      <c r="D143" s="55">
        <v>415</v>
      </c>
      <c r="E143" s="55"/>
      <c r="F143" s="55"/>
      <c r="G143" s="55"/>
      <c r="H143" s="55"/>
      <c r="I143" s="905"/>
      <c r="J143" s="908"/>
      <c r="K143" s="55"/>
      <c r="L143" s="55"/>
      <c r="M143" s="55"/>
      <c r="N143" s="55"/>
      <c r="O143" s="55"/>
      <c r="P143" s="55"/>
      <c r="Q143" s="55"/>
      <c r="R143" s="55"/>
      <c r="S143" s="55"/>
      <c r="T143" s="55"/>
      <c r="U143" s="761">
        <v>415</v>
      </c>
      <c r="V143" s="55"/>
      <c r="W143" s="55"/>
      <c r="X143" s="55"/>
      <c r="Y143" s="55"/>
      <c r="Z143" s="55"/>
      <c r="AA143" s="769" t="s">
        <v>2144</v>
      </c>
    </row>
    <row r="144" spans="1:27">
      <c r="A144" s="906">
        <f>A142+1</f>
        <v>70</v>
      </c>
      <c r="B144" s="55" t="s">
        <v>894</v>
      </c>
      <c r="C144" s="55" t="s">
        <v>53</v>
      </c>
      <c r="D144" s="55"/>
      <c r="E144" s="55"/>
      <c r="F144" s="55"/>
      <c r="G144" s="55">
        <v>530492.91700000002</v>
      </c>
      <c r="H144" s="55">
        <v>3579666.5550000002</v>
      </c>
      <c r="I144" s="905"/>
      <c r="J144" s="906">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6"/>
      <c r="B145" s="55"/>
      <c r="C145" s="55"/>
      <c r="D145" s="55">
        <v>405.233</v>
      </c>
      <c r="E145" s="55"/>
      <c r="F145" s="55"/>
      <c r="G145" s="55"/>
      <c r="H145" s="55"/>
      <c r="I145" s="905"/>
      <c r="J145" s="908"/>
      <c r="K145" s="55"/>
      <c r="L145" s="55"/>
      <c r="M145" s="55"/>
      <c r="N145" s="55"/>
      <c r="O145" s="55"/>
      <c r="P145" s="55"/>
      <c r="Q145" s="55"/>
      <c r="R145" s="55"/>
      <c r="S145" s="55"/>
      <c r="T145" s="55"/>
      <c r="U145" s="761">
        <v>405.23399999999998</v>
      </c>
      <c r="V145" s="55"/>
      <c r="W145" s="55"/>
      <c r="X145" s="55"/>
      <c r="Y145" s="55"/>
      <c r="Z145" s="55"/>
      <c r="AA145" s="769" t="s">
        <v>2126</v>
      </c>
    </row>
    <row r="146" spans="1:27">
      <c r="A146" s="906">
        <f>A144+1</f>
        <v>71</v>
      </c>
      <c r="B146" s="55" t="s">
        <v>1976</v>
      </c>
      <c r="C146" s="55" t="s">
        <v>1277</v>
      </c>
      <c r="D146" s="55"/>
      <c r="E146" s="55">
        <f>D143+D145</f>
        <v>820.23299999999995</v>
      </c>
      <c r="F146" s="55" t="s">
        <v>1977</v>
      </c>
      <c r="G146" s="55">
        <v>530824.26500000001</v>
      </c>
      <c r="H146" s="55">
        <v>3579433.2689999999</v>
      </c>
      <c r="I146" s="905"/>
      <c r="J146" s="906">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6"/>
      <c r="B147" s="55"/>
      <c r="C147" s="55"/>
      <c r="D147" s="55">
        <v>425.904</v>
      </c>
      <c r="E147" s="55"/>
      <c r="F147" s="55"/>
      <c r="G147" s="55"/>
      <c r="H147" s="55"/>
      <c r="I147" s="905"/>
      <c r="J147" s="908"/>
      <c r="K147" s="55"/>
      <c r="L147" s="55"/>
      <c r="M147" s="55"/>
      <c r="N147" s="55"/>
      <c r="O147" s="55"/>
      <c r="P147" s="55"/>
      <c r="Q147" s="55"/>
      <c r="R147" s="55"/>
      <c r="S147" s="55"/>
      <c r="T147" s="55"/>
      <c r="U147" s="761">
        <v>439.8</v>
      </c>
      <c r="V147" s="55"/>
      <c r="W147" s="55"/>
      <c r="X147" s="55"/>
      <c r="Y147" s="55"/>
      <c r="Z147" s="55"/>
      <c r="AA147" s="769"/>
    </row>
    <row r="148" spans="1:27">
      <c r="A148" s="906">
        <f>A146+1</f>
        <v>72</v>
      </c>
      <c r="B148" s="55" t="s">
        <v>1979</v>
      </c>
      <c r="C148" s="55" t="s">
        <v>53</v>
      </c>
      <c r="D148" s="55"/>
      <c r="E148" s="55"/>
      <c r="F148" s="55"/>
      <c r="G148" s="55">
        <v>531093.45200000005</v>
      </c>
      <c r="H148" s="55">
        <v>3579103.22</v>
      </c>
      <c r="I148" s="905"/>
      <c r="J148" s="906">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6"/>
      <c r="B149" s="55"/>
      <c r="C149" s="55"/>
      <c r="D149" s="55">
        <v>380.06900000000002</v>
      </c>
      <c r="E149" s="55"/>
      <c r="F149" s="55"/>
      <c r="G149" s="55"/>
      <c r="H149" s="55"/>
      <c r="I149" s="905"/>
      <c r="J149" s="908"/>
      <c r="K149" s="55"/>
      <c r="L149" s="55"/>
      <c r="M149" s="55"/>
      <c r="N149" s="55"/>
      <c r="O149" s="55"/>
      <c r="P149" s="55"/>
      <c r="Q149" s="55"/>
      <c r="R149" s="55"/>
      <c r="S149" s="55"/>
      <c r="T149" s="55"/>
      <c r="U149" s="761">
        <v>376</v>
      </c>
      <c r="V149" s="55"/>
      <c r="W149" s="55"/>
      <c r="X149" s="55"/>
      <c r="Y149" s="55"/>
      <c r="Z149" s="55"/>
      <c r="AA149" s="769" t="s">
        <v>2145</v>
      </c>
    </row>
    <row r="150" spans="1:27">
      <c r="A150" s="906">
        <f>A148+1</f>
        <v>73</v>
      </c>
      <c r="B150" s="55" t="s">
        <v>1983</v>
      </c>
      <c r="C150" s="55" t="s">
        <v>53</v>
      </c>
      <c r="D150" s="55"/>
      <c r="E150" s="55"/>
      <c r="F150" s="55"/>
      <c r="G150" s="55">
        <v>531333.66899999999</v>
      </c>
      <c r="H150" s="55">
        <v>3578808.69</v>
      </c>
      <c r="I150" s="905"/>
      <c r="J150" s="906">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6"/>
      <c r="B151" s="55"/>
      <c r="C151" s="55"/>
      <c r="D151" s="55">
        <v>416.94200000000001</v>
      </c>
      <c r="E151" s="55"/>
      <c r="F151" s="55"/>
      <c r="G151" s="55"/>
      <c r="H151" s="55"/>
      <c r="I151" s="905"/>
      <c r="J151" s="908"/>
      <c r="K151" s="55"/>
      <c r="L151" s="55"/>
      <c r="M151" s="55"/>
      <c r="N151" s="55"/>
      <c r="O151" s="55"/>
      <c r="P151" s="55"/>
      <c r="Q151" s="55"/>
      <c r="R151" s="55"/>
      <c r="S151" s="55"/>
      <c r="T151" s="55"/>
      <c r="U151" s="761">
        <v>416</v>
      </c>
      <c r="V151" s="55"/>
      <c r="W151" s="55"/>
      <c r="X151" s="55"/>
      <c r="Y151" s="55"/>
      <c r="Z151" s="55"/>
      <c r="AA151" s="769" t="s">
        <v>2146</v>
      </c>
    </row>
    <row r="152" spans="1:27">
      <c r="A152" s="906">
        <f>A150+1</f>
        <v>74</v>
      </c>
      <c r="B152" s="55" t="s">
        <v>1984</v>
      </c>
      <c r="C152" s="55" t="s">
        <v>62</v>
      </c>
      <c r="D152" s="55"/>
      <c r="E152" s="55"/>
      <c r="F152" s="55"/>
      <c r="G152" s="55">
        <v>531597.19200000004</v>
      </c>
      <c r="H152" s="55">
        <v>3578485.585</v>
      </c>
      <c r="I152" s="905"/>
      <c r="J152" s="906">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6"/>
      <c r="B153" s="55"/>
      <c r="C153" s="55"/>
      <c r="D153" s="55">
        <v>419.35599999999999</v>
      </c>
      <c r="E153" s="55"/>
      <c r="F153" s="55"/>
      <c r="G153" s="55"/>
      <c r="H153" s="55"/>
      <c r="I153" s="905"/>
      <c r="J153" s="908"/>
      <c r="K153" s="55"/>
      <c r="L153" s="55"/>
      <c r="M153" s="55"/>
      <c r="N153" s="55"/>
      <c r="O153" s="55"/>
      <c r="P153" s="55"/>
      <c r="Q153" s="55"/>
      <c r="R153" s="55"/>
      <c r="S153" s="55"/>
      <c r="T153" s="55"/>
      <c r="U153" s="761">
        <v>411.4</v>
      </c>
      <c r="V153" s="55"/>
      <c r="W153" s="55"/>
      <c r="X153" s="55"/>
      <c r="Y153" s="55"/>
      <c r="Z153" s="55"/>
      <c r="AA153" s="769" t="s">
        <v>2147</v>
      </c>
    </row>
    <row r="154" spans="1:27">
      <c r="A154" s="906">
        <f>A152+1</f>
        <v>75</v>
      </c>
      <c r="B154" s="55" t="s">
        <v>1980</v>
      </c>
      <c r="C154" s="55" t="s">
        <v>1277</v>
      </c>
      <c r="D154" s="55"/>
      <c r="E154" s="55">
        <f>D147+D149+D151+D153</f>
        <v>1642.271</v>
      </c>
      <c r="F154" s="55" t="s">
        <v>1985</v>
      </c>
      <c r="G154" s="55">
        <v>531862.24</v>
      </c>
      <c r="H154" s="55">
        <v>3578160.61</v>
      </c>
      <c r="I154" s="905"/>
      <c r="J154" s="906">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6"/>
      <c r="B155" s="55"/>
      <c r="C155" s="55"/>
      <c r="D155" s="55">
        <v>390</v>
      </c>
      <c r="E155" s="55"/>
      <c r="F155" s="55"/>
      <c r="G155" s="55"/>
      <c r="H155" s="55"/>
      <c r="I155" s="905"/>
      <c r="J155" s="908"/>
      <c r="K155" s="55"/>
      <c r="L155" s="55"/>
      <c r="M155" s="55"/>
      <c r="N155" s="55"/>
      <c r="O155" s="55"/>
      <c r="P155" s="55"/>
      <c r="Q155" s="55"/>
      <c r="R155" s="55"/>
      <c r="S155" s="55"/>
      <c r="T155" s="55"/>
      <c r="U155" s="761">
        <v>390</v>
      </c>
      <c r="V155" s="55"/>
      <c r="W155" s="55"/>
      <c r="X155" s="55"/>
      <c r="Y155" s="55"/>
      <c r="Z155" s="55"/>
      <c r="AA155" s="769"/>
    </row>
    <row r="156" spans="1:27">
      <c r="A156" s="906">
        <f>A154+1</f>
        <v>76</v>
      </c>
      <c r="B156" s="55" t="s">
        <v>974</v>
      </c>
      <c r="C156" s="55" t="s">
        <v>62</v>
      </c>
      <c r="D156" s="55"/>
      <c r="E156" s="55"/>
      <c r="F156" s="55"/>
      <c r="G156" s="55">
        <v>532042.39099999995</v>
      </c>
      <c r="H156" s="55">
        <v>3577814.7119999998</v>
      </c>
      <c r="I156" s="905"/>
      <c r="J156" s="906">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6"/>
      <c r="B157" s="55"/>
      <c r="C157" s="55"/>
      <c r="D157" s="55">
        <v>385.27199999999999</v>
      </c>
      <c r="E157" s="55"/>
      <c r="F157" s="55"/>
      <c r="G157" s="55"/>
      <c r="H157" s="55"/>
      <c r="I157" s="905"/>
      <c r="J157" s="908"/>
      <c r="K157" s="55"/>
      <c r="L157" s="55"/>
      <c r="M157" s="55"/>
      <c r="N157" s="55"/>
      <c r="O157" s="55"/>
      <c r="P157" s="55"/>
      <c r="Q157" s="55"/>
      <c r="R157" s="55"/>
      <c r="S157" s="55"/>
      <c r="T157" s="55"/>
      <c r="U157" s="761">
        <v>385.27199999999999</v>
      </c>
      <c r="V157" s="55"/>
      <c r="W157" s="55"/>
      <c r="X157" s="55"/>
      <c r="Y157" s="55"/>
      <c r="Z157" s="55"/>
      <c r="AA157" s="769"/>
    </row>
    <row r="158" spans="1:27">
      <c r="A158" s="906">
        <f>A156+1</f>
        <v>77</v>
      </c>
      <c r="B158" s="55" t="s">
        <v>1986</v>
      </c>
      <c r="C158" s="55" t="s">
        <v>1277</v>
      </c>
      <c r="D158" s="55"/>
      <c r="E158" s="55">
        <f>D155+D157</f>
        <v>775.27199999999993</v>
      </c>
      <c r="F158" s="55" t="s">
        <v>1988</v>
      </c>
      <c r="G158" s="55">
        <v>532220.35800000001</v>
      </c>
      <c r="H158" s="55">
        <v>3577473.0070000002</v>
      </c>
      <c r="I158" s="905"/>
      <c r="J158" s="906">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6"/>
      <c r="B159" s="55"/>
      <c r="C159" s="55"/>
      <c r="D159" s="55">
        <v>399.20600000000002</v>
      </c>
      <c r="E159" s="55"/>
      <c r="F159" s="55"/>
      <c r="G159" s="55"/>
      <c r="H159" s="55"/>
      <c r="I159" s="905"/>
      <c r="J159" s="908"/>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6">
        <f>A158+1</f>
        <v>78</v>
      </c>
      <c r="B160" s="55" t="s">
        <v>825</v>
      </c>
      <c r="C160" s="55" t="s">
        <v>62</v>
      </c>
      <c r="D160" s="55"/>
      <c r="E160" s="55"/>
      <c r="F160" s="55"/>
      <c r="G160" s="55">
        <v>532467.99300000002</v>
      </c>
      <c r="H160" s="55">
        <v>3577159.89</v>
      </c>
      <c r="I160" s="905"/>
      <c r="J160" s="906">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6"/>
      <c r="B161" s="55"/>
      <c r="C161" s="55"/>
      <c r="D161" s="55">
        <v>407.48700000000002</v>
      </c>
      <c r="E161" s="55"/>
      <c r="F161" s="55"/>
      <c r="G161" s="55"/>
      <c r="H161" s="55"/>
      <c r="I161" s="905"/>
      <c r="J161" s="908"/>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6">
        <f>A160+1</f>
        <v>79</v>
      </c>
      <c r="B162" s="55" t="s">
        <v>811</v>
      </c>
      <c r="C162" s="55" t="s">
        <v>76</v>
      </c>
      <c r="D162" s="55"/>
      <c r="E162" s="55"/>
      <c r="F162" s="55"/>
      <c r="G162" s="55">
        <v>532720.76500000001</v>
      </c>
      <c r="H162" s="55">
        <v>3576840.2779999999</v>
      </c>
      <c r="I162" s="905"/>
      <c r="J162" s="906">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6"/>
      <c r="B163" s="55"/>
      <c r="C163" s="55"/>
      <c r="D163" s="55">
        <v>403.20100000000002</v>
      </c>
      <c r="E163" s="55"/>
      <c r="F163" s="55"/>
      <c r="G163" s="55"/>
      <c r="H163" s="55"/>
      <c r="I163" s="905"/>
      <c r="J163" s="908"/>
      <c r="K163" s="55"/>
      <c r="L163" s="55"/>
      <c r="M163" s="758"/>
      <c r="N163" s="758"/>
      <c r="O163" s="758"/>
      <c r="P163" s="758"/>
      <c r="Q163" s="758"/>
      <c r="R163" s="758"/>
      <c r="S163" s="758"/>
      <c r="T163" s="758"/>
      <c r="U163" s="761">
        <v>403.2</v>
      </c>
      <c r="V163" s="55"/>
      <c r="W163" s="55"/>
      <c r="X163" s="55"/>
      <c r="Y163" s="55"/>
      <c r="Z163" s="55"/>
      <c r="AA163" s="769" t="s">
        <v>2150</v>
      </c>
    </row>
    <row r="164" spans="1:27">
      <c r="A164" s="906">
        <f>A162+1</f>
        <v>80</v>
      </c>
      <c r="B164" s="55" t="s">
        <v>1989</v>
      </c>
      <c r="C164" s="55" t="s">
        <v>1361</v>
      </c>
      <c r="D164" s="55"/>
      <c r="E164" s="55">
        <f>D159+D161+D163</f>
        <v>1209.894</v>
      </c>
      <c r="F164" s="55" t="s">
        <v>1990</v>
      </c>
      <c r="G164" s="55">
        <v>532970.87899999996</v>
      </c>
      <c r="H164" s="55">
        <v>3576524.0269999998</v>
      </c>
      <c r="I164" s="905"/>
      <c r="J164" s="906">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6"/>
      <c r="B165" s="55"/>
      <c r="C165" s="55"/>
      <c r="D165" s="55">
        <v>429.65300000000002</v>
      </c>
      <c r="E165" s="55"/>
      <c r="F165" s="55"/>
      <c r="G165" s="55"/>
      <c r="H165" s="55"/>
      <c r="I165" s="905"/>
      <c r="J165" s="908"/>
      <c r="K165" s="55"/>
      <c r="L165" s="55"/>
      <c r="M165" s="758"/>
      <c r="N165" s="758"/>
      <c r="O165" s="758"/>
      <c r="P165" s="758"/>
      <c r="Q165" s="758"/>
      <c r="R165" s="758"/>
      <c r="S165" s="758"/>
      <c r="T165" s="758"/>
      <c r="U165" s="761">
        <v>429.65300000000002</v>
      </c>
      <c r="V165" s="55"/>
      <c r="W165" s="55"/>
      <c r="X165" s="55"/>
      <c r="Y165" s="55"/>
      <c r="Z165" s="55"/>
      <c r="AA165" s="769"/>
    </row>
    <row r="166" spans="1:27">
      <c r="A166" s="906">
        <f>A164+1</f>
        <v>81</v>
      </c>
      <c r="B166" s="55" t="s">
        <v>829</v>
      </c>
      <c r="C166" s="55" t="s">
        <v>62</v>
      </c>
      <c r="D166" s="55"/>
      <c r="E166" s="55"/>
      <c r="F166" s="55"/>
      <c r="G166" s="55">
        <v>533314.18900000001</v>
      </c>
      <c r="H166" s="55">
        <v>3576265.6869999999</v>
      </c>
      <c r="I166" s="905"/>
      <c r="J166" s="906">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6"/>
      <c r="B167" s="55"/>
      <c r="C167" s="55"/>
      <c r="D167" s="55">
        <v>400.29599999999999</v>
      </c>
      <c r="E167" s="55"/>
      <c r="F167" s="55"/>
      <c r="G167" s="55"/>
      <c r="H167" s="55"/>
      <c r="I167" s="905"/>
      <c r="J167" s="908"/>
      <c r="K167" s="55"/>
      <c r="L167" s="55"/>
      <c r="M167" s="55"/>
      <c r="N167" s="55"/>
      <c r="O167" s="55"/>
      <c r="P167" s="55"/>
      <c r="Q167" s="55"/>
      <c r="R167" s="55"/>
      <c r="S167" s="55"/>
      <c r="T167" s="55"/>
      <c r="U167" s="761">
        <v>400.3</v>
      </c>
      <c r="V167" s="55"/>
      <c r="W167" s="55"/>
      <c r="X167" s="55"/>
      <c r="Y167" s="55"/>
      <c r="Z167" s="55"/>
      <c r="AA167" s="769" t="s">
        <v>2151</v>
      </c>
    </row>
    <row r="168" spans="1:27">
      <c r="A168" s="906">
        <f>A166+1</f>
        <v>82</v>
      </c>
      <c r="B168" s="55" t="s">
        <v>965</v>
      </c>
      <c r="C168" s="55" t="s">
        <v>62</v>
      </c>
      <c r="D168" s="55"/>
      <c r="E168" s="55"/>
      <c r="F168" s="55"/>
      <c r="G168" s="55">
        <v>533634.04200000002</v>
      </c>
      <c r="H168" s="55">
        <v>3576024.9980000001</v>
      </c>
      <c r="I168" s="905"/>
      <c r="J168" s="906">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6"/>
      <c r="B169" s="55"/>
      <c r="C169" s="55"/>
      <c r="D169" s="55">
        <v>414.63</v>
      </c>
      <c r="E169" s="55"/>
      <c r="F169" s="55"/>
      <c r="G169" s="55"/>
      <c r="H169" s="55"/>
      <c r="I169" s="905"/>
      <c r="J169" s="908"/>
      <c r="K169" s="55"/>
      <c r="L169" s="55"/>
      <c r="M169" s="55"/>
      <c r="N169" s="55"/>
      <c r="O169" s="55"/>
      <c r="P169" s="55"/>
      <c r="Q169" s="55"/>
      <c r="R169" s="55"/>
      <c r="S169" s="55"/>
      <c r="T169" s="55"/>
      <c r="U169" s="761">
        <v>414.63</v>
      </c>
      <c r="V169" s="55"/>
      <c r="W169" s="55"/>
      <c r="X169" s="55"/>
      <c r="Y169" s="55"/>
      <c r="Z169" s="55"/>
      <c r="AA169" s="769" t="s">
        <v>2152</v>
      </c>
    </row>
    <row r="170" spans="1:27">
      <c r="A170" s="906">
        <f>A168+1</f>
        <v>83</v>
      </c>
      <c r="B170" s="55" t="s">
        <v>830</v>
      </c>
      <c r="C170" s="55" t="s">
        <v>90</v>
      </c>
      <c r="D170" s="55"/>
      <c r="E170" s="55"/>
      <c r="F170" s="55"/>
      <c r="G170" s="55">
        <v>533965.348</v>
      </c>
      <c r="H170" s="55">
        <v>3575775.69</v>
      </c>
      <c r="I170" s="905"/>
      <c r="J170" s="906">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6"/>
      <c r="B171" s="55"/>
      <c r="C171" s="55"/>
      <c r="D171" s="55">
        <v>515.88599999999997</v>
      </c>
      <c r="E171" s="55"/>
      <c r="F171" s="55"/>
      <c r="G171" s="55"/>
      <c r="H171" s="55"/>
      <c r="I171" s="905"/>
      <c r="J171" s="908"/>
      <c r="K171" s="55"/>
      <c r="L171" s="55"/>
      <c r="M171" s="758"/>
      <c r="N171" s="758"/>
      <c r="O171" s="758"/>
      <c r="P171" s="758"/>
      <c r="Q171" s="758"/>
      <c r="R171" s="758"/>
      <c r="S171" s="758"/>
      <c r="T171" s="758"/>
      <c r="U171" s="761">
        <v>515.89</v>
      </c>
      <c r="V171" s="55"/>
      <c r="W171" s="55"/>
      <c r="X171" s="55"/>
      <c r="Y171" s="55"/>
      <c r="Z171" s="55"/>
      <c r="AA171" s="771" t="s">
        <v>2132</v>
      </c>
    </row>
    <row r="172" spans="1:27">
      <c r="A172" s="906">
        <f>A170+1</f>
        <v>84</v>
      </c>
      <c r="B172" s="55" t="s">
        <v>1991</v>
      </c>
      <c r="C172" s="55" t="s">
        <v>1992</v>
      </c>
      <c r="D172" s="55"/>
      <c r="E172" s="55">
        <f>D165+D167+D169+D171</f>
        <v>1760.4650000000001</v>
      </c>
      <c r="F172" s="55" t="s">
        <v>1993</v>
      </c>
      <c r="G172" s="55">
        <v>534377.56200000003</v>
      </c>
      <c r="H172" s="55">
        <v>3575465.5</v>
      </c>
      <c r="I172" s="905"/>
      <c r="J172" s="906">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8"/>
      <c r="B173" s="55"/>
      <c r="C173" s="55"/>
      <c r="D173" s="55">
        <v>212.44300000000001</v>
      </c>
      <c r="E173" s="55"/>
      <c r="F173" s="55"/>
      <c r="G173" s="55"/>
      <c r="H173" s="55"/>
      <c r="I173" s="905"/>
      <c r="J173" s="908"/>
      <c r="K173" s="55"/>
      <c r="L173" s="55"/>
      <c r="M173" s="55"/>
      <c r="N173" s="55"/>
      <c r="O173" s="55"/>
      <c r="P173" s="55"/>
      <c r="Q173" s="55"/>
      <c r="R173" s="55"/>
      <c r="S173" s="55"/>
      <c r="T173" s="55"/>
      <c r="U173" s="761">
        <v>212.44300000000001</v>
      </c>
      <c r="V173" s="55"/>
      <c r="W173" s="55"/>
      <c r="X173" s="55"/>
      <c r="Y173" s="55"/>
      <c r="Z173" s="55"/>
      <c r="AA173" s="772" t="s">
        <v>2153</v>
      </c>
    </row>
    <row r="174" spans="1:27">
      <c r="A174" s="906">
        <f>A172+1</f>
        <v>85</v>
      </c>
      <c r="B174" s="55" t="s">
        <v>1994</v>
      </c>
      <c r="C174" s="55" t="s">
        <v>1992</v>
      </c>
      <c r="D174" s="55"/>
      <c r="E174" s="55">
        <v>212.44300000000001</v>
      </c>
      <c r="F174" s="55" t="s">
        <v>1995</v>
      </c>
      <c r="G174" s="55">
        <v>534590</v>
      </c>
      <c r="H174" s="55">
        <v>3575464</v>
      </c>
      <c r="I174" s="905"/>
      <c r="J174" s="906">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8"/>
      <c r="B175" s="55"/>
      <c r="C175" s="55"/>
      <c r="D175" s="55">
        <v>440</v>
      </c>
      <c r="E175" s="55"/>
      <c r="F175" s="55"/>
      <c r="G175" s="55"/>
      <c r="H175" s="55"/>
      <c r="I175" s="905"/>
      <c r="J175" s="908"/>
      <c r="K175" s="55"/>
      <c r="L175" s="55"/>
      <c r="M175" s="55"/>
      <c r="N175" s="55"/>
      <c r="O175" s="55"/>
      <c r="P175" s="55"/>
      <c r="Q175" s="55"/>
      <c r="R175" s="55"/>
      <c r="S175" s="55"/>
      <c r="T175" s="55"/>
      <c r="U175" s="761">
        <v>459.99900000000002</v>
      </c>
      <c r="V175" s="55"/>
      <c r="W175" s="55"/>
      <c r="X175" s="55"/>
      <c r="Y175" s="55"/>
      <c r="Z175" s="55"/>
      <c r="AA175" s="772" t="s">
        <v>2154</v>
      </c>
    </row>
    <row r="176" spans="1:27">
      <c r="A176" s="906">
        <f>A174+1</f>
        <v>86</v>
      </c>
      <c r="B176" s="55" t="s">
        <v>932</v>
      </c>
      <c r="C176" s="55" t="s">
        <v>76</v>
      </c>
      <c r="D176" s="55"/>
      <c r="E176" s="55"/>
      <c r="F176" s="55"/>
      <c r="G176" s="55">
        <v>534970.22</v>
      </c>
      <c r="H176" s="55">
        <v>3575242.568</v>
      </c>
      <c r="I176" s="905"/>
      <c r="J176" s="906">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8"/>
      <c r="B177" s="55"/>
      <c r="C177" s="55"/>
      <c r="D177" s="55">
        <v>280</v>
      </c>
      <c r="E177" s="55"/>
      <c r="F177" s="55"/>
      <c r="G177" s="55"/>
      <c r="H177" s="55"/>
      <c r="I177" s="905"/>
      <c r="J177" s="908"/>
      <c r="K177" s="55"/>
      <c r="L177" s="55"/>
      <c r="M177" s="55"/>
      <c r="N177" s="55"/>
      <c r="O177" s="55"/>
      <c r="P177" s="55"/>
      <c r="Q177" s="55"/>
      <c r="R177" s="55"/>
      <c r="S177" s="55"/>
      <c r="T177" s="55"/>
      <c r="U177" s="761">
        <v>260</v>
      </c>
      <c r="V177" s="55"/>
      <c r="W177" s="55"/>
      <c r="X177" s="55"/>
      <c r="Y177" s="55"/>
      <c r="Z177" s="55"/>
      <c r="AA177" s="772"/>
    </row>
    <row r="178" spans="1:27">
      <c r="A178" s="906">
        <f>A176+1</f>
        <v>87</v>
      </c>
      <c r="B178" s="55" t="s">
        <v>920</v>
      </c>
      <c r="C178" s="55" t="s">
        <v>76</v>
      </c>
      <c r="D178" s="55"/>
      <c r="E178" s="55"/>
      <c r="F178" s="55"/>
      <c r="G178" s="55">
        <v>535212.179</v>
      </c>
      <c r="H178" s="55">
        <v>3575101.656</v>
      </c>
      <c r="I178" s="905"/>
      <c r="J178" s="906">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8"/>
      <c r="B179" s="55"/>
      <c r="C179" s="55"/>
      <c r="D179" s="55">
        <v>330</v>
      </c>
      <c r="E179" s="55"/>
      <c r="F179" s="55"/>
      <c r="G179" s="55"/>
      <c r="H179" s="55"/>
      <c r="I179" s="905"/>
      <c r="J179" s="908"/>
      <c r="K179" s="55"/>
      <c r="L179" s="55"/>
      <c r="M179" s="55"/>
      <c r="N179" s="55"/>
      <c r="O179" s="55"/>
      <c r="P179" s="55"/>
      <c r="Q179" s="55"/>
      <c r="R179" s="55"/>
      <c r="S179" s="55"/>
      <c r="T179" s="55"/>
      <c r="U179" s="761">
        <v>330</v>
      </c>
      <c r="V179" s="55"/>
      <c r="W179" s="55"/>
      <c r="X179" s="55"/>
      <c r="Y179" s="55"/>
      <c r="Z179" s="55"/>
      <c r="AA179" s="772" t="s">
        <v>2155</v>
      </c>
    </row>
    <row r="180" spans="1:27">
      <c r="A180" s="906">
        <f>A178+1</f>
        <v>88</v>
      </c>
      <c r="B180" s="55" t="s">
        <v>926</v>
      </c>
      <c r="C180" s="55" t="s">
        <v>76</v>
      </c>
      <c r="D180" s="55"/>
      <c r="E180" s="55"/>
      <c r="F180" s="55"/>
      <c r="G180" s="55">
        <v>535497.34400000004</v>
      </c>
      <c r="H180" s="55">
        <v>3574935.5819999999</v>
      </c>
      <c r="I180" s="905"/>
      <c r="J180" s="906">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8"/>
      <c r="B181" s="55"/>
      <c r="C181" s="55"/>
      <c r="D181" s="55">
        <v>311.04000000000002</v>
      </c>
      <c r="E181" s="55"/>
      <c r="F181" s="55"/>
      <c r="G181" s="55"/>
      <c r="H181" s="55"/>
      <c r="I181" s="905"/>
      <c r="J181" s="908"/>
      <c r="K181" s="55"/>
      <c r="L181" s="55"/>
      <c r="M181" s="55"/>
      <c r="N181" s="55"/>
      <c r="O181" s="55"/>
      <c r="P181" s="55"/>
      <c r="Q181" s="55"/>
      <c r="R181" s="55"/>
      <c r="S181" s="55"/>
      <c r="T181" s="55"/>
      <c r="U181" s="761">
        <v>311.04000000000002</v>
      </c>
      <c r="V181" s="55"/>
      <c r="W181" s="55"/>
      <c r="X181" s="55"/>
      <c r="Y181" s="55"/>
      <c r="Z181" s="55"/>
      <c r="AA181" s="772" t="s">
        <v>2156</v>
      </c>
    </row>
    <row r="182" spans="1:27">
      <c r="A182" s="906">
        <f>A180+1</f>
        <v>89</v>
      </c>
      <c r="B182" s="55" t="s">
        <v>1996</v>
      </c>
      <c r="C182" s="55" t="s">
        <v>1319</v>
      </c>
      <c r="D182" s="55"/>
      <c r="E182" s="55">
        <f>D175+D177+D179+D181</f>
        <v>1361.04</v>
      </c>
      <c r="F182" s="55" t="s">
        <v>1997</v>
      </c>
      <c r="G182" s="55">
        <v>535766.125</v>
      </c>
      <c r="H182" s="55">
        <v>3574779.0490000001</v>
      </c>
      <c r="I182" s="905"/>
      <c r="J182" s="906">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8"/>
      <c r="B183" s="55"/>
      <c r="C183" s="55"/>
      <c r="D183" s="55">
        <v>389.99900000000002</v>
      </c>
      <c r="E183" s="55"/>
      <c r="F183" s="55"/>
      <c r="G183" s="55"/>
      <c r="H183" s="55"/>
      <c r="I183" s="905"/>
      <c r="J183" s="908"/>
      <c r="K183" s="55"/>
      <c r="L183" s="55"/>
      <c r="M183" s="55"/>
      <c r="N183" s="55"/>
      <c r="O183" s="55"/>
      <c r="P183" s="55"/>
      <c r="Q183" s="55"/>
      <c r="R183" s="55"/>
      <c r="S183" s="55"/>
      <c r="T183" s="55"/>
      <c r="U183" s="761">
        <v>408.94799999999998</v>
      </c>
      <c r="V183" s="55"/>
      <c r="W183" s="55"/>
      <c r="X183" s="55"/>
      <c r="Y183" s="55"/>
      <c r="Z183" s="55"/>
      <c r="AA183" s="772" t="s">
        <v>2157</v>
      </c>
    </row>
    <row r="184" spans="1:27">
      <c r="A184" s="906">
        <f>A182+1</f>
        <v>90</v>
      </c>
      <c r="B184" s="55" t="s">
        <v>1015</v>
      </c>
      <c r="C184" s="55" t="s">
        <v>62</v>
      </c>
      <c r="D184" s="55"/>
      <c r="E184" s="55"/>
      <c r="F184" s="55"/>
      <c r="G184" s="55">
        <v>535923.054</v>
      </c>
      <c r="H184" s="55">
        <v>3574422.0159999998</v>
      </c>
      <c r="I184" s="905"/>
      <c r="J184" s="906">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8"/>
      <c r="B185" s="55"/>
      <c r="C185" s="55"/>
      <c r="D185" s="55">
        <v>385</v>
      </c>
      <c r="E185" s="55"/>
      <c r="F185" s="55"/>
      <c r="G185" s="55"/>
      <c r="H185" s="55"/>
      <c r="I185" s="905"/>
      <c r="J185" s="908"/>
      <c r="K185" s="55"/>
      <c r="L185" s="55"/>
      <c r="M185" s="55"/>
      <c r="N185" s="55"/>
      <c r="O185" s="55"/>
      <c r="P185" s="55"/>
      <c r="Q185" s="55"/>
      <c r="R185" s="55"/>
      <c r="S185" s="55"/>
      <c r="T185" s="55"/>
      <c r="U185" s="761">
        <v>371.34500000000003</v>
      </c>
      <c r="V185" s="55"/>
      <c r="W185" s="55"/>
      <c r="X185" s="55"/>
      <c r="Y185" s="55"/>
      <c r="Z185" s="55"/>
      <c r="AA185" s="772"/>
    </row>
    <row r="186" spans="1:27">
      <c r="A186" s="906">
        <f>A184+1</f>
        <v>91</v>
      </c>
      <c r="B186" s="55" t="s">
        <v>1016</v>
      </c>
      <c r="C186" s="55" t="s">
        <v>76</v>
      </c>
      <c r="D186" s="55"/>
      <c r="E186" s="55"/>
      <c r="F186" s="55"/>
      <c r="G186" s="55">
        <v>536077.97199999995</v>
      </c>
      <c r="H186" s="55">
        <v>3574069.5589999999</v>
      </c>
      <c r="I186" s="905"/>
      <c r="J186" s="906">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8"/>
      <c r="B187" s="55"/>
      <c r="C187" s="55"/>
      <c r="D187" s="55">
        <v>385</v>
      </c>
      <c r="E187" s="55"/>
      <c r="F187" s="55"/>
      <c r="G187" s="55"/>
      <c r="H187" s="55"/>
      <c r="I187" s="905"/>
      <c r="J187" s="908"/>
      <c r="K187" s="55"/>
      <c r="L187" s="55"/>
      <c r="M187" s="55"/>
      <c r="N187" s="55"/>
      <c r="O187" s="55"/>
      <c r="P187" s="55"/>
      <c r="Q187" s="55"/>
      <c r="R187" s="55"/>
      <c r="S187" s="55"/>
      <c r="T187" s="55"/>
      <c r="U187" s="761">
        <v>364.11399999999998</v>
      </c>
      <c r="V187" s="55"/>
      <c r="W187" s="55"/>
      <c r="X187" s="55"/>
      <c r="Y187" s="55"/>
      <c r="Z187" s="55"/>
      <c r="AA187" s="772" t="s">
        <v>2158</v>
      </c>
    </row>
    <row r="188" spans="1:27">
      <c r="A188" s="906">
        <f>A186+1</f>
        <v>92</v>
      </c>
      <c r="B188" s="55" t="s">
        <v>1017</v>
      </c>
      <c r="C188" s="55" t="s">
        <v>62</v>
      </c>
      <c r="D188" s="55"/>
      <c r="E188" s="55"/>
      <c r="F188" s="55"/>
      <c r="G188" s="55">
        <v>536232.88899999997</v>
      </c>
      <c r="H188" s="55">
        <v>3573717.1030000001</v>
      </c>
      <c r="I188" s="905"/>
      <c r="J188" s="906">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8"/>
      <c r="B189" s="55"/>
      <c r="C189" s="55"/>
      <c r="D189" s="55">
        <v>400</v>
      </c>
      <c r="E189" s="55"/>
      <c r="F189" s="55"/>
      <c r="G189" s="55"/>
      <c r="H189" s="55"/>
      <c r="I189" s="905"/>
      <c r="J189" s="908"/>
      <c r="K189" s="55"/>
      <c r="L189" s="55"/>
      <c r="M189" s="55"/>
      <c r="N189" s="55"/>
      <c r="O189" s="55"/>
      <c r="P189" s="55"/>
      <c r="Q189" s="55"/>
      <c r="R189" s="55"/>
      <c r="S189" s="55"/>
      <c r="T189" s="55"/>
      <c r="U189" s="761">
        <v>419.36</v>
      </c>
      <c r="V189" s="55"/>
      <c r="W189" s="55"/>
      <c r="X189" s="55"/>
      <c r="Y189" s="55"/>
      <c r="Z189" s="55"/>
      <c r="AA189" s="772" t="s">
        <v>2159</v>
      </c>
    </row>
    <row r="190" spans="1:27">
      <c r="A190" s="906">
        <f>A188+1</f>
        <v>93</v>
      </c>
      <c r="B190" s="55" t="s">
        <v>1018</v>
      </c>
      <c r="C190" s="55" t="s">
        <v>76</v>
      </c>
      <c r="D190" s="55"/>
      <c r="E190" s="55"/>
      <c r="F190" s="55"/>
      <c r="G190" s="55">
        <v>536393.84299999999</v>
      </c>
      <c r="H190" s="55">
        <v>3573350.9139999999</v>
      </c>
      <c r="I190" s="905"/>
      <c r="J190" s="906">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8"/>
      <c r="B191" s="55"/>
      <c r="C191" s="55"/>
      <c r="D191" s="55">
        <v>357.48</v>
      </c>
      <c r="E191" s="55"/>
      <c r="F191" s="55"/>
      <c r="G191" s="55"/>
      <c r="H191" s="55"/>
      <c r="I191" s="905"/>
      <c r="J191" s="908"/>
      <c r="K191" s="55"/>
      <c r="L191" s="55"/>
      <c r="M191" s="55"/>
      <c r="N191" s="55"/>
      <c r="O191" s="55"/>
      <c r="P191" s="55"/>
      <c r="Q191" s="55"/>
      <c r="R191" s="55"/>
      <c r="S191" s="55"/>
      <c r="T191" s="55"/>
      <c r="U191" s="761">
        <v>348.12900000000002</v>
      </c>
      <c r="V191" s="55"/>
      <c r="W191" s="55"/>
      <c r="X191" s="55"/>
      <c r="Y191" s="55"/>
      <c r="Z191" s="55"/>
      <c r="AA191" s="772" t="s">
        <v>2160</v>
      </c>
    </row>
    <row r="192" spans="1:27">
      <c r="A192" s="906">
        <f>A190+1</f>
        <v>94</v>
      </c>
      <c r="B192" s="55" t="s">
        <v>1019</v>
      </c>
      <c r="C192" s="55" t="s">
        <v>76</v>
      </c>
      <c r="D192" s="55"/>
      <c r="E192" s="55"/>
      <c r="F192" s="55"/>
      <c r="G192" s="55">
        <v>536537.68700000003</v>
      </c>
      <c r="H192" s="55">
        <v>3573023.6519999998</v>
      </c>
      <c r="I192" s="905"/>
      <c r="J192" s="906">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8"/>
      <c r="B193" s="55"/>
      <c r="C193" s="55"/>
      <c r="D193" s="55">
        <v>367.82499999999999</v>
      </c>
      <c r="E193" s="55"/>
      <c r="F193" s="55"/>
      <c r="G193" s="55"/>
      <c r="H193" s="55"/>
      <c r="I193" s="905"/>
      <c r="J193" s="908"/>
      <c r="K193" s="55"/>
      <c r="L193" s="55"/>
      <c r="M193" s="55"/>
      <c r="N193" s="55"/>
      <c r="O193" s="55"/>
      <c r="P193" s="55"/>
      <c r="Q193" s="55"/>
      <c r="R193" s="55"/>
      <c r="S193" s="55"/>
      <c r="T193" s="55"/>
      <c r="U193" s="761">
        <v>367.84800000000001</v>
      </c>
      <c r="V193" s="55"/>
      <c r="W193" s="55"/>
      <c r="X193" s="55"/>
      <c r="Y193" s="55"/>
      <c r="Z193" s="55"/>
      <c r="AA193" s="772" t="s">
        <v>2161</v>
      </c>
    </row>
    <row r="194" spans="1:27">
      <c r="A194" s="906">
        <f>A192+1</f>
        <v>95</v>
      </c>
      <c r="B194" s="55" t="s">
        <v>1020</v>
      </c>
      <c r="C194" s="55" t="s">
        <v>76</v>
      </c>
      <c r="D194" s="55"/>
      <c r="E194" s="55"/>
      <c r="F194" s="55"/>
      <c r="G194" s="55">
        <v>536685.69299999997</v>
      </c>
      <c r="H194" s="55">
        <v>3572686.9190000002</v>
      </c>
      <c r="I194" s="905"/>
      <c r="J194" s="906">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8"/>
      <c r="B195" s="55"/>
      <c r="C195" s="55"/>
      <c r="D195" s="55">
        <v>387.17099999999999</v>
      </c>
      <c r="E195" s="55"/>
      <c r="F195" s="55"/>
      <c r="G195" s="55"/>
      <c r="H195" s="55"/>
      <c r="I195" s="905"/>
      <c r="J195" s="908"/>
      <c r="K195" s="55"/>
      <c r="L195" s="55"/>
      <c r="M195" s="55"/>
      <c r="N195" s="55"/>
      <c r="O195" s="55"/>
      <c r="P195" s="55"/>
      <c r="Q195" s="55"/>
      <c r="R195" s="55"/>
      <c r="S195" s="55"/>
      <c r="T195" s="55"/>
      <c r="U195" s="761">
        <v>396.726</v>
      </c>
      <c r="V195" s="55"/>
      <c r="W195" s="55"/>
      <c r="X195" s="55"/>
      <c r="Y195" s="55"/>
      <c r="Z195" s="55"/>
      <c r="AA195" s="772" t="s">
        <v>2162</v>
      </c>
    </row>
    <row r="196" spans="1:27">
      <c r="A196" s="906">
        <f>A194+1</f>
        <v>96</v>
      </c>
      <c r="B196" s="55" t="s">
        <v>2002</v>
      </c>
      <c r="C196" s="55" t="s">
        <v>76</v>
      </c>
      <c r="D196" s="55"/>
      <c r="E196" s="55"/>
      <c r="F196" s="55"/>
      <c r="G196" s="55">
        <v>536841.48400000005</v>
      </c>
      <c r="H196" s="55">
        <v>3572332.4750000001</v>
      </c>
      <c r="I196" s="905"/>
      <c r="J196" s="906">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8"/>
      <c r="B197" s="55"/>
      <c r="C197" s="55"/>
      <c r="D197" s="55">
        <v>375.54300000000001</v>
      </c>
      <c r="E197" s="55"/>
      <c r="F197" s="55"/>
      <c r="G197" s="55"/>
      <c r="H197" s="55"/>
      <c r="I197" s="905"/>
      <c r="J197" s="908"/>
      <c r="K197" s="55"/>
      <c r="L197" s="55"/>
      <c r="M197" s="55"/>
      <c r="N197" s="55"/>
      <c r="O197" s="55"/>
      <c r="P197" s="55"/>
      <c r="Q197" s="55"/>
      <c r="R197" s="55"/>
      <c r="S197" s="55"/>
      <c r="T197" s="55"/>
      <c r="U197" s="761">
        <v>375.11099999999999</v>
      </c>
      <c r="V197" s="55"/>
      <c r="W197" s="55"/>
      <c r="X197" s="55"/>
      <c r="Y197" s="55"/>
      <c r="Z197" s="55"/>
      <c r="AA197" s="772" t="s">
        <v>2163</v>
      </c>
    </row>
    <row r="198" spans="1:27">
      <c r="A198" s="906">
        <f>A196+1</f>
        <v>97</v>
      </c>
      <c r="B198" s="55" t="s">
        <v>2003</v>
      </c>
      <c r="C198" s="55" t="s">
        <v>76</v>
      </c>
      <c r="D198" s="55"/>
      <c r="E198" s="55"/>
      <c r="F198" s="55"/>
      <c r="G198" s="55">
        <v>536992.59600000002</v>
      </c>
      <c r="H198" s="55">
        <v>3571988.676</v>
      </c>
      <c r="I198" s="905"/>
      <c r="J198" s="906">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8"/>
      <c r="B199" s="55"/>
      <c r="C199" s="55"/>
      <c r="D199" s="55">
        <v>335.38499999999999</v>
      </c>
      <c r="E199" s="55"/>
      <c r="F199" s="55"/>
      <c r="G199" s="55"/>
      <c r="H199" s="55"/>
      <c r="I199" s="905"/>
      <c r="J199" s="908"/>
      <c r="K199" s="55"/>
      <c r="L199" s="55"/>
      <c r="M199" s="55"/>
      <c r="N199" s="55"/>
      <c r="O199" s="55"/>
      <c r="P199" s="55"/>
      <c r="Q199" s="55"/>
      <c r="R199" s="55"/>
      <c r="S199" s="55"/>
      <c r="T199" s="55"/>
      <c r="U199" s="761">
        <v>335.00299999999999</v>
      </c>
      <c r="V199" s="55"/>
      <c r="W199" s="55"/>
      <c r="X199" s="55"/>
      <c r="Y199" s="55"/>
      <c r="Z199" s="55"/>
      <c r="AA199" s="772" t="s">
        <v>2164</v>
      </c>
    </row>
    <row r="200" spans="1:27">
      <c r="A200" s="906">
        <f>A198+1</f>
        <v>98</v>
      </c>
      <c r="B200" s="55" t="s">
        <v>1998</v>
      </c>
      <c r="C200" s="55" t="s">
        <v>1269</v>
      </c>
      <c r="D200" s="55"/>
      <c r="E200" s="55">
        <f>D183+D185+D187+D189+D191+D193+D195+D197+D199</f>
        <v>3383.4030000000002</v>
      </c>
      <c r="F200" s="55" t="s">
        <v>2004</v>
      </c>
      <c r="G200" s="55">
        <v>537127.55000000005</v>
      </c>
      <c r="H200" s="55">
        <v>3571681.64</v>
      </c>
      <c r="I200" s="905"/>
      <c r="J200" s="906">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8"/>
      <c r="B201" s="55"/>
      <c r="C201" s="55"/>
      <c r="D201" s="55">
        <v>360</v>
      </c>
      <c r="E201" s="55"/>
      <c r="F201" s="55"/>
      <c r="G201" s="55"/>
      <c r="H201" s="55"/>
      <c r="I201" s="905"/>
      <c r="J201" s="908"/>
      <c r="K201" s="55"/>
      <c r="L201" s="55"/>
      <c r="M201" s="55"/>
      <c r="N201" s="55"/>
      <c r="O201" s="55"/>
      <c r="P201" s="55"/>
      <c r="Q201" s="55"/>
      <c r="R201" s="55"/>
      <c r="S201" s="55"/>
      <c r="T201" s="55"/>
      <c r="U201" s="761">
        <v>360</v>
      </c>
      <c r="V201" s="55"/>
      <c r="W201" s="55"/>
      <c r="X201" s="55"/>
      <c r="Y201" s="55"/>
      <c r="Z201" s="55"/>
      <c r="AA201" s="772" t="s">
        <v>2165</v>
      </c>
    </row>
    <row r="202" spans="1:27">
      <c r="A202" s="906">
        <f>A200+1</f>
        <v>99</v>
      </c>
      <c r="B202" s="55" t="s">
        <v>765</v>
      </c>
      <c r="C202" s="55" t="s">
        <v>62</v>
      </c>
      <c r="D202" s="55"/>
      <c r="E202" s="55"/>
      <c r="F202" s="55"/>
      <c r="G202" s="55">
        <v>537216.12800000003</v>
      </c>
      <c r="H202" s="55">
        <v>3571332.7080000001</v>
      </c>
      <c r="I202" s="905"/>
      <c r="J202" s="906">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8"/>
      <c r="B203" s="55"/>
      <c r="C203" s="55"/>
      <c r="D203" s="55">
        <v>360</v>
      </c>
      <c r="E203" s="55"/>
      <c r="F203" s="55"/>
      <c r="G203" s="55"/>
      <c r="H203" s="55"/>
      <c r="I203" s="905"/>
      <c r="J203" s="908"/>
      <c r="K203" s="55"/>
      <c r="L203" s="55"/>
      <c r="M203" s="55"/>
      <c r="N203" s="55"/>
      <c r="O203" s="55"/>
      <c r="P203" s="55"/>
      <c r="Q203" s="55"/>
      <c r="R203" s="55"/>
      <c r="S203" s="55"/>
      <c r="T203" s="55"/>
      <c r="U203" s="761">
        <v>360</v>
      </c>
      <c r="V203" s="55"/>
      <c r="W203" s="55"/>
      <c r="X203" s="55"/>
      <c r="Y203" s="55"/>
      <c r="Z203" s="55"/>
      <c r="AA203" s="772" t="s">
        <v>2166</v>
      </c>
    </row>
    <row r="204" spans="1:27">
      <c r="A204" s="906">
        <f>A202+1</f>
        <v>100</v>
      </c>
      <c r="B204" s="55" t="s">
        <v>801</v>
      </c>
      <c r="C204" s="55" t="s">
        <v>76</v>
      </c>
      <c r="D204" s="55"/>
      <c r="E204" s="55"/>
      <c r="F204" s="55"/>
      <c r="G204" s="55">
        <v>537304.70600000001</v>
      </c>
      <c r="H204" s="55">
        <v>3570983.7749999999</v>
      </c>
      <c r="I204" s="905"/>
      <c r="J204" s="906">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8"/>
      <c r="B205" s="55"/>
      <c r="C205" s="55"/>
      <c r="D205" s="55">
        <v>359.49599999999998</v>
      </c>
      <c r="E205" s="55"/>
      <c r="F205" s="55"/>
      <c r="G205" s="55"/>
      <c r="H205" s="55"/>
      <c r="I205" s="905"/>
      <c r="J205" s="908"/>
      <c r="K205" s="55"/>
      <c r="L205" s="55"/>
      <c r="M205" s="55"/>
      <c r="N205" s="55"/>
      <c r="O205" s="55"/>
      <c r="P205" s="55"/>
      <c r="Q205" s="55"/>
      <c r="R205" s="55"/>
      <c r="S205" s="55"/>
      <c r="T205" s="55"/>
      <c r="U205" s="761">
        <v>359.49599999999998</v>
      </c>
      <c r="V205" s="55"/>
      <c r="W205" s="55"/>
      <c r="X205" s="55"/>
      <c r="Y205" s="55"/>
      <c r="Z205" s="55"/>
      <c r="AA205" s="772" t="s">
        <v>2126</v>
      </c>
    </row>
    <row r="206" spans="1:27">
      <c r="A206" s="906">
        <f>A204+1</f>
        <v>101</v>
      </c>
      <c r="B206" s="55" t="s">
        <v>2009</v>
      </c>
      <c r="C206" s="55" t="s">
        <v>1269</v>
      </c>
      <c r="D206" s="55"/>
      <c r="E206" s="55">
        <f>D201+D203+D205</f>
        <v>1079.4960000000001</v>
      </c>
      <c r="F206" s="55" t="s">
        <v>2010</v>
      </c>
      <c r="G206" s="55">
        <v>537393.16</v>
      </c>
      <c r="H206" s="55">
        <v>3570635.3309999998</v>
      </c>
      <c r="I206" s="905"/>
      <c r="J206" s="906">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8"/>
      <c r="B207" s="55"/>
      <c r="C207" s="55"/>
      <c r="D207" s="55">
        <v>350.73899999999998</v>
      </c>
      <c r="E207" s="55"/>
      <c r="F207" s="55"/>
      <c r="G207" s="55"/>
      <c r="H207" s="55"/>
      <c r="I207" s="905"/>
      <c r="J207" s="908"/>
      <c r="K207" s="55"/>
      <c r="L207" s="55"/>
      <c r="M207" s="55"/>
      <c r="N207" s="55"/>
      <c r="O207" s="55"/>
      <c r="P207" s="55"/>
      <c r="Q207" s="55"/>
      <c r="R207" s="55"/>
      <c r="S207" s="55"/>
      <c r="T207" s="55"/>
      <c r="U207" s="761">
        <v>350.73899999999998</v>
      </c>
      <c r="V207" s="55"/>
      <c r="W207" s="55"/>
      <c r="X207" s="55"/>
      <c r="Y207" s="55"/>
      <c r="Z207" s="55"/>
      <c r="AA207" s="772" t="s">
        <v>2167</v>
      </c>
    </row>
    <row r="208" spans="1:27">
      <c r="A208" s="906">
        <f>A206+1</f>
        <v>102</v>
      </c>
      <c r="B208" s="55" t="s">
        <v>502</v>
      </c>
      <c r="C208" s="55" t="s">
        <v>76</v>
      </c>
      <c r="D208" s="55"/>
      <c r="E208" s="55"/>
      <c r="F208" s="55"/>
      <c r="G208" s="55">
        <v>537424.61499999999</v>
      </c>
      <c r="H208" s="55">
        <v>3570286.0049999999</v>
      </c>
      <c r="I208" s="905"/>
      <c r="J208" s="906">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8"/>
      <c r="B209" s="55"/>
      <c r="C209" s="55"/>
      <c r="D209" s="55">
        <v>337.89100000000002</v>
      </c>
      <c r="E209" s="55"/>
      <c r="F209" s="55"/>
      <c r="G209" s="55"/>
      <c r="H209" s="55"/>
      <c r="I209" s="905"/>
      <c r="J209" s="908"/>
      <c r="K209" s="55"/>
      <c r="L209" s="55"/>
      <c r="M209" s="55"/>
      <c r="N209" s="55"/>
      <c r="O209" s="55"/>
      <c r="P209" s="55"/>
      <c r="Q209" s="55"/>
      <c r="R209" s="55"/>
      <c r="S209" s="55"/>
      <c r="T209" s="55"/>
      <c r="U209" s="761">
        <v>337.89100000000002</v>
      </c>
      <c r="V209" s="55"/>
      <c r="W209" s="55"/>
      <c r="X209" s="55"/>
      <c r="Y209" s="55"/>
      <c r="Z209" s="55"/>
      <c r="AA209" s="772" t="s">
        <v>2168</v>
      </c>
    </row>
    <row r="210" spans="1:27">
      <c r="A210" s="906">
        <f>A208+1</f>
        <v>103</v>
      </c>
      <c r="B210" s="55" t="s">
        <v>503</v>
      </c>
      <c r="C210" s="55" t="s">
        <v>76</v>
      </c>
      <c r="D210" s="55"/>
      <c r="E210" s="55"/>
      <c r="F210" s="55"/>
      <c r="G210" s="55">
        <v>537454.91799999995</v>
      </c>
      <c r="H210" s="55">
        <v>3569949.4759999998</v>
      </c>
      <c r="I210" s="905"/>
      <c r="J210" s="906">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8"/>
      <c r="B211" s="55"/>
      <c r="C211" s="55"/>
      <c r="D211" s="55">
        <v>331.00099999999998</v>
      </c>
      <c r="E211" s="55"/>
      <c r="F211" s="55"/>
      <c r="G211" s="55"/>
      <c r="H211" s="55"/>
      <c r="I211" s="905"/>
      <c r="J211" s="908"/>
      <c r="K211" s="55"/>
      <c r="L211" s="55"/>
      <c r="M211" s="55"/>
      <c r="N211" s="55"/>
      <c r="O211" s="55"/>
      <c r="P211" s="55"/>
      <c r="Q211" s="55"/>
      <c r="R211" s="55"/>
      <c r="S211" s="55"/>
      <c r="T211" s="55"/>
      <c r="U211" s="761">
        <v>331.00099999999998</v>
      </c>
      <c r="V211" s="55"/>
      <c r="W211" s="55"/>
      <c r="X211" s="55"/>
      <c r="Y211" s="55"/>
      <c r="Z211" s="55"/>
      <c r="AA211" s="772" t="s">
        <v>2169</v>
      </c>
    </row>
    <row r="212" spans="1:27">
      <c r="A212" s="906">
        <f>A210+1</f>
        <v>104</v>
      </c>
      <c r="B212" s="55" t="s">
        <v>555</v>
      </c>
      <c r="C212" s="55" t="s">
        <v>76</v>
      </c>
      <c r="D212" s="55"/>
      <c r="E212" s="55"/>
      <c r="F212" s="55"/>
      <c r="G212" s="55">
        <v>537484.60400000005</v>
      </c>
      <c r="H212" s="55">
        <v>3569619.8089999999</v>
      </c>
      <c r="I212" s="905"/>
      <c r="J212" s="906">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8"/>
      <c r="B213" s="55"/>
      <c r="C213" s="55"/>
      <c r="D213" s="55">
        <v>370.36900000000003</v>
      </c>
      <c r="E213" s="55"/>
      <c r="F213" s="55"/>
      <c r="G213" s="55"/>
      <c r="H213" s="55"/>
      <c r="I213" s="905"/>
      <c r="J213" s="908"/>
      <c r="K213" s="55"/>
      <c r="L213" s="55"/>
      <c r="M213" s="55"/>
      <c r="N213" s="55"/>
      <c r="O213" s="55"/>
      <c r="P213" s="55"/>
      <c r="Q213" s="55"/>
      <c r="R213" s="55"/>
      <c r="S213" s="55"/>
      <c r="T213" s="55"/>
      <c r="U213" s="761">
        <v>360.36900000000003</v>
      </c>
      <c r="V213" s="55"/>
      <c r="W213" s="55"/>
      <c r="X213" s="55"/>
      <c r="Y213" s="55"/>
      <c r="Z213" s="55"/>
      <c r="AA213" s="773" t="s">
        <v>2170</v>
      </c>
    </row>
    <row r="214" spans="1:27">
      <c r="A214" s="906">
        <f>A212+1</f>
        <v>105</v>
      </c>
      <c r="B214" s="55" t="s">
        <v>521</v>
      </c>
      <c r="C214" s="55" t="s">
        <v>76</v>
      </c>
      <c r="D214" s="55"/>
      <c r="E214" s="55"/>
      <c r="F214" s="55"/>
      <c r="G214" s="55">
        <v>537517.81999999995</v>
      </c>
      <c r="H214" s="55">
        <v>3569250.932</v>
      </c>
      <c r="I214" s="905"/>
      <c r="J214" s="906">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8"/>
      <c r="B215" s="55"/>
      <c r="C215" s="55"/>
      <c r="D215" s="55">
        <v>415</v>
      </c>
      <c r="E215" s="55"/>
      <c r="F215" s="55"/>
      <c r="G215" s="55"/>
      <c r="H215" s="55"/>
      <c r="I215" s="905"/>
      <c r="J215" s="908"/>
      <c r="K215" s="55"/>
      <c r="L215" s="55"/>
      <c r="M215" s="55"/>
      <c r="N215" s="55"/>
      <c r="O215" s="55"/>
      <c r="P215" s="55"/>
      <c r="Q215" s="55"/>
      <c r="R215" s="55"/>
      <c r="S215" s="55"/>
      <c r="T215" s="55"/>
      <c r="U215" s="761">
        <v>425</v>
      </c>
      <c r="V215" s="55"/>
      <c r="W215" s="55"/>
      <c r="X215" s="55"/>
      <c r="Y215" s="55"/>
      <c r="Z215" s="55"/>
      <c r="AA215" s="772" t="s">
        <v>2171</v>
      </c>
    </row>
    <row r="216" spans="1:27">
      <c r="A216" s="906">
        <f>A214+1</f>
        <v>106</v>
      </c>
      <c r="B216" s="55" t="s">
        <v>534</v>
      </c>
      <c r="C216" s="55" t="s">
        <v>53</v>
      </c>
      <c r="D216" s="55"/>
      <c r="E216" s="55"/>
      <c r="F216" s="55"/>
      <c r="G216" s="55">
        <v>537555.03899999999</v>
      </c>
      <c r="H216" s="55">
        <v>3568837.605</v>
      </c>
      <c r="I216" s="905"/>
      <c r="J216" s="906">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8"/>
      <c r="B217" s="55"/>
      <c r="C217" s="55"/>
      <c r="D217" s="55">
        <v>411.44799999999998</v>
      </c>
      <c r="E217" s="55"/>
      <c r="F217" s="55"/>
      <c r="G217" s="55"/>
      <c r="H217" s="55"/>
      <c r="I217" s="905"/>
      <c r="J217" s="908"/>
      <c r="K217" s="55"/>
      <c r="L217" s="55"/>
      <c r="M217" s="55"/>
      <c r="N217" s="55"/>
      <c r="O217" s="55"/>
      <c r="P217" s="55"/>
      <c r="Q217" s="55"/>
      <c r="R217" s="55"/>
      <c r="S217" s="55"/>
      <c r="T217" s="55"/>
      <c r="U217" s="761">
        <v>411.44799999999998</v>
      </c>
      <c r="V217" s="55"/>
      <c r="W217" s="55"/>
      <c r="X217" s="55"/>
      <c r="Y217" s="55"/>
      <c r="Z217" s="55"/>
      <c r="AA217" s="772"/>
    </row>
    <row r="218" spans="1:27">
      <c r="A218" s="906">
        <f>A216+1</f>
        <v>107</v>
      </c>
      <c r="B218" s="55" t="s">
        <v>2005</v>
      </c>
      <c r="C218" s="55" t="s">
        <v>1269</v>
      </c>
      <c r="D218" s="55"/>
      <c r="E218" s="55">
        <f>D207+D209+D211+D213+D215+D217</f>
        <v>2216.4479999999999</v>
      </c>
      <c r="F218" s="55" t="s">
        <v>2014</v>
      </c>
      <c r="G218" s="55">
        <v>537591.93900000001</v>
      </c>
      <c r="H218" s="55">
        <v>3568427.8149999999</v>
      </c>
      <c r="I218" s="905"/>
      <c r="J218" s="906">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8"/>
      <c r="B219" s="55"/>
      <c r="C219" s="55"/>
      <c r="D219" s="55">
        <v>288.42599999999999</v>
      </c>
      <c r="E219" s="55"/>
      <c r="F219" s="55"/>
      <c r="G219" s="55"/>
      <c r="H219" s="55"/>
      <c r="I219" s="905"/>
      <c r="J219" s="908"/>
      <c r="K219" s="55"/>
      <c r="L219" s="55"/>
      <c r="M219" s="55"/>
      <c r="N219" s="55"/>
      <c r="O219" s="55"/>
      <c r="P219" s="55"/>
      <c r="Q219" s="55"/>
      <c r="R219" s="55"/>
      <c r="S219" s="55"/>
      <c r="T219" s="55"/>
      <c r="U219" s="761">
        <v>298</v>
      </c>
      <c r="V219" s="55"/>
      <c r="W219" s="55"/>
      <c r="X219" s="55"/>
      <c r="Y219" s="55"/>
      <c r="Z219" s="55"/>
      <c r="AA219" s="772" t="s">
        <v>2172</v>
      </c>
    </row>
    <row r="220" spans="1:27">
      <c r="A220" s="906">
        <f>A218+1</f>
        <v>108</v>
      </c>
      <c r="B220" s="55" t="s">
        <v>564</v>
      </c>
      <c r="C220" s="55" t="s">
        <v>76</v>
      </c>
      <c r="D220" s="55"/>
      <c r="E220" s="55"/>
      <c r="F220" s="55"/>
      <c r="G220" s="55">
        <v>537545.92200000002</v>
      </c>
      <c r="H220" s="55">
        <v>3568143.0830000001</v>
      </c>
      <c r="I220" s="905"/>
      <c r="J220" s="906">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8"/>
      <c r="B221" s="55"/>
      <c r="C221" s="55"/>
      <c r="D221" s="55">
        <v>378.89600000000002</v>
      </c>
      <c r="E221" s="55"/>
      <c r="F221" s="55"/>
      <c r="G221" s="55"/>
      <c r="H221" s="55"/>
      <c r="I221" s="905"/>
      <c r="J221" s="908"/>
      <c r="K221" s="55"/>
      <c r="L221" s="55"/>
      <c r="M221" s="55"/>
      <c r="N221" s="55"/>
      <c r="O221" s="55"/>
      <c r="P221" s="55"/>
      <c r="Q221" s="55"/>
      <c r="R221" s="55"/>
      <c r="S221" s="55"/>
      <c r="T221" s="55"/>
      <c r="U221" s="761">
        <v>349</v>
      </c>
      <c r="V221" s="55"/>
      <c r="W221" s="55"/>
      <c r="X221" s="55"/>
      <c r="Y221" s="55"/>
      <c r="Z221" s="55"/>
      <c r="AA221" s="772"/>
    </row>
    <row r="222" spans="1:27">
      <c r="A222" s="906">
        <f>A220+1</f>
        <v>109</v>
      </c>
      <c r="B222" s="55" t="s">
        <v>2008</v>
      </c>
      <c r="C222" s="55" t="s">
        <v>76</v>
      </c>
      <c r="D222" s="55"/>
      <c r="E222" s="55"/>
      <c r="F222" s="55"/>
      <c r="G222" s="55">
        <v>537485.47199999995</v>
      </c>
      <c r="H222" s="55">
        <v>3567769.04</v>
      </c>
      <c r="I222" s="905"/>
      <c r="J222" s="906">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8"/>
      <c r="B223" s="55"/>
      <c r="C223" s="55"/>
      <c r="D223" s="55">
        <v>330.346</v>
      </c>
      <c r="E223" s="55"/>
      <c r="F223" s="55"/>
      <c r="G223" s="55"/>
      <c r="H223" s="55"/>
      <c r="I223" s="905"/>
      <c r="J223" s="908"/>
      <c r="K223" s="55"/>
      <c r="L223" s="55"/>
      <c r="M223" s="55"/>
      <c r="N223" s="55"/>
      <c r="O223" s="55"/>
      <c r="P223" s="55"/>
      <c r="Q223" s="55"/>
      <c r="R223" s="55"/>
      <c r="S223" s="55"/>
      <c r="T223" s="55"/>
      <c r="U223" s="761">
        <v>350</v>
      </c>
      <c r="V223" s="55"/>
      <c r="W223" s="55"/>
      <c r="X223" s="55"/>
      <c r="Y223" s="55"/>
      <c r="Z223" s="55"/>
      <c r="AA223" s="773" t="s">
        <v>2173</v>
      </c>
    </row>
    <row r="224" spans="1:27">
      <c r="A224" s="906">
        <f>A222+1</f>
        <v>110</v>
      </c>
      <c r="B224" s="55" t="s">
        <v>2018</v>
      </c>
      <c r="C224" s="55" t="s">
        <v>76</v>
      </c>
      <c r="D224" s="55"/>
      <c r="E224" s="55"/>
      <c r="F224" s="55"/>
      <c r="G224" s="55">
        <v>537432.76800000004</v>
      </c>
      <c r="H224" s="55">
        <v>3567442.926</v>
      </c>
      <c r="I224" s="905"/>
      <c r="J224" s="906">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8"/>
      <c r="B225" s="55"/>
      <c r="C225" s="55"/>
      <c r="D225" s="55">
        <v>362.69600000000003</v>
      </c>
      <c r="E225" s="55"/>
      <c r="F225" s="55"/>
      <c r="G225" s="55"/>
      <c r="H225" s="55"/>
      <c r="I225" s="905"/>
      <c r="J225" s="908"/>
      <c r="K225" s="55"/>
      <c r="L225" s="55"/>
      <c r="M225" s="55"/>
      <c r="N225" s="55"/>
      <c r="O225" s="55"/>
      <c r="P225" s="55"/>
      <c r="Q225" s="55"/>
      <c r="R225" s="55"/>
      <c r="S225" s="55"/>
      <c r="T225" s="55"/>
      <c r="U225" s="761">
        <v>363.36399999999998</v>
      </c>
      <c r="V225" s="55"/>
      <c r="W225" s="55"/>
      <c r="X225" s="55"/>
      <c r="Y225" s="55"/>
      <c r="Z225" s="55"/>
      <c r="AA225" s="772" t="s">
        <v>2174</v>
      </c>
    </row>
    <row r="226" spans="1:27">
      <c r="A226" s="906">
        <f>A224+1</f>
        <v>111</v>
      </c>
      <c r="B226" s="55" t="s">
        <v>2019</v>
      </c>
      <c r="C226" s="55" t="s">
        <v>76</v>
      </c>
      <c r="D226" s="55"/>
      <c r="E226" s="55"/>
      <c r="F226" s="55"/>
      <c r="G226" s="55">
        <v>537374.902</v>
      </c>
      <c r="H226" s="55">
        <v>3567084.8760000002</v>
      </c>
      <c r="I226" s="905"/>
      <c r="J226" s="906">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8"/>
      <c r="B227" s="55"/>
      <c r="C227" s="55"/>
      <c r="D227" s="55">
        <v>349.63499999999999</v>
      </c>
      <c r="E227" s="55"/>
      <c r="F227" s="55"/>
      <c r="G227" s="55"/>
      <c r="H227" s="55"/>
      <c r="I227" s="905"/>
      <c r="J227" s="908"/>
      <c r="K227" s="55"/>
      <c r="L227" s="55"/>
      <c r="M227" s="55"/>
      <c r="N227" s="55"/>
      <c r="O227" s="55"/>
      <c r="P227" s="55"/>
      <c r="Q227" s="55"/>
      <c r="R227" s="55"/>
      <c r="S227" s="55"/>
      <c r="T227" s="55"/>
      <c r="U227" s="761">
        <v>371.50400000000002</v>
      </c>
      <c r="V227" s="759"/>
      <c r="W227" s="55"/>
      <c r="X227" s="55"/>
      <c r="Y227" s="55"/>
      <c r="Z227" s="55"/>
      <c r="AA227" s="772"/>
    </row>
    <row r="228" spans="1:27">
      <c r="A228" s="906">
        <f>A226+1</f>
        <v>112</v>
      </c>
      <c r="B228" s="55" t="s">
        <v>2022</v>
      </c>
      <c r="C228" s="55" t="s">
        <v>1269</v>
      </c>
      <c r="D228" s="55"/>
      <c r="E228" s="55"/>
      <c r="F228" s="55"/>
      <c r="G228" s="55">
        <v>537319.12</v>
      </c>
      <c r="H228" s="55">
        <v>3566739.719</v>
      </c>
      <c r="I228" s="905"/>
      <c r="J228" s="906">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8"/>
      <c r="B229" s="55"/>
      <c r="C229" s="55"/>
      <c r="D229" s="55">
        <v>313.60199999999998</v>
      </c>
      <c r="E229" s="55"/>
      <c r="F229" s="55"/>
      <c r="G229" s="55"/>
      <c r="H229" s="55"/>
      <c r="I229" s="905"/>
      <c r="J229" s="908"/>
      <c r="K229" s="55"/>
      <c r="L229" s="55"/>
      <c r="M229" s="55"/>
      <c r="N229" s="55"/>
      <c r="O229" s="55"/>
      <c r="P229" s="55"/>
      <c r="Q229" s="55"/>
      <c r="R229" s="55"/>
      <c r="S229" s="55"/>
      <c r="T229" s="55"/>
      <c r="U229" s="761">
        <v>203.304</v>
      </c>
      <c r="V229" s="759"/>
      <c r="W229" s="55"/>
      <c r="X229" s="55"/>
      <c r="Y229" s="55"/>
      <c r="Z229" s="55"/>
      <c r="AA229" s="772" t="s">
        <v>2153</v>
      </c>
    </row>
    <row r="230" spans="1:27">
      <c r="A230" s="906">
        <f>A228+1</f>
        <v>113</v>
      </c>
      <c r="B230" s="55" t="s">
        <v>2011</v>
      </c>
      <c r="C230" s="55" t="s">
        <v>1992</v>
      </c>
      <c r="D230" s="55"/>
      <c r="E230" s="55">
        <f>D219+D221+D223+D225+D227+D229</f>
        <v>2023.6010000000001</v>
      </c>
      <c r="F230" s="55" t="s">
        <v>2025</v>
      </c>
      <c r="G230" s="55">
        <v>537269.08700000006</v>
      </c>
      <c r="H230" s="55">
        <v>3566430.1340000001</v>
      </c>
      <c r="I230" s="905"/>
      <c r="J230" s="906">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8"/>
      <c r="B231" s="55"/>
      <c r="C231" s="55"/>
      <c r="D231" s="55">
        <v>203.66200000000001</v>
      </c>
      <c r="E231" s="55"/>
      <c r="F231" s="55"/>
      <c r="G231" s="55"/>
      <c r="H231" s="55"/>
      <c r="I231" s="905"/>
      <c r="J231" s="908"/>
      <c r="K231" s="55"/>
      <c r="L231" s="55"/>
      <c r="M231" s="55"/>
      <c r="N231" s="55"/>
      <c r="O231" s="55"/>
      <c r="P231" s="55"/>
      <c r="Q231" s="55"/>
      <c r="R231" s="55"/>
      <c r="S231" s="55"/>
      <c r="T231" s="55"/>
      <c r="U231" s="761">
        <v>409.90800000000002</v>
      </c>
      <c r="V231" s="759"/>
      <c r="W231" s="55"/>
      <c r="X231" s="55"/>
      <c r="Y231" s="55"/>
      <c r="Z231" s="55"/>
      <c r="AA231" s="772" t="s">
        <v>2175</v>
      </c>
    </row>
    <row r="232" spans="1:27">
      <c r="A232" s="906">
        <f>A230+1</f>
        <v>114</v>
      </c>
      <c r="B232" s="55" t="s">
        <v>2015</v>
      </c>
      <c r="C232" s="55" t="s">
        <v>2027</v>
      </c>
      <c r="D232" s="55"/>
      <c r="E232" s="55">
        <f>D231</f>
        <v>203.66200000000001</v>
      </c>
      <c r="F232" s="55" t="s">
        <v>2028</v>
      </c>
      <c r="G232" s="55">
        <v>537083.87600000005</v>
      </c>
      <c r="H232" s="55">
        <v>3566345.429</v>
      </c>
      <c r="I232" s="905"/>
      <c r="J232" s="906">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8"/>
      <c r="B233" s="55"/>
      <c r="C233" s="55"/>
      <c r="D233" s="55">
        <v>432.85</v>
      </c>
      <c r="E233" s="55"/>
      <c r="F233" s="55"/>
      <c r="G233" s="55"/>
      <c r="H233" s="55"/>
      <c r="I233" s="905"/>
      <c r="J233" s="908"/>
      <c r="K233" s="55"/>
      <c r="L233" s="55"/>
      <c r="M233" s="55"/>
      <c r="N233" s="55"/>
      <c r="O233" s="55"/>
      <c r="P233" s="55"/>
      <c r="Q233" s="55"/>
      <c r="R233" s="55"/>
      <c r="S233" s="55"/>
      <c r="T233" s="55"/>
      <c r="U233" s="761">
        <v>412</v>
      </c>
      <c r="V233" s="55"/>
      <c r="W233" s="55"/>
      <c r="X233" s="55"/>
      <c r="Y233" s="55"/>
      <c r="Z233" s="55"/>
      <c r="AA233" s="772" t="s">
        <v>2132</v>
      </c>
    </row>
    <row r="234" spans="1:27">
      <c r="A234" s="906">
        <f>A232+1</f>
        <v>115</v>
      </c>
      <c r="B234" s="55" t="s">
        <v>562</v>
      </c>
      <c r="C234" s="55" t="s">
        <v>1981</v>
      </c>
      <c r="D234" s="55"/>
      <c r="E234" s="55"/>
      <c r="F234" s="55"/>
      <c r="G234" s="55">
        <v>537017.47900000005</v>
      </c>
      <c r="H234" s="55">
        <v>3565917.702</v>
      </c>
      <c r="I234" s="905"/>
      <c r="J234" s="906">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8"/>
      <c r="B235" s="55"/>
      <c r="C235" s="55"/>
      <c r="D235" s="55">
        <v>475.23899999999998</v>
      </c>
      <c r="E235" s="55"/>
      <c r="F235" s="55"/>
      <c r="G235" s="55"/>
      <c r="H235" s="55"/>
      <c r="I235" s="905"/>
      <c r="J235" s="908"/>
      <c r="K235" s="55"/>
      <c r="L235" s="55"/>
      <c r="M235" s="55"/>
      <c r="N235" s="55"/>
      <c r="O235" s="55"/>
      <c r="P235" s="55"/>
      <c r="Q235" s="55"/>
      <c r="R235" s="55"/>
      <c r="S235" s="55"/>
      <c r="T235" s="55"/>
      <c r="U235" s="761">
        <v>428</v>
      </c>
      <c r="V235" s="55"/>
      <c r="W235" s="55"/>
      <c r="X235" s="55"/>
      <c r="Y235" s="55"/>
      <c r="Z235" s="55"/>
      <c r="AA235" s="772" t="s">
        <v>2176</v>
      </c>
    </row>
    <row r="236" spans="1:27">
      <c r="A236" s="906">
        <f>A234+1</f>
        <v>116</v>
      </c>
      <c r="B236" s="55" t="s">
        <v>2032</v>
      </c>
      <c r="C236" s="55" t="s">
        <v>1938</v>
      </c>
      <c r="D236" s="55"/>
      <c r="E236" s="55">
        <f>D233+D235</f>
        <v>908.08899999999994</v>
      </c>
      <c r="F236" s="55" t="s">
        <v>2033</v>
      </c>
      <c r="G236" s="55">
        <v>536944.57900000003</v>
      </c>
      <c r="H236" s="55">
        <v>3565448.0869999998</v>
      </c>
      <c r="I236" s="905"/>
      <c r="J236" s="906">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8"/>
      <c r="B237" s="55"/>
      <c r="C237" s="55"/>
      <c r="D237" s="55">
        <v>407.30500000000001</v>
      </c>
      <c r="E237" s="55"/>
      <c r="F237" s="55"/>
      <c r="G237" s="55"/>
      <c r="H237" s="55"/>
      <c r="I237" s="905"/>
      <c r="J237" s="908"/>
      <c r="K237" s="55"/>
      <c r="L237" s="55"/>
      <c r="M237" s="55"/>
      <c r="N237" s="55"/>
      <c r="O237" s="55"/>
      <c r="P237" s="55"/>
      <c r="Q237" s="55"/>
      <c r="R237" s="55"/>
      <c r="S237" s="55"/>
      <c r="T237" s="55"/>
      <c r="U237" s="761">
        <v>409</v>
      </c>
      <c r="V237" s="55"/>
      <c r="W237" s="55"/>
      <c r="X237" s="55"/>
      <c r="Y237" s="55"/>
      <c r="Z237" s="55"/>
      <c r="AA237" s="772" t="s">
        <v>2177</v>
      </c>
    </row>
    <row r="238" spans="1:27">
      <c r="A238" s="906">
        <f>A236+1</f>
        <v>117</v>
      </c>
      <c r="B238" s="55" t="s">
        <v>294</v>
      </c>
      <c r="C238" s="55" t="s">
        <v>76</v>
      </c>
      <c r="D238" s="55"/>
      <c r="E238" s="55"/>
      <c r="F238" s="55"/>
      <c r="G238" s="55">
        <v>536971.83900000004</v>
      </c>
      <c r="H238" s="55">
        <v>3565041.696</v>
      </c>
      <c r="I238" s="905"/>
      <c r="J238" s="906">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8"/>
      <c r="B239" s="55"/>
      <c r="C239" s="55"/>
      <c r="D239" s="55">
        <v>383.49</v>
      </c>
      <c r="E239" s="55"/>
      <c r="F239" s="55"/>
      <c r="G239" s="55"/>
      <c r="H239" s="55"/>
      <c r="I239" s="905"/>
      <c r="J239" s="908"/>
      <c r="K239" s="55"/>
      <c r="L239" s="55"/>
      <c r="M239" s="55"/>
      <c r="N239" s="55"/>
      <c r="O239" s="55"/>
      <c r="P239" s="55"/>
      <c r="Q239" s="55"/>
      <c r="R239" s="55"/>
      <c r="S239" s="55"/>
      <c r="T239" s="55"/>
      <c r="U239" s="761">
        <v>416</v>
      </c>
      <c r="V239" s="55"/>
      <c r="W239" s="55"/>
      <c r="X239" s="55"/>
      <c r="Y239" s="55"/>
      <c r="Z239" s="55"/>
      <c r="AA239" s="772" t="s">
        <v>2178</v>
      </c>
    </row>
    <row r="240" spans="1:27">
      <c r="A240" s="906">
        <f>A238+1</f>
        <v>118</v>
      </c>
      <c r="B240" s="55" t="s">
        <v>712</v>
      </c>
      <c r="C240" s="55" t="s">
        <v>76</v>
      </c>
      <c r="D240" s="55"/>
      <c r="E240" s="55"/>
      <c r="F240" s="55"/>
      <c r="G240" s="55">
        <v>536997.505</v>
      </c>
      <c r="H240" s="55">
        <v>3564659.0660000001</v>
      </c>
      <c r="I240" s="905"/>
      <c r="J240" s="906">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8"/>
      <c r="B241" s="55"/>
      <c r="C241" s="55"/>
      <c r="D241" s="55">
        <v>414.16199999999998</v>
      </c>
      <c r="E241" s="55"/>
      <c r="F241" s="55"/>
      <c r="G241" s="55"/>
      <c r="H241" s="55"/>
      <c r="I241" s="905"/>
      <c r="J241" s="908"/>
      <c r="K241" s="55"/>
      <c r="L241" s="55"/>
      <c r="M241" s="55"/>
      <c r="N241" s="55"/>
      <c r="O241" s="55"/>
      <c r="P241" s="55"/>
      <c r="Q241" s="55"/>
      <c r="R241" s="55"/>
      <c r="S241" s="55"/>
      <c r="T241" s="55"/>
      <c r="U241" s="761">
        <v>397</v>
      </c>
      <c r="V241" s="55"/>
      <c r="W241" s="55"/>
      <c r="X241" s="55"/>
      <c r="Y241" s="55"/>
      <c r="Z241" s="55"/>
      <c r="AA241" s="772"/>
    </row>
    <row r="242" spans="1:27">
      <c r="A242" s="906">
        <f>A240+1</f>
        <v>119</v>
      </c>
      <c r="B242" s="55" t="s">
        <v>2037</v>
      </c>
      <c r="C242" s="55" t="s">
        <v>62</v>
      </c>
      <c r="D242" s="55"/>
      <c r="E242" s="55"/>
      <c r="F242" s="55"/>
      <c r="G242" s="55">
        <v>537025.22400000005</v>
      </c>
      <c r="H242" s="55">
        <v>3564245.8319999999</v>
      </c>
      <c r="I242" s="905"/>
      <c r="J242" s="906">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8"/>
      <c r="B243" s="55"/>
      <c r="C243" s="55"/>
      <c r="D243" s="55">
        <v>375.84800000000001</v>
      </c>
      <c r="E243" s="55"/>
      <c r="F243" s="55"/>
      <c r="G243" s="55"/>
      <c r="H243" s="55"/>
      <c r="I243" s="905"/>
      <c r="J243" s="908"/>
      <c r="K243" s="55"/>
      <c r="L243" s="55"/>
      <c r="M243" s="55"/>
      <c r="N243" s="55"/>
      <c r="O243" s="55"/>
      <c r="P243" s="55"/>
      <c r="Q243" s="55"/>
      <c r="R243" s="55"/>
      <c r="S243" s="55"/>
      <c r="T243" s="55"/>
      <c r="U243" s="761">
        <v>337</v>
      </c>
      <c r="V243" s="55"/>
      <c r="W243" s="55"/>
      <c r="X243" s="55"/>
      <c r="Y243" s="55"/>
      <c r="Z243" s="55"/>
      <c r="AA243" s="772" t="s">
        <v>2178</v>
      </c>
    </row>
    <row r="244" spans="1:27">
      <c r="A244" s="906">
        <f>A242+1</f>
        <v>120</v>
      </c>
      <c r="B244" s="55" t="s">
        <v>2039</v>
      </c>
      <c r="C244" s="55" t="s">
        <v>62</v>
      </c>
      <c r="D244" s="55"/>
      <c r="E244" s="55"/>
      <c r="F244" s="55"/>
      <c r="G244" s="55">
        <v>537050.37899999996</v>
      </c>
      <c r="H244" s="55">
        <v>3563870.827</v>
      </c>
      <c r="I244" s="905"/>
      <c r="J244" s="906">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8"/>
      <c r="B245" s="55"/>
      <c r="C245" s="55"/>
      <c r="D245" s="55">
        <v>424.19499999999999</v>
      </c>
      <c r="E245" s="55"/>
      <c r="F245" s="55"/>
      <c r="G245" s="55"/>
      <c r="H245" s="55"/>
      <c r="I245" s="905"/>
      <c r="J245" s="908"/>
      <c r="K245" s="55"/>
      <c r="L245" s="55"/>
      <c r="M245" s="55"/>
      <c r="N245" s="55"/>
      <c r="O245" s="55"/>
      <c r="P245" s="55"/>
      <c r="Q245" s="758"/>
      <c r="R245" s="758"/>
      <c r="S245" s="758"/>
      <c r="T245" s="758"/>
      <c r="U245" s="761">
        <v>451</v>
      </c>
      <c r="V245" s="55"/>
      <c r="W245" s="55"/>
      <c r="X245" s="55"/>
      <c r="Y245" s="55"/>
      <c r="Z245" s="55"/>
      <c r="AA245" s="772" t="s">
        <v>2150</v>
      </c>
    </row>
    <row r="246" spans="1:27">
      <c r="A246" s="906">
        <f>A244+1</f>
        <v>121</v>
      </c>
      <c r="B246" s="55" t="s">
        <v>2041</v>
      </c>
      <c r="C246" s="55" t="s">
        <v>62</v>
      </c>
      <c r="D246" s="55"/>
      <c r="E246" s="55"/>
      <c r="F246" s="55"/>
      <c r="G246" s="55">
        <v>537078.77</v>
      </c>
      <c r="H246" s="55">
        <v>3563447.5830000001</v>
      </c>
      <c r="I246" s="905"/>
      <c r="J246" s="906">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8"/>
      <c r="B247" s="55"/>
      <c r="C247" s="55"/>
      <c r="D247" s="55">
        <v>395</v>
      </c>
      <c r="E247" s="55"/>
      <c r="F247" s="55"/>
      <c r="G247" s="55"/>
      <c r="H247" s="55"/>
      <c r="I247" s="905"/>
      <c r="J247" s="908"/>
      <c r="K247" s="55"/>
      <c r="L247" s="55"/>
      <c r="M247" s="55"/>
      <c r="N247" s="55"/>
      <c r="O247" s="55"/>
      <c r="P247" s="55"/>
      <c r="Q247" s="758"/>
      <c r="R247" s="758"/>
      <c r="S247" s="758"/>
      <c r="T247" s="758"/>
      <c r="U247" s="761">
        <v>389</v>
      </c>
      <c r="V247" s="55"/>
      <c r="W247" s="55"/>
      <c r="X247" s="55"/>
      <c r="Y247" s="55"/>
      <c r="Z247" s="55"/>
      <c r="AA247" s="772" t="s">
        <v>2179</v>
      </c>
    </row>
    <row r="248" spans="1:27">
      <c r="A248" s="906">
        <f>A246+1</f>
        <v>122</v>
      </c>
      <c r="B248" s="55" t="s">
        <v>2043</v>
      </c>
      <c r="C248" s="55" t="s">
        <v>62</v>
      </c>
      <c r="D248" s="55"/>
      <c r="E248" s="55"/>
      <c r="F248" s="55"/>
      <c r="G248" s="55">
        <v>537105.20600000001</v>
      </c>
      <c r="H248" s="55">
        <v>3563053.469</v>
      </c>
      <c r="I248" s="905"/>
      <c r="J248" s="906">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8"/>
      <c r="B249" s="55"/>
      <c r="C249" s="55"/>
      <c r="D249" s="55">
        <v>390</v>
      </c>
      <c r="E249" s="55"/>
      <c r="F249" s="55"/>
      <c r="G249" s="55"/>
      <c r="H249" s="55"/>
      <c r="I249" s="905"/>
      <c r="J249" s="908"/>
      <c r="K249" s="55"/>
      <c r="L249" s="55"/>
      <c r="M249" s="55"/>
      <c r="N249" s="55"/>
      <c r="O249" s="55"/>
      <c r="P249" s="55"/>
      <c r="Q249" s="758"/>
      <c r="R249" s="758"/>
      <c r="S249" s="758"/>
      <c r="T249" s="758"/>
      <c r="U249" s="761">
        <v>395</v>
      </c>
      <c r="V249" s="55"/>
      <c r="W249" s="55"/>
      <c r="X249" s="55"/>
      <c r="Y249" s="55"/>
      <c r="Z249" s="55"/>
      <c r="AA249" s="772"/>
    </row>
    <row r="250" spans="1:27">
      <c r="A250" s="906">
        <f>A248+1</f>
        <v>123</v>
      </c>
      <c r="B250" s="55" t="s">
        <v>2045</v>
      </c>
      <c r="C250" s="55" t="s">
        <v>76</v>
      </c>
      <c r="D250" s="55"/>
      <c r="E250" s="55"/>
      <c r="F250" s="55"/>
      <c r="G250" s="55">
        <v>537131.30799999996</v>
      </c>
      <c r="H250" s="55">
        <v>3562664.3429999999</v>
      </c>
      <c r="I250" s="905"/>
      <c r="J250" s="906">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8"/>
      <c r="B251" s="55"/>
      <c r="C251" s="55"/>
      <c r="D251" s="55">
        <v>390</v>
      </c>
      <c r="E251" s="55"/>
      <c r="F251" s="55"/>
      <c r="G251" s="55"/>
      <c r="H251" s="55"/>
      <c r="I251" s="905"/>
      <c r="J251" s="908"/>
      <c r="K251" s="55"/>
      <c r="L251" s="55"/>
      <c r="M251" s="55"/>
      <c r="N251" s="55"/>
      <c r="O251" s="55"/>
      <c r="P251" s="55"/>
      <c r="Q251" s="758"/>
      <c r="R251" s="758"/>
      <c r="S251" s="758"/>
      <c r="T251" s="758"/>
      <c r="U251" s="761">
        <v>391</v>
      </c>
      <c r="V251" s="55"/>
      <c r="W251" s="55"/>
      <c r="X251" s="55"/>
      <c r="Y251" s="55"/>
      <c r="Z251" s="55"/>
      <c r="AA251" s="772" t="s">
        <v>2180</v>
      </c>
    </row>
    <row r="252" spans="1:27">
      <c r="A252" s="906">
        <f>A250+1</f>
        <v>124</v>
      </c>
      <c r="B252" s="55" t="s">
        <v>2047</v>
      </c>
      <c r="C252" s="55" t="s">
        <v>76</v>
      </c>
      <c r="D252" s="55"/>
      <c r="E252" s="55"/>
      <c r="F252" s="55"/>
      <c r="G252" s="55">
        <v>537157.41</v>
      </c>
      <c r="H252" s="55">
        <v>3562275.2179999999</v>
      </c>
      <c r="I252" s="905"/>
      <c r="J252" s="906">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8"/>
      <c r="B253" s="55"/>
      <c r="C253" s="55"/>
      <c r="D253" s="55">
        <v>427.17500000000001</v>
      </c>
      <c r="E253" s="55"/>
      <c r="F253" s="55"/>
      <c r="G253" s="55"/>
      <c r="H253" s="55"/>
      <c r="I253" s="905"/>
      <c r="J253" s="908"/>
      <c r="K253" s="55"/>
      <c r="L253" s="55"/>
      <c r="M253" s="55"/>
      <c r="N253" s="55"/>
      <c r="O253" s="55"/>
      <c r="P253" s="55"/>
      <c r="Q253" s="55"/>
      <c r="R253" s="55"/>
      <c r="S253" s="55"/>
      <c r="T253" s="55"/>
      <c r="U253" s="761">
        <v>425.90300000000002</v>
      </c>
      <c r="V253" s="55"/>
      <c r="W253" s="55"/>
      <c r="X253" s="55"/>
      <c r="Y253" s="55"/>
      <c r="Z253" s="55"/>
      <c r="AA253" s="773" t="s">
        <v>2181</v>
      </c>
    </row>
    <row r="254" spans="1:27">
      <c r="A254" s="906">
        <f>A252+1</f>
        <v>125</v>
      </c>
      <c r="B254" s="55" t="s">
        <v>2049</v>
      </c>
      <c r="C254" s="55" t="s">
        <v>1957</v>
      </c>
      <c r="D254" s="55"/>
      <c r="E254" s="55">
        <f>D237+D239+D241+D243+D245+D247+D249+D251+D253</f>
        <v>3607.1750000000002</v>
      </c>
      <c r="F254" s="55" t="s">
        <v>2050</v>
      </c>
      <c r="G254" s="55">
        <v>537186</v>
      </c>
      <c r="H254" s="55">
        <v>3561849</v>
      </c>
      <c r="I254" s="905"/>
      <c r="J254" s="906">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9"/>
    </row>
    <row r="255" spans="1:27">
      <c r="A255" s="908"/>
      <c r="B255" s="908"/>
      <c r="C255" s="910"/>
      <c r="D255" s="910"/>
      <c r="E255" s="908"/>
      <c r="F255" s="908"/>
      <c r="G255" s="908"/>
      <c r="H255" s="908"/>
      <c r="I255" s="905"/>
      <c r="J255" s="908"/>
      <c r="K255" s="908"/>
      <c r="L255" s="908"/>
      <c r="M255" s="908"/>
      <c r="N255" s="908"/>
      <c r="O255" s="908"/>
      <c r="P255" s="908"/>
      <c r="Q255" s="908"/>
      <c r="R255" s="908"/>
      <c r="S255" s="908"/>
      <c r="T255" s="908"/>
      <c r="U255" s="911"/>
      <c r="V255" s="908"/>
      <c r="W255" s="908"/>
      <c r="X255" s="908"/>
      <c r="Y255" s="908"/>
      <c r="Z255" s="908"/>
      <c r="AA255" s="906"/>
    </row>
    <row r="256" spans="1:27">
      <c r="A256" s="906">
        <f>A254+1</f>
        <v>126</v>
      </c>
      <c r="B256" s="55" t="s">
        <v>2052</v>
      </c>
      <c r="C256" s="55" t="s">
        <v>1277</v>
      </c>
      <c r="D256" s="764"/>
      <c r="E256" s="1380">
        <v>420.52499999999998</v>
      </c>
      <c r="F256" s="55" t="s">
        <v>2053</v>
      </c>
      <c r="G256" s="761">
        <v>537906.36100000003</v>
      </c>
      <c r="H256" s="761">
        <v>3560968.449</v>
      </c>
      <c r="I256" s="905"/>
      <c r="J256" s="906">
        <f>J254+1</f>
        <v>126</v>
      </c>
      <c r="K256" s="55" t="s">
        <v>2052</v>
      </c>
      <c r="L256" s="55" t="s">
        <v>1277</v>
      </c>
      <c r="M256" s="908"/>
      <c r="N256" s="908"/>
      <c r="O256" s="908"/>
      <c r="P256" s="908"/>
      <c r="Q256" s="908"/>
      <c r="R256" s="908"/>
      <c r="S256" s="908"/>
      <c r="T256" s="908"/>
      <c r="U256" s="761"/>
      <c r="V256" s="1378">
        <v>416.65800000000002</v>
      </c>
      <c r="W256" s="759">
        <v>250.02099999999999</v>
      </c>
      <c r="X256" s="55" t="s">
        <v>2054</v>
      </c>
      <c r="Y256" s="760">
        <v>537906.36100000003</v>
      </c>
      <c r="Z256" s="760">
        <v>3560968.449</v>
      </c>
      <c r="AA256" s="761"/>
    </row>
    <row r="257" spans="1:27">
      <c r="A257" s="908"/>
      <c r="B257" s="55"/>
      <c r="C257" s="55"/>
      <c r="D257" s="55">
        <v>420.52499999999998</v>
      </c>
      <c r="E257" s="1380"/>
      <c r="F257" s="55"/>
      <c r="G257" s="761"/>
      <c r="H257" s="761"/>
      <c r="I257" s="905"/>
      <c r="J257" s="908"/>
      <c r="K257" s="55"/>
      <c r="L257" s="55"/>
      <c r="M257" s="908"/>
      <c r="N257" s="908"/>
      <c r="O257" s="908"/>
      <c r="P257" s="908"/>
      <c r="Q257" s="908"/>
      <c r="R257" s="908"/>
      <c r="S257" s="908"/>
      <c r="T257" s="908"/>
      <c r="U257" s="760">
        <v>416.65800000000002</v>
      </c>
      <c r="V257" s="1378"/>
      <c r="W257" s="759"/>
      <c r="X257" s="55"/>
      <c r="Y257" s="758"/>
      <c r="Z257" s="758"/>
      <c r="AA257" s="766" t="s">
        <v>2055</v>
      </c>
    </row>
    <row r="258" spans="1:27">
      <c r="A258" s="906">
        <f>A256+1</f>
        <v>127</v>
      </c>
      <c r="B258" s="55" t="s">
        <v>2056</v>
      </c>
      <c r="C258" s="55" t="s">
        <v>1402</v>
      </c>
      <c r="D258" s="55"/>
      <c r="E258" s="1380">
        <v>394.27100000000002</v>
      </c>
      <c r="F258" s="55" t="s">
        <v>2057</v>
      </c>
      <c r="G258" s="761">
        <v>538072.03200000001</v>
      </c>
      <c r="H258" s="761">
        <v>3560581.9330000002</v>
      </c>
      <c r="I258" s="905"/>
      <c r="J258" s="906">
        <f>J256+1</f>
        <v>127</v>
      </c>
      <c r="K258" s="55" t="s">
        <v>2056</v>
      </c>
      <c r="L258" s="55" t="s">
        <v>1402</v>
      </c>
      <c r="M258" s="908"/>
      <c r="N258" s="908"/>
      <c r="O258" s="908"/>
      <c r="P258" s="908"/>
      <c r="Q258" s="908"/>
      <c r="R258" s="908"/>
      <c r="S258" s="908"/>
      <c r="T258" s="908"/>
      <c r="U258" s="760"/>
      <c r="V258" s="1378">
        <v>389.27699999999999</v>
      </c>
      <c r="W258" s="759">
        <v>248.53</v>
      </c>
      <c r="X258" s="55" t="s">
        <v>2058</v>
      </c>
      <c r="Y258" s="760">
        <v>538071.47400000005</v>
      </c>
      <c r="Z258" s="760">
        <v>3560585.9029999999</v>
      </c>
      <c r="AA258" s="766"/>
    </row>
    <row r="259" spans="1:27">
      <c r="A259" s="908"/>
      <c r="B259" s="55"/>
      <c r="C259" s="55"/>
      <c r="D259" s="55">
        <v>394.27100000000002</v>
      </c>
      <c r="E259" s="1380"/>
      <c r="F259" s="55"/>
      <c r="G259" s="761"/>
      <c r="H259" s="761"/>
      <c r="I259" s="905"/>
      <c r="J259" s="908"/>
      <c r="K259" s="55"/>
      <c r="L259" s="55"/>
      <c r="M259" s="908"/>
      <c r="N259" s="908"/>
      <c r="O259" s="908"/>
      <c r="P259" s="908"/>
      <c r="Q259" s="908"/>
      <c r="R259" s="908"/>
      <c r="S259" s="908"/>
      <c r="T259" s="908"/>
      <c r="U259" s="760">
        <v>389.27699999999999</v>
      </c>
      <c r="V259" s="1378"/>
      <c r="W259" s="759"/>
      <c r="X259" s="55"/>
      <c r="Y259" s="758"/>
      <c r="Z259" s="758"/>
      <c r="AA259" s="766" t="s">
        <v>2059</v>
      </c>
    </row>
    <row r="260" spans="1:27">
      <c r="A260" s="906">
        <f>A258+1</f>
        <v>128</v>
      </c>
      <c r="B260" s="55" t="s">
        <v>2060</v>
      </c>
      <c r="C260" s="55" t="s">
        <v>1999</v>
      </c>
      <c r="D260" s="55"/>
      <c r="E260" s="1380">
        <f>D261+D263</f>
        <v>786.42</v>
      </c>
      <c r="F260" s="55" t="s">
        <v>2061</v>
      </c>
      <c r="G260" s="761">
        <v>538126.65</v>
      </c>
      <c r="H260" s="761">
        <v>3560191.4640000002</v>
      </c>
      <c r="I260" s="905"/>
      <c r="J260" s="906">
        <f>J258+1</f>
        <v>128</v>
      </c>
      <c r="K260" s="55" t="s">
        <v>2060</v>
      </c>
      <c r="L260" s="55" t="s">
        <v>1999</v>
      </c>
      <c r="M260" s="908"/>
      <c r="N260" s="908"/>
      <c r="O260" s="908"/>
      <c r="P260" s="908"/>
      <c r="Q260" s="908"/>
      <c r="R260" s="908"/>
      <c r="S260" s="908"/>
      <c r="T260" s="908"/>
      <c r="U260" s="760"/>
      <c r="V260" s="1378">
        <f>U261+U263</f>
        <v>793.45100000000002</v>
      </c>
      <c r="W260" s="759">
        <v>248.26599999999999</v>
      </c>
      <c r="X260" s="55" t="s">
        <v>2062</v>
      </c>
      <c r="Y260" s="760">
        <v>538125.38300000003</v>
      </c>
      <c r="Z260" s="760">
        <v>3560200.3769999999</v>
      </c>
      <c r="AA260" s="912"/>
    </row>
    <row r="261" spans="1:27">
      <c r="A261" s="908"/>
      <c r="B261" s="55"/>
      <c r="C261" s="55"/>
      <c r="D261" s="55">
        <v>377.11399999999998</v>
      </c>
      <c r="E261" s="1380"/>
      <c r="F261" s="55"/>
      <c r="G261" s="761"/>
      <c r="H261" s="761"/>
      <c r="I261" s="905"/>
      <c r="J261" s="908"/>
      <c r="K261" s="55"/>
      <c r="L261" s="55"/>
      <c r="M261" s="908"/>
      <c r="N261" s="908"/>
      <c r="O261" s="908"/>
      <c r="P261" s="908"/>
      <c r="Q261" s="908"/>
      <c r="R261" s="908"/>
      <c r="S261" s="908"/>
      <c r="T261" s="908"/>
      <c r="U261" s="760">
        <v>384.15100000000001</v>
      </c>
      <c r="V261" s="1378"/>
      <c r="W261" s="759"/>
      <c r="X261" s="55"/>
      <c r="Y261" s="758"/>
      <c r="Z261" s="758"/>
      <c r="AA261" s="766" t="s">
        <v>2063</v>
      </c>
    </row>
    <row r="262" spans="1:27">
      <c r="A262" s="906">
        <f>A260+1</f>
        <v>129</v>
      </c>
      <c r="B262" s="55" t="s">
        <v>702</v>
      </c>
      <c r="C262" s="55" t="s">
        <v>62</v>
      </c>
      <c r="D262" s="55"/>
      <c r="E262" s="1380"/>
      <c r="F262" s="55"/>
      <c r="G262" s="761">
        <v>537933.76699999999</v>
      </c>
      <c r="H262" s="761">
        <v>3559867.41</v>
      </c>
      <c r="I262" s="905"/>
      <c r="J262" s="906">
        <f>J260+1</f>
        <v>129</v>
      </c>
      <c r="K262" s="55" t="s">
        <v>702</v>
      </c>
      <c r="L262" s="55" t="s">
        <v>53</v>
      </c>
      <c r="M262" s="908"/>
      <c r="N262" s="908"/>
      <c r="O262" s="908"/>
      <c r="P262" s="908"/>
      <c r="Q262" s="908"/>
      <c r="R262" s="908"/>
      <c r="S262" s="908"/>
      <c r="T262" s="908"/>
      <c r="U262" s="760"/>
      <c r="V262" s="1378"/>
      <c r="W262" s="759">
        <v>247.77</v>
      </c>
      <c r="X262" s="55"/>
      <c r="Y262" s="760">
        <v>537931.255</v>
      </c>
      <c r="Z262" s="760">
        <v>3559868.8859999999</v>
      </c>
      <c r="AA262" s="766"/>
    </row>
    <row r="263" spans="1:27">
      <c r="A263" s="908"/>
      <c r="B263" s="55"/>
      <c r="C263" s="55"/>
      <c r="D263" s="55">
        <v>409.30599999999998</v>
      </c>
      <c r="E263" s="1380"/>
      <c r="F263" s="55"/>
      <c r="G263" s="761"/>
      <c r="H263" s="761"/>
      <c r="I263" s="905"/>
      <c r="J263" s="908"/>
      <c r="K263" s="55"/>
      <c r="L263" s="55"/>
      <c r="M263" s="908"/>
      <c r="N263" s="908"/>
      <c r="O263" s="908"/>
      <c r="P263" s="908"/>
      <c r="Q263" s="908"/>
      <c r="R263" s="908"/>
      <c r="S263" s="908"/>
      <c r="T263" s="908"/>
      <c r="U263" s="760">
        <v>409.3</v>
      </c>
      <c r="V263" s="1378"/>
      <c r="W263" s="759"/>
      <c r="X263" s="55"/>
      <c r="Y263" s="758"/>
      <c r="Z263" s="758"/>
      <c r="AA263" s="766" t="s">
        <v>2064</v>
      </c>
    </row>
    <row r="264" spans="1:27">
      <c r="A264" s="906">
        <f>A262+1</f>
        <v>130</v>
      </c>
      <c r="B264" s="55" t="s">
        <v>2065</v>
      </c>
      <c r="C264" s="55" t="s">
        <v>1277</v>
      </c>
      <c r="D264" s="55"/>
      <c r="E264" s="1380"/>
      <c r="F264" s="55" t="s">
        <v>2066</v>
      </c>
      <c r="G264" s="761">
        <v>537724.41799999995</v>
      </c>
      <c r="H264" s="761">
        <v>3559515.693</v>
      </c>
      <c r="I264" s="905"/>
      <c r="J264" s="906">
        <f>J262+1</f>
        <v>130</v>
      </c>
      <c r="K264" s="55" t="s">
        <v>2065</v>
      </c>
      <c r="L264" s="55" t="s">
        <v>1361</v>
      </c>
      <c r="M264" s="908"/>
      <c r="N264" s="908"/>
      <c r="O264" s="908"/>
      <c r="P264" s="908"/>
      <c r="Q264" s="908"/>
      <c r="R264" s="908"/>
      <c r="S264" s="908"/>
      <c r="T264" s="908"/>
      <c r="U264" s="760"/>
      <c r="V264" s="1378"/>
      <c r="W264" s="759">
        <v>247.416</v>
      </c>
      <c r="X264" s="55" t="s">
        <v>2067</v>
      </c>
      <c r="Y264" s="760">
        <v>537724.41799999995</v>
      </c>
      <c r="Z264" s="760">
        <v>3559515.693</v>
      </c>
      <c r="AA264" s="766"/>
    </row>
    <row r="265" spans="1:27">
      <c r="A265" s="908"/>
      <c r="B265" s="55"/>
      <c r="C265" s="55"/>
      <c r="D265" s="55">
        <v>409.72</v>
      </c>
      <c r="E265" s="1380">
        <f>D265+D267+D269+D271+D273</f>
        <v>1906.1019999999999</v>
      </c>
      <c r="F265" s="55"/>
      <c r="G265" s="761"/>
      <c r="H265" s="761"/>
      <c r="I265" s="905"/>
      <c r="J265" s="908"/>
      <c r="K265" s="55"/>
      <c r="L265" s="55"/>
      <c r="M265" s="908"/>
      <c r="N265" s="908"/>
      <c r="O265" s="908"/>
      <c r="P265" s="908"/>
      <c r="Q265" s="908"/>
      <c r="R265" s="908"/>
      <c r="S265" s="908"/>
      <c r="T265" s="908"/>
      <c r="U265" s="760">
        <v>409.72</v>
      </c>
      <c r="V265" s="1378">
        <f>U265+U267+U269+U271+U273</f>
        <v>1906.1019999999999</v>
      </c>
      <c r="W265" s="759"/>
      <c r="X265" s="55"/>
      <c r="Y265" s="758"/>
      <c r="Z265" s="758"/>
      <c r="AA265" s="55" t="s">
        <v>2068</v>
      </c>
    </row>
    <row r="266" spans="1:27">
      <c r="A266" s="906">
        <f>A264+1</f>
        <v>131</v>
      </c>
      <c r="B266" s="55" t="s">
        <v>753</v>
      </c>
      <c r="C266" s="55" t="s">
        <v>62</v>
      </c>
      <c r="D266" s="55"/>
      <c r="E266" s="1380"/>
      <c r="F266" s="55"/>
      <c r="G266" s="761">
        <v>537383.73499999999</v>
      </c>
      <c r="H266" s="761">
        <v>3559288.0860000001</v>
      </c>
      <c r="I266" s="905"/>
      <c r="J266" s="906">
        <f>J264+1</f>
        <v>131</v>
      </c>
      <c r="K266" s="55" t="s">
        <v>753</v>
      </c>
      <c r="L266" s="55" t="s">
        <v>53</v>
      </c>
      <c r="M266" s="908"/>
      <c r="N266" s="908"/>
      <c r="O266" s="908"/>
      <c r="P266" s="908"/>
      <c r="Q266" s="908"/>
      <c r="R266" s="908"/>
      <c r="S266" s="908"/>
      <c r="T266" s="908"/>
      <c r="U266" s="760"/>
      <c r="V266" s="1378"/>
      <c r="W266" s="759">
        <v>247.16399999999999</v>
      </c>
      <c r="X266" s="55"/>
      <c r="Y266" s="760">
        <v>537383.73499999999</v>
      </c>
      <c r="Z266" s="760">
        <v>3559288.085</v>
      </c>
      <c r="AA266" s="766"/>
    </row>
    <row r="267" spans="1:27">
      <c r="A267" s="908"/>
      <c r="B267" s="55"/>
      <c r="C267" s="55"/>
      <c r="D267" s="55">
        <v>406.73200000000003</v>
      </c>
      <c r="E267" s="1380"/>
      <c r="F267" s="55"/>
      <c r="G267" s="761"/>
      <c r="H267" s="761"/>
      <c r="I267" s="905"/>
      <c r="J267" s="908"/>
      <c r="K267" s="55"/>
      <c r="L267" s="55"/>
      <c r="M267" s="908"/>
      <c r="N267" s="908"/>
      <c r="O267" s="908"/>
      <c r="P267" s="908"/>
      <c r="Q267" s="908"/>
      <c r="R267" s="908"/>
      <c r="S267" s="908"/>
      <c r="T267" s="908"/>
      <c r="U267" s="760">
        <v>406.73200000000003</v>
      </c>
      <c r="V267" s="1378"/>
      <c r="W267" s="759"/>
      <c r="X267" s="55"/>
      <c r="Y267" s="758"/>
      <c r="Z267" s="758"/>
      <c r="AA267" s="766" t="s">
        <v>2069</v>
      </c>
    </row>
    <row r="268" spans="1:27">
      <c r="A268" s="906">
        <f>A266+1</f>
        <v>132</v>
      </c>
      <c r="B268" s="55" t="s">
        <v>761</v>
      </c>
      <c r="C268" s="55" t="s">
        <v>62</v>
      </c>
      <c r="D268" s="55"/>
      <c r="E268" s="1380"/>
      <c r="F268" s="55"/>
      <c r="G268" s="761">
        <v>537045.53599999996</v>
      </c>
      <c r="H268" s="761">
        <v>3559062.1379999998</v>
      </c>
      <c r="I268" s="905"/>
      <c r="J268" s="906">
        <f>J266+1</f>
        <v>132</v>
      </c>
      <c r="K268" s="55" t="s">
        <v>761</v>
      </c>
      <c r="L268" s="55" t="s">
        <v>62</v>
      </c>
      <c r="M268" s="908"/>
      <c r="N268" s="908"/>
      <c r="O268" s="908"/>
      <c r="P268" s="908"/>
      <c r="Q268" s="908"/>
      <c r="R268" s="908"/>
      <c r="S268" s="908"/>
      <c r="T268" s="908"/>
      <c r="U268" s="760"/>
      <c r="V268" s="1378"/>
      <c r="W268" s="759">
        <v>246.60300000000001</v>
      </c>
      <c r="X268" s="55"/>
      <c r="Y268" s="760">
        <v>537045.53599999996</v>
      </c>
      <c r="Z268" s="760">
        <v>3559062.1379999998</v>
      </c>
      <c r="AA268" s="766"/>
    </row>
    <row r="269" spans="1:27">
      <c r="A269" s="908"/>
      <c r="B269" s="55"/>
      <c r="C269" s="55"/>
      <c r="D269" s="55">
        <v>389.91300000000001</v>
      </c>
      <c r="E269" s="1380"/>
      <c r="F269" s="55"/>
      <c r="G269" s="761"/>
      <c r="H269" s="761"/>
      <c r="I269" s="905"/>
      <c r="J269" s="908"/>
      <c r="K269" s="55"/>
      <c r="L269" s="55"/>
      <c r="M269" s="908"/>
      <c r="N269" s="908"/>
      <c r="O269" s="908"/>
      <c r="P269" s="908"/>
      <c r="Q269" s="908"/>
      <c r="R269" s="908"/>
      <c r="S269" s="908"/>
      <c r="T269" s="908"/>
      <c r="U269" s="760">
        <v>404.91300000000001</v>
      </c>
      <c r="V269" s="1378"/>
      <c r="W269" s="759"/>
      <c r="X269" s="55"/>
      <c r="Y269" s="758"/>
      <c r="Z269" s="758"/>
      <c r="AA269" s="766" t="s">
        <v>2070</v>
      </c>
    </row>
    <row r="270" spans="1:27">
      <c r="A270" s="906">
        <f>A268+1</f>
        <v>133</v>
      </c>
      <c r="B270" s="55" t="s">
        <v>735</v>
      </c>
      <c r="C270" s="55" t="s">
        <v>62</v>
      </c>
      <c r="D270" s="55"/>
      <c r="E270" s="1380"/>
      <c r="F270" s="55"/>
      <c r="G270" s="761">
        <v>536721.32200000004</v>
      </c>
      <c r="H270" s="761">
        <v>3558845.534</v>
      </c>
      <c r="I270" s="905"/>
      <c r="J270" s="906">
        <f>J268+1</f>
        <v>133</v>
      </c>
      <c r="K270" s="55" t="s">
        <v>735</v>
      </c>
      <c r="L270" s="55" t="s">
        <v>53</v>
      </c>
      <c r="M270" s="908"/>
      <c r="N270" s="908"/>
      <c r="O270" s="908"/>
      <c r="P270" s="908"/>
      <c r="Q270" s="908"/>
      <c r="R270" s="908"/>
      <c r="S270" s="908"/>
      <c r="T270" s="908"/>
      <c r="U270" s="760"/>
      <c r="V270" s="1378"/>
      <c r="W270" s="759">
        <v>246.5</v>
      </c>
      <c r="X270" s="55"/>
      <c r="Y270" s="760">
        <v>536708.84900000005</v>
      </c>
      <c r="Z270" s="760">
        <v>3558837.2009999999</v>
      </c>
      <c r="AA270" s="766"/>
    </row>
    <row r="271" spans="1:27">
      <c r="A271" s="908"/>
      <c r="B271" s="55"/>
      <c r="C271" s="55"/>
      <c r="D271" s="55">
        <v>325.56299999999999</v>
      </c>
      <c r="E271" s="1380"/>
      <c r="F271" s="55"/>
      <c r="G271" s="761"/>
      <c r="H271" s="761"/>
      <c r="I271" s="905"/>
      <c r="J271" s="908"/>
      <c r="K271" s="55"/>
      <c r="L271" s="55"/>
      <c r="M271" s="908"/>
      <c r="N271" s="908"/>
      <c r="O271" s="908"/>
      <c r="P271" s="908"/>
      <c r="Q271" s="908"/>
      <c r="R271" s="908"/>
      <c r="S271" s="908"/>
      <c r="T271" s="908"/>
      <c r="U271" s="760">
        <v>285.56299999999999</v>
      </c>
      <c r="V271" s="1378"/>
      <c r="W271" s="759"/>
      <c r="X271" s="55"/>
      <c r="Y271" s="758"/>
      <c r="Z271" s="758"/>
      <c r="AA271" s="766" t="s">
        <v>2071</v>
      </c>
    </row>
    <row r="272" spans="1:27">
      <c r="A272" s="906">
        <f>A270+1</f>
        <v>134</v>
      </c>
      <c r="B272" s="55" t="s">
        <v>746</v>
      </c>
      <c r="C272" s="55" t="s">
        <v>53</v>
      </c>
      <c r="D272" s="55"/>
      <c r="E272" s="1380"/>
      <c r="F272" s="55"/>
      <c r="G272" s="761">
        <v>536450.61499999999</v>
      </c>
      <c r="H272" s="761">
        <v>3558664.6770000001</v>
      </c>
      <c r="I272" s="905"/>
      <c r="J272" s="906">
        <f>J270+1</f>
        <v>134</v>
      </c>
      <c r="K272" s="55" t="s">
        <v>746</v>
      </c>
      <c r="L272" s="55" t="s">
        <v>53</v>
      </c>
      <c r="M272" s="908"/>
      <c r="N272" s="908"/>
      <c r="O272" s="908"/>
      <c r="P272" s="908"/>
      <c r="Q272" s="908"/>
      <c r="R272" s="908"/>
      <c r="S272" s="908"/>
      <c r="T272" s="908"/>
      <c r="U272" s="760"/>
      <c r="V272" s="1378"/>
      <c r="W272" s="759">
        <v>247.63</v>
      </c>
      <c r="X272" s="55"/>
      <c r="Y272" s="760">
        <v>536471.402</v>
      </c>
      <c r="Z272" s="760">
        <v>3558678.5649999999</v>
      </c>
      <c r="AA272" s="766"/>
    </row>
    <row r="273" spans="1:27">
      <c r="A273" s="908"/>
      <c r="B273" s="55"/>
      <c r="C273" s="55"/>
      <c r="D273" s="55">
        <v>374.17399999999998</v>
      </c>
      <c r="E273" s="1380"/>
      <c r="F273" s="55"/>
      <c r="G273" s="761"/>
      <c r="H273" s="761"/>
      <c r="I273" s="905"/>
      <c r="J273" s="908"/>
      <c r="K273" s="55"/>
      <c r="L273" s="55"/>
      <c r="M273" s="908"/>
      <c r="N273" s="908"/>
      <c r="O273" s="908"/>
      <c r="P273" s="908"/>
      <c r="Q273" s="908"/>
      <c r="R273" s="908"/>
      <c r="S273" s="908"/>
      <c r="T273" s="908"/>
      <c r="U273" s="760">
        <v>399.17399999999998</v>
      </c>
      <c r="V273" s="1378"/>
      <c r="W273" s="759"/>
      <c r="X273" s="55"/>
      <c r="Y273" s="758"/>
      <c r="Z273" s="758"/>
      <c r="AA273" s="766" t="s">
        <v>2072</v>
      </c>
    </row>
    <row r="274" spans="1:27">
      <c r="A274" s="906">
        <f>A272+1</f>
        <v>135</v>
      </c>
      <c r="B274" s="55" t="s">
        <v>2073</v>
      </c>
      <c r="C274" s="55" t="s">
        <v>1939</v>
      </c>
      <c r="D274" s="55"/>
      <c r="E274" s="1380">
        <f>D275+D277+D279</f>
        <v>982.37199999999996</v>
      </c>
      <c r="F274" s="55" t="s">
        <v>2074</v>
      </c>
      <c r="G274" s="761">
        <v>536139.48800000001</v>
      </c>
      <c r="H274" s="761">
        <v>3558456.8160000001</v>
      </c>
      <c r="I274" s="905"/>
      <c r="J274" s="906">
        <f>J272+1</f>
        <v>135</v>
      </c>
      <c r="K274" s="55" t="s">
        <v>2073</v>
      </c>
      <c r="L274" s="55" t="s">
        <v>1999</v>
      </c>
      <c r="M274" s="908"/>
      <c r="N274" s="908"/>
      <c r="O274" s="908"/>
      <c r="P274" s="908"/>
      <c r="Q274" s="908"/>
      <c r="R274" s="908"/>
      <c r="S274" s="908"/>
      <c r="T274" s="908"/>
      <c r="U274" s="760"/>
      <c r="V274" s="1378">
        <f>U275+U277+U279</f>
        <v>982.37199999999996</v>
      </c>
      <c r="W274" s="759">
        <v>247.14099999999999</v>
      </c>
      <c r="X274" s="55" t="s">
        <v>2075</v>
      </c>
      <c r="Y274" s="760">
        <v>536139.48800000001</v>
      </c>
      <c r="Z274" s="760">
        <v>3558456.8160000001</v>
      </c>
      <c r="AA274" s="766"/>
    </row>
    <row r="275" spans="1:27" ht="29">
      <c r="A275" s="908"/>
      <c r="B275" s="55"/>
      <c r="C275" s="55"/>
      <c r="D275" s="55">
        <v>343.78399999999999</v>
      </c>
      <c r="E275" s="1380"/>
      <c r="F275" s="55"/>
      <c r="G275" s="761"/>
      <c r="H275" s="761"/>
      <c r="I275" s="905"/>
      <c r="J275" s="908"/>
      <c r="K275" s="55"/>
      <c r="L275" s="55"/>
      <c r="M275" s="908"/>
      <c r="N275" s="908"/>
      <c r="O275" s="908"/>
      <c r="P275" s="908"/>
      <c r="Q275" s="908"/>
      <c r="R275" s="908"/>
      <c r="S275" s="908"/>
      <c r="T275" s="908"/>
      <c r="U275" s="760">
        <v>343.78399999999999</v>
      </c>
      <c r="V275" s="1378"/>
      <c r="W275" s="759"/>
      <c r="X275" s="55"/>
      <c r="Y275" s="758"/>
      <c r="Z275" s="758"/>
      <c r="AA275" s="766" t="s">
        <v>2076</v>
      </c>
    </row>
    <row r="276" spans="1:27">
      <c r="A276" s="906">
        <f>A274+1</f>
        <v>136</v>
      </c>
      <c r="B276" s="55" t="s">
        <v>554</v>
      </c>
      <c r="C276" s="55" t="s">
        <v>76</v>
      </c>
      <c r="D276" s="55"/>
      <c r="E276" s="1380"/>
      <c r="F276" s="55"/>
      <c r="G276" s="761">
        <v>536041.32900000003</v>
      </c>
      <c r="H276" s="761">
        <v>3558127.3429999999</v>
      </c>
      <c r="I276" s="905"/>
      <c r="J276" s="906">
        <f>J274+1</f>
        <v>136</v>
      </c>
      <c r="K276" s="55" t="s">
        <v>554</v>
      </c>
      <c r="L276" s="55" t="s">
        <v>76</v>
      </c>
      <c r="M276" s="908"/>
      <c r="N276" s="908"/>
      <c r="O276" s="908"/>
      <c r="P276" s="908"/>
      <c r="Q276" s="908"/>
      <c r="R276" s="908"/>
      <c r="S276" s="908"/>
      <c r="T276" s="908"/>
      <c r="U276" s="760"/>
      <c r="V276" s="1378"/>
      <c r="W276" s="759">
        <v>246.804</v>
      </c>
      <c r="X276" s="55"/>
      <c r="Y276" s="760">
        <v>536041.32900000003</v>
      </c>
      <c r="Z276" s="760">
        <v>3558127.3429999999</v>
      </c>
      <c r="AA276" s="766"/>
    </row>
    <row r="277" spans="1:27">
      <c r="A277" s="908"/>
      <c r="B277" s="55"/>
      <c r="C277" s="55"/>
      <c r="D277" s="55">
        <v>313.06299999999999</v>
      </c>
      <c r="E277" s="1380"/>
      <c r="F277" s="55"/>
      <c r="G277" s="761"/>
      <c r="H277" s="761"/>
      <c r="I277" s="905"/>
      <c r="J277" s="908"/>
      <c r="K277" s="55"/>
      <c r="L277" s="55"/>
      <c r="M277" s="908"/>
      <c r="N277" s="908"/>
      <c r="O277" s="908"/>
      <c r="P277" s="908"/>
      <c r="Q277" s="908"/>
      <c r="R277" s="908"/>
      <c r="S277" s="908"/>
      <c r="T277" s="908"/>
      <c r="U277" s="760">
        <v>313.06299999999999</v>
      </c>
      <c r="V277" s="1378"/>
      <c r="W277" s="759"/>
      <c r="X277" s="55"/>
      <c r="Y277" s="758"/>
      <c r="Z277" s="758"/>
      <c r="AA277" s="766" t="s">
        <v>2077</v>
      </c>
    </row>
    <row r="278" spans="1:27">
      <c r="A278" s="906">
        <f>A276+1</f>
        <v>137</v>
      </c>
      <c r="B278" s="55" t="s">
        <v>125</v>
      </c>
      <c r="C278" s="55" t="s">
        <v>76</v>
      </c>
      <c r="D278" s="55"/>
      <c r="E278" s="1380"/>
      <c r="F278" s="55"/>
      <c r="G278" s="761">
        <v>535951.94200000004</v>
      </c>
      <c r="H278" s="761">
        <v>3557827.3130000001</v>
      </c>
      <c r="I278" s="905"/>
      <c r="J278" s="906">
        <f>J276+1</f>
        <v>137</v>
      </c>
      <c r="K278" s="55" t="s">
        <v>125</v>
      </c>
      <c r="L278" s="55" t="s">
        <v>76</v>
      </c>
      <c r="M278" s="908"/>
      <c r="N278" s="908"/>
      <c r="O278" s="908"/>
      <c r="P278" s="908"/>
      <c r="Q278" s="908"/>
      <c r="R278" s="908"/>
      <c r="S278" s="908"/>
      <c r="T278" s="908"/>
      <c r="U278" s="760"/>
      <c r="V278" s="1378"/>
      <c r="W278" s="759">
        <v>246.65299999999999</v>
      </c>
      <c r="X278" s="55"/>
      <c r="Y278" s="760">
        <v>535951.94099999999</v>
      </c>
      <c r="Z278" s="760">
        <v>3557827.3130000001</v>
      </c>
      <c r="AA278" s="766"/>
    </row>
    <row r="279" spans="1:27">
      <c r="A279" s="908"/>
      <c r="B279" s="55"/>
      <c r="C279" s="55"/>
      <c r="D279" s="55">
        <v>325.52499999999998</v>
      </c>
      <c r="E279" s="1380"/>
      <c r="F279" s="55"/>
      <c r="G279" s="761"/>
      <c r="H279" s="761"/>
      <c r="I279" s="905"/>
      <c r="J279" s="908"/>
      <c r="K279" s="55"/>
      <c r="L279" s="55"/>
      <c r="M279" s="908"/>
      <c r="N279" s="908"/>
      <c r="O279" s="908"/>
      <c r="P279" s="908"/>
      <c r="Q279" s="908"/>
      <c r="R279" s="908"/>
      <c r="S279" s="908"/>
      <c r="T279" s="908"/>
      <c r="U279" s="760">
        <v>325.52499999999998</v>
      </c>
      <c r="V279" s="1378"/>
      <c r="W279" s="759"/>
      <c r="X279" s="55"/>
      <c r="Y279" s="758"/>
      <c r="Z279" s="758"/>
      <c r="AA279" s="766" t="s">
        <v>2078</v>
      </c>
    </row>
    <row r="280" spans="1:27">
      <c r="A280" s="906">
        <f>A278+1</f>
        <v>138</v>
      </c>
      <c r="B280" s="55" t="s">
        <v>2079</v>
      </c>
      <c r="C280" s="55" t="s">
        <v>1319</v>
      </c>
      <c r="D280" s="55"/>
      <c r="E280" s="1380">
        <v>406.44299999999998</v>
      </c>
      <c r="F280" s="55" t="s">
        <v>2080</v>
      </c>
      <c r="G280" s="761">
        <v>535858.99600000004</v>
      </c>
      <c r="H280" s="761">
        <v>3557515.3390000002</v>
      </c>
      <c r="I280" s="905"/>
      <c r="J280" s="906">
        <f>J278+1</f>
        <v>138</v>
      </c>
      <c r="K280" s="55" t="s">
        <v>2079</v>
      </c>
      <c r="L280" s="55" t="s">
        <v>1277</v>
      </c>
      <c r="M280" s="908"/>
      <c r="N280" s="908"/>
      <c r="O280" s="908"/>
      <c r="P280" s="908"/>
      <c r="Q280" s="908"/>
      <c r="R280" s="908"/>
      <c r="S280" s="908"/>
      <c r="T280" s="908"/>
      <c r="U280" s="760"/>
      <c r="V280" s="1378">
        <v>406.44299999999998</v>
      </c>
      <c r="W280" s="759">
        <v>246.50399999999999</v>
      </c>
      <c r="X280" s="55" t="s">
        <v>2081</v>
      </c>
      <c r="Y280" s="760">
        <v>535858.99600000004</v>
      </c>
      <c r="Z280" s="760">
        <v>3557515.3390000002</v>
      </c>
      <c r="AA280" s="766"/>
    </row>
    <row r="281" spans="1:27">
      <c r="A281" s="908"/>
      <c r="B281" s="55"/>
      <c r="C281" s="55"/>
      <c r="D281" s="55">
        <v>406.44299999999998</v>
      </c>
      <c r="E281" s="1380"/>
      <c r="F281" s="55"/>
      <c r="G281" s="761"/>
      <c r="H281" s="761"/>
      <c r="I281" s="905"/>
      <c r="J281" s="908"/>
      <c r="K281" s="55"/>
      <c r="L281" s="55"/>
      <c r="M281" s="908"/>
      <c r="N281" s="908"/>
      <c r="O281" s="908"/>
      <c r="P281" s="908"/>
      <c r="Q281" s="908"/>
      <c r="R281" s="908"/>
      <c r="S281" s="908"/>
      <c r="T281" s="908"/>
      <c r="U281" s="760">
        <v>406.44299999999998</v>
      </c>
      <c r="V281" s="1378"/>
      <c r="W281" s="759"/>
      <c r="X281" s="55"/>
      <c r="Y281" s="758"/>
      <c r="Z281" s="758"/>
      <c r="AA281" s="766" t="s">
        <v>2082</v>
      </c>
    </row>
    <row r="282" spans="1:27">
      <c r="A282" s="906">
        <f>A280+1</f>
        <v>139</v>
      </c>
      <c r="B282" s="55" t="s">
        <v>2083</v>
      </c>
      <c r="C282" s="55" t="s">
        <v>1939</v>
      </c>
      <c r="D282" s="55"/>
      <c r="E282" s="1380"/>
      <c r="F282" s="55" t="s">
        <v>2084</v>
      </c>
      <c r="G282" s="761">
        <v>535592.84400000004</v>
      </c>
      <c r="H282" s="761">
        <v>3557208.16</v>
      </c>
      <c r="I282" s="905"/>
      <c r="J282" s="906">
        <f>J280+1</f>
        <v>139</v>
      </c>
      <c r="K282" s="55" t="s">
        <v>2083</v>
      </c>
      <c r="L282" s="55" t="s">
        <v>1939</v>
      </c>
      <c r="M282" s="908"/>
      <c r="N282" s="908"/>
      <c r="O282" s="908"/>
      <c r="P282" s="908"/>
      <c r="Q282" s="908"/>
      <c r="R282" s="908"/>
      <c r="S282" s="908"/>
      <c r="T282" s="908"/>
      <c r="U282" s="760"/>
      <c r="V282" s="1378"/>
      <c r="W282" s="759">
        <v>245.26400000000001</v>
      </c>
      <c r="X282" s="55" t="s">
        <v>2085</v>
      </c>
      <c r="Y282" s="760">
        <v>535592.84400000004</v>
      </c>
      <c r="Z282" s="760">
        <v>3557208.16</v>
      </c>
      <c r="AA282" s="766"/>
    </row>
    <row r="283" spans="1:27">
      <c r="A283" s="908"/>
      <c r="B283" s="55"/>
      <c r="C283" s="55"/>
      <c r="D283" s="55">
        <v>393.08</v>
      </c>
      <c r="E283" s="1380">
        <f>D283+D285</f>
        <v>788.03899999999999</v>
      </c>
      <c r="F283" s="55"/>
      <c r="G283" s="761"/>
      <c r="H283" s="761"/>
      <c r="I283" s="905"/>
      <c r="J283" s="908"/>
      <c r="K283" s="55"/>
      <c r="L283" s="55"/>
      <c r="M283" s="908"/>
      <c r="N283" s="908"/>
      <c r="O283" s="908"/>
      <c r="P283" s="908"/>
      <c r="Q283" s="908"/>
      <c r="R283" s="908"/>
      <c r="S283" s="908"/>
      <c r="T283" s="908"/>
      <c r="U283" s="760">
        <v>423.08100000000002</v>
      </c>
      <c r="V283" s="1378">
        <f>U283+U285</f>
        <v>788.03899999999999</v>
      </c>
      <c r="W283" s="759"/>
      <c r="X283" s="55"/>
      <c r="Y283" s="758"/>
      <c r="Z283" s="758"/>
      <c r="AA283" s="766" t="s">
        <v>2086</v>
      </c>
    </row>
    <row r="284" spans="1:27">
      <c r="A284" s="906">
        <f>A282+1</f>
        <v>140</v>
      </c>
      <c r="B284" s="55" t="s">
        <v>401</v>
      </c>
      <c r="C284" s="55" t="s">
        <v>53</v>
      </c>
      <c r="D284" s="55"/>
      <c r="E284" s="1380"/>
      <c r="F284" s="55"/>
      <c r="G284" s="761">
        <v>535635.66799999995</v>
      </c>
      <c r="H284" s="761">
        <v>3556817.4190000002</v>
      </c>
      <c r="I284" s="905"/>
      <c r="J284" s="906">
        <f>J282+1</f>
        <v>140</v>
      </c>
      <c r="K284" s="55" t="s">
        <v>401</v>
      </c>
      <c r="L284" s="55" t="s">
        <v>62</v>
      </c>
      <c r="M284" s="908"/>
      <c r="N284" s="908"/>
      <c r="O284" s="908"/>
      <c r="P284" s="908"/>
      <c r="Q284" s="908"/>
      <c r="R284" s="908"/>
      <c r="S284" s="908"/>
      <c r="T284" s="908"/>
      <c r="U284" s="760"/>
      <c r="V284" s="1378"/>
      <c r="W284" s="759">
        <v>245.75899999999999</v>
      </c>
      <c r="X284" s="55"/>
      <c r="Y284" s="760">
        <v>535638.93599999999</v>
      </c>
      <c r="Z284" s="760">
        <v>3556787.5970000001</v>
      </c>
      <c r="AA284" s="766"/>
    </row>
    <row r="285" spans="1:27">
      <c r="A285" s="908"/>
      <c r="B285" s="55"/>
      <c r="C285" s="55"/>
      <c r="D285" s="55">
        <v>394.959</v>
      </c>
      <c r="E285" s="1380"/>
      <c r="F285" s="55"/>
      <c r="G285" s="761"/>
      <c r="H285" s="761"/>
      <c r="I285" s="905"/>
      <c r="J285" s="908"/>
      <c r="K285" s="55"/>
      <c r="L285" s="55"/>
      <c r="M285" s="908"/>
      <c r="N285" s="908"/>
      <c r="O285" s="908"/>
      <c r="P285" s="908"/>
      <c r="Q285" s="908"/>
      <c r="R285" s="908"/>
      <c r="S285" s="908"/>
      <c r="T285" s="908"/>
      <c r="U285" s="760">
        <v>364.95800000000003</v>
      </c>
      <c r="V285" s="1378"/>
      <c r="W285" s="759"/>
      <c r="X285" s="55"/>
      <c r="Y285" s="758"/>
      <c r="Z285" s="758"/>
      <c r="AA285" s="766" t="s">
        <v>2087</v>
      </c>
    </row>
    <row r="286" spans="1:27">
      <c r="A286" s="906">
        <f>A284+1</f>
        <v>141</v>
      </c>
      <c r="B286" s="55" t="s">
        <v>2088</v>
      </c>
      <c r="C286" s="55" t="s">
        <v>1938</v>
      </c>
      <c r="D286" s="55"/>
      <c r="E286" s="1380">
        <f>D287+D289</f>
        <v>757.57500000000005</v>
      </c>
      <c r="F286" s="55" t="s">
        <v>2089</v>
      </c>
      <c r="G286" s="761">
        <v>535678.696</v>
      </c>
      <c r="H286" s="761">
        <v>3556424.8110000002</v>
      </c>
      <c r="I286" s="905"/>
      <c r="J286" s="906">
        <f>J284+1</f>
        <v>141</v>
      </c>
      <c r="K286" s="55" t="s">
        <v>2088</v>
      </c>
      <c r="L286" s="55" t="s">
        <v>1938</v>
      </c>
      <c r="M286" s="908"/>
      <c r="N286" s="908"/>
      <c r="O286" s="908"/>
      <c r="P286" s="908"/>
      <c r="Q286" s="908"/>
      <c r="R286" s="908"/>
      <c r="S286" s="908"/>
      <c r="T286" s="908"/>
      <c r="U286" s="760"/>
      <c r="V286" s="1378">
        <f>U287+U289</f>
        <v>757.57500000000005</v>
      </c>
      <c r="W286" s="759">
        <v>245.81899999999999</v>
      </c>
      <c r="X286" s="55" t="s">
        <v>2090</v>
      </c>
      <c r="Y286" s="760">
        <v>535678.696</v>
      </c>
      <c r="Z286" s="760">
        <v>3556424.8110000002</v>
      </c>
      <c r="AA286" s="766"/>
    </row>
    <row r="287" spans="1:27">
      <c r="A287" s="908"/>
      <c r="B287" s="55"/>
      <c r="C287" s="55"/>
      <c r="D287" s="55">
        <v>380.94900000000001</v>
      </c>
      <c r="E287" s="1380"/>
      <c r="F287" s="55"/>
      <c r="G287" s="761"/>
      <c r="H287" s="761"/>
      <c r="I287" s="905"/>
      <c r="J287" s="908"/>
      <c r="K287" s="55"/>
      <c r="L287" s="55"/>
      <c r="M287" s="908"/>
      <c r="N287" s="908"/>
      <c r="O287" s="908"/>
      <c r="P287" s="908"/>
      <c r="Q287" s="908"/>
      <c r="R287" s="908"/>
      <c r="S287" s="908"/>
      <c r="T287" s="908"/>
      <c r="U287" s="760">
        <v>380.94900000000001</v>
      </c>
      <c r="V287" s="1378"/>
      <c r="W287" s="759"/>
      <c r="X287" s="55"/>
      <c r="Y287" s="758"/>
      <c r="Z287" s="758"/>
      <c r="AA287" s="766" t="s">
        <v>2091</v>
      </c>
    </row>
    <row r="288" spans="1:27">
      <c r="A288" s="906">
        <f>A286+1</f>
        <v>142</v>
      </c>
      <c r="B288" s="55" t="s">
        <v>219</v>
      </c>
      <c r="C288" s="55" t="s">
        <v>76</v>
      </c>
      <c r="D288" s="55"/>
      <c r="E288" s="1380"/>
      <c r="F288" s="55" t="s">
        <v>2092</v>
      </c>
      <c r="G288" s="761">
        <v>535775.66099999996</v>
      </c>
      <c r="H288" s="761">
        <v>3556056.409</v>
      </c>
      <c r="I288" s="905"/>
      <c r="J288" s="906">
        <f>J286+1</f>
        <v>142</v>
      </c>
      <c r="K288" s="55" t="s">
        <v>219</v>
      </c>
      <c r="L288" s="55" t="s">
        <v>76</v>
      </c>
      <c r="M288" s="908"/>
      <c r="N288" s="908"/>
      <c r="O288" s="908"/>
      <c r="P288" s="908"/>
      <c r="Q288" s="908"/>
      <c r="R288" s="908"/>
      <c r="S288" s="908"/>
      <c r="T288" s="908"/>
      <c r="U288" s="760"/>
      <c r="V288" s="1378"/>
      <c r="W288" s="759">
        <v>245.47800000000001</v>
      </c>
      <c r="X288" s="55"/>
      <c r="Y288" s="760">
        <v>535775.66099999996</v>
      </c>
      <c r="Z288" s="760">
        <v>3556056.409</v>
      </c>
      <c r="AA288" s="766"/>
    </row>
    <row r="289" spans="1:27">
      <c r="A289" s="908"/>
      <c r="B289" s="55"/>
      <c r="C289" s="55"/>
      <c r="D289" s="55">
        <v>376.62599999999998</v>
      </c>
      <c r="E289" s="1380"/>
      <c r="F289" s="55"/>
      <c r="G289" s="761"/>
      <c r="H289" s="761"/>
      <c r="I289" s="905"/>
      <c r="J289" s="908"/>
      <c r="K289" s="55"/>
      <c r="L289" s="55"/>
      <c r="M289" s="908"/>
      <c r="N289" s="908"/>
      <c r="O289" s="908"/>
      <c r="P289" s="908"/>
      <c r="Q289" s="908"/>
      <c r="R289" s="908"/>
      <c r="S289" s="908"/>
      <c r="T289" s="908"/>
      <c r="U289" s="760">
        <v>376.62599999999998</v>
      </c>
      <c r="V289" s="1378"/>
      <c r="W289" s="759"/>
      <c r="X289" s="55"/>
      <c r="Y289" s="758"/>
      <c r="Z289" s="758"/>
      <c r="AA289" s="766" t="s">
        <v>2093</v>
      </c>
    </row>
    <row r="290" spans="1:27">
      <c r="A290" s="906">
        <f>A288+1</f>
        <v>143</v>
      </c>
      <c r="B290" s="55" t="s">
        <v>2094</v>
      </c>
      <c r="C290" s="55" t="s">
        <v>1277</v>
      </c>
      <c r="D290" s="55"/>
      <c r="E290" s="1380">
        <f>D291+D293</f>
        <v>547.97500000000002</v>
      </c>
      <c r="F290" s="765" t="s">
        <v>2092</v>
      </c>
      <c r="G290" s="761">
        <v>535871.52500000002</v>
      </c>
      <c r="H290" s="761">
        <v>3555692.1880000001</v>
      </c>
      <c r="I290" s="905"/>
      <c r="J290" s="906">
        <f>J288+1</f>
        <v>143</v>
      </c>
      <c r="K290" s="55" t="s">
        <v>2094</v>
      </c>
      <c r="L290" s="55" t="s">
        <v>1277</v>
      </c>
      <c r="M290" s="908"/>
      <c r="N290" s="908"/>
      <c r="O290" s="908"/>
      <c r="P290" s="908"/>
      <c r="Q290" s="908"/>
      <c r="R290" s="908"/>
      <c r="S290" s="908"/>
      <c r="T290" s="908"/>
      <c r="U290" s="760"/>
      <c r="V290" s="1378">
        <f>U291+U293</f>
        <v>563.91899999999998</v>
      </c>
      <c r="W290" s="759">
        <v>245.25200000000001</v>
      </c>
      <c r="X290" s="55" t="s">
        <v>2095</v>
      </c>
      <c r="Y290" s="760">
        <v>535871.52500000002</v>
      </c>
      <c r="Z290" s="760">
        <v>3555692.1880000001</v>
      </c>
      <c r="AA290" s="766"/>
    </row>
    <row r="291" spans="1:27">
      <c r="A291" s="908"/>
      <c r="B291" s="55"/>
      <c r="C291" s="55"/>
      <c r="D291" s="55">
        <v>299.10899999999998</v>
      </c>
      <c r="E291" s="1380"/>
      <c r="F291" s="765"/>
      <c r="G291" s="761"/>
      <c r="H291" s="761"/>
      <c r="I291" s="905"/>
      <c r="J291" s="908"/>
      <c r="K291" s="55"/>
      <c r="L291" s="55"/>
      <c r="M291" s="908"/>
      <c r="N291" s="908"/>
      <c r="O291" s="908"/>
      <c r="P291" s="908"/>
      <c r="Q291" s="908"/>
      <c r="R291" s="908"/>
      <c r="S291" s="908"/>
      <c r="T291" s="908"/>
      <c r="U291" s="760">
        <v>299.077</v>
      </c>
      <c r="V291" s="1378"/>
      <c r="W291" s="759"/>
      <c r="X291" s="55"/>
      <c r="Y291" s="758"/>
      <c r="Z291" s="758"/>
      <c r="AA291" s="766" t="s">
        <v>2091</v>
      </c>
    </row>
    <row r="292" spans="1:27">
      <c r="A292" s="906">
        <f>A290+1</f>
        <v>144</v>
      </c>
      <c r="B292" s="55" t="s">
        <v>170</v>
      </c>
      <c r="C292" s="55" t="s">
        <v>76</v>
      </c>
      <c r="D292" s="55"/>
      <c r="E292" s="1380"/>
      <c r="F292" s="765"/>
      <c r="G292" s="761">
        <v>535834.95400000003</v>
      </c>
      <c r="H292" s="761">
        <v>3555395.3229999999</v>
      </c>
      <c r="I292" s="905"/>
      <c r="J292" s="906">
        <f>J290+1</f>
        <v>144</v>
      </c>
      <c r="K292" s="55" t="s">
        <v>170</v>
      </c>
      <c r="L292" s="55" t="s">
        <v>76</v>
      </c>
      <c r="M292" s="908"/>
      <c r="N292" s="908"/>
      <c r="O292" s="908"/>
      <c r="P292" s="908"/>
      <c r="Q292" s="908"/>
      <c r="R292" s="908"/>
      <c r="S292" s="908"/>
      <c r="T292" s="908"/>
      <c r="U292" s="760"/>
      <c r="V292" s="1378"/>
      <c r="W292" s="759">
        <v>245.05</v>
      </c>
      <c r="X292" s="55"/>
      <c r="Y292" s="760">
        <v>535834.22199999995</v>
      </c>
      <c r="Z292" s="760">
        <v>3555395.446</v>
      </c>
      <c r="AA292" s="766"/>
    </row>
    <row r="293" spans="1:27">
      <c r="A293" s="908"/>
      <c r="B293" s="55"/>
      <c r="C293" s="55"/>
      <c r="D293" s="55">
        <v>248.86600000000001</v>
      </c>
      <c r="E293" s="1380"/>
      <c r="F293" s="765"/>
      <c r="G293" s="761"/>
      <c r="H293" s="761"/>
      <c r="I293" s="905"/>
      <c r="J293" s="908"/>
      <c r="K293" s="55"/>
      <c r="L293" s="55"/>
      <c r="M293" s="908"/>
      <c r="N293" s="908"/>
      <c r="O293" s="908"/>
      <c r="P293" s="908"/>
      <c r="Q293" s="908"/>
      <c r="R293" s="908"/>
      <c r="S293" s="908"/>
      <c r="T293" s="908"/>
      <c r="U293" s="760">
        <v>264.84199999999998</v>
      </c>
      <c r="V293" s="1378"/>
      <c r="W293" s="759"/>
      <c r="X293" s="55"/>
      <c r="Y293" s="758"/>
      <c r="Z293" s="758"/>
      <c r="AA293" s="766" t="s">
        <v>2096</v>
      </c>
    </row>
    <row r="294" spans="1:27">
      <c r="A294" s="906">
        <f>A292+1</f>
        <v>145</v>
      </c>
      <c r="B294" s="55" t="s">
        <v>2097</v>
      </c>
      <c r="C294" s="55" t="s">
        <v>1269</v>
      </c>
      <c r="D294" s="55"/>
      <c r="E294" s="1380">
        <f>D295+D297+D299</f>
        <v>1097.2359999999999</v>
      </c>
      <c r="F294" s="765" t="s">
        <v>2098</v>
      </c>
      <c r="G294" s="761">
        <v>535804.52500000002</v>
      </c>
      <c r="H294" s="761">
        <v>3555148.324</v>
      </c>
      <c r="I294" s="905"/>
      <c r="J294" s="906">
        <f>J292+1</f>
        <v>145</v>
      </c>
      <c r="K294" s="55" t="s">
        <v>2097</v>
      </c>
      <c r="L294" s="55" t="s">
        <v>1269</v>
      </c>
      <c r="M294" s="908"/>
      <c r="N294" s="908"/>
      <c r="O294" s="908"/>
      <c r="P294" s="908"/>
      <c r="Q294" s="908"/>
      <c r="R294" s="908"/>
      <c r="S294" s="908"/>
      <c r="T294" s="908"/>
      <c r="U294" s="760"/>
      <c r="V294" s="1378">
        <f>U295+U297+U299</f>
        <v>1081.2330000000002</v>
      </c>
      <c r="W294" s="759">
        <v>244.83</v>
      </c>
      <c r="X294" s="55" t="s">
        <v>2099</v>
      </c>
      <c r="Y294" s="760">
        <v>535801.18799999997</v>
      </c>
      <c r="Z294" s="760">
        <v>3555132.673</v>
      </c>
      <c r="AA294" s="766"/>
    </row>
    <row r="295" spans="1:27">
      <c r="A295" s="908"/>
      <c r="B295" s="55"/>
      <c r="C295" s="55"/>
      <c r="D295" s="55">
        <v>380.06799999999998</v>
      </c>
      <c r="E295" s="1380"/>
      <c r="F295" s="765"/>
      <c r="G295" s="761"/>
      <c r="H295" s="761"/>
      <c r="I295" s="905"/>
      <c r="J295" s="908"/>
      <c r="K295" s="55"/>
      <c r="L295" s="55"/>
      <c r="M295" s="908"/>
      <c r="N295" s="908"/>
      <c r="O295" s="908"/>
      <c r="P295" s="908"/>
      <c r="Q295" s="908"/>
      <c r="R295" s="908"/>
      <c r="S295" s="908"/>
      <c r="T295" s="908"/>
      <c r="U295" s="760">
        <v>364.06400000000002</v>
      </c>
      <c r="V295" s="1378"/>
      <c r="W295" s="759"/>
      <c r="X295" s="55"/>
      <c r="Y295" s="758"/>
      <c r="Z295" s="758"/>
      <c r="AA295" s="766" t="s">
        <v>2100</v>
      </c>
    </row>
    <row r="296" spans="1:27">
      <c r="A296" s="906">
        <f>A294+1</f>
        <v>146</v>
      </c>
      <c r="B296" s="55" t="s">
        <v>229</v>
      </c>
      <c r="C296" s="55" t="s">
        <v>76</v>
      </c>
      <c r="D296" s="55"/>
      <c r="E296" s="1380"/>
      <c r="F296" s="765"/>
      <c r="G296" s="761">
        <v>535725.26500000001</v>
      </c>
      <c r="H296" s="761">
        <v>3554776.6129999999</v>
      </c>
      <c r="I296" s="905"/>
      <c r="J296" s="906">
        <f>J294+1</f>
        <v>146</v>
      </c>
      <c r="K296" s="55" t="s">
        <v>229</v>
      </c>
      <c r="L296" s="55" t="s">
        <v>76</v>
      </c>
      <c r="M296" s="908"/>
      <c r="N296" s="908"/>
      <c r="O296" s="908"/>
      <c r="P296" s="908"/>
      <c r="Q296" s="908"/>
      <c r="R296" s="908"/>
      <c r="S296" s="908"/>
      <c r="T296" s="908"/>
      <c r="U296" s="760"/>
      <c r="V296" s="1378"/>
      <c r="W296" s="759">
        <v>244.34700000000001</v>
      </c>
      <c r="X296" s="55"/>
      <c r="Y296" s="760">
        <v>535725.26500000001</v>
      </c>
      <c r="Z296" s="760">
        <v>3554776.6129999999</v>
      </c>
      <c r="AA296" s="766"/>
    </row>
    <row r="297" spans="1:27">
      <c r="A297" s="908"/>
      <c r="B297" s="55"/>
      <c r="C297" s="55"/>
      <c r="D297" s="55">
        <v>319.18400000000003</v>
      </c>
      <c r="E297" s="1380"/>
      <c r="F297" s="765"/>
      <c r="G297" s="761"/>
      <c r="H297" s="761"/>
      <c r="I297" s="905"/>
      <c r="J297" s="908"/>
      <c r="K297" s="55"/>
      <c r="L297" s="55"/>
      <c r="M297" s="908"/>
      <c r="N297" s="908"/>
      <c r="O297" s="908"/>
      <c r="P297" s="908"/>
      <c r="Q297" s="908"/>
      <c r="R297" s="908"/>
      <c r="S297" s="908"/>
      <c r="T297" s="908"/>
      <c r="U297" s="760">
        <v>319.18400000000003</v>
      </c>
      <c r="V297" s="1378"/>
      <c r="W297" s="759"/>
      <c r="X297" s="55"/>
      <c r="Y297" s="758"/>
      <c r="Z297" s="758"/>
      <c r="AA297" s="766" t="s">
        <v>2091</v>
      </c>
    </row>
    <row r="298" spans="1:27">
      <c r="A298" s="906">
        <f>A296+1</f>
        <v>147</v>
      </c>
      <c r="B298" s="55" t="s">
        <v>106</v>
      </c>
      <c r="C298" s="55" t="s">
        <v>76</v>
      </c>
      <c r="D298" s="55"/>
      <c r="E298" s="1380"/>
      <c r="F298" s="765"/>
      <c r="G298" s="761">
        <v>535658.701</v>
      </c>
      <c r="H298" s="761">
        <v>3554464.4470000002</v>
      </c>
      <c r="I298" s="905"/>
      <c r="J298" s="906">
        <f>J296+1</f>
        <v>147</v>
      </c>
      <c r="K298" s="55" t="s">
        <v>106</v>
      </c>
      <c r="L298" s="55" t="s">
        <v>76</v>
      </c>
      <c r="M298" s="908"/>
      <c r="N298" s="908"/>
      <c r="O298" s="908"/>
      <c r="P298" s="908"/>
      <c r="Q298" s="908"/>
      <c r="R298" s="908"/>
      <c r="S298" s="908"/>
      <c r="T298" s="908"/>
      <c r="U298" s="760"/>
      <c r="V298" s="1378"/>
      <c r="W298" s="759">
        <v>244.154</v>
      </c>
      <c r="X298" s="55"/>
      <c r="Y298" s="760">
        <v>535658.701</v>
      </c>
      <c r="Z298" s="760">
        <v>3554464.4470000002</v>
      </c>
      <c r="AA298" s="912"/>
    </row>
    <row r="299" spans="1:27">
      <c r="A299" s="908"/>
      <c r="B299" s="55"/>
      <c r="C299" s="55"/>
      <c r="D299" s="55">
        <v>397.98399999999998</v>
      </c>
      <c r="E299" s="1380"/>
      <c r="F299" s="765"/>
      <c r="G299" s="761"/>
      <c r="H299" s="761"/>
      <c r="I299" s="905"/>
      <c r="J299" s="908"/>
      <c r="K299" s="55"/>
      <c r="L299" s="55"/>
      <c r="M299" s="908"/>
      <c r="N299" s="908"/>
      <c r="O299" s="908"/>
      <c r="P299" s="908"/>
      <c r="Q299" s="908"/>
      <c r="R299" s="908"/>
      <c r="S299" s="908"/>
      <c r="T299" s="908"/>
      <c r="U299" s="760">
        <v>397.98500000000001</v>
      </c>
      <c r="V299" s="1378"/>
      <c r="W299" s="759"/>
      <c r="X299" s="55"/>
      <c r="Y299" s="758"/>
      <c r="Z299" s="758"/>
      <c r="AA299" s="766" t="s">
        <v>2101</v>
      </c>
    </row>
    <row r="300" spans="1:27">
      <c r="A300" s="906">
        <f>A298+1</f>
        <v>148</v>
      </c>
      <c r="B300" s="55" t="s">
        <v>2102</v>
      </c>
      <c r="C300" s="55" t="s">
        <v>1981</v>
      </c>
      <c r="D300" s="55"/>
      <c r="E300" s="1380">
        <v>450.85899999999998</v>
      </c>
      <c r="F300" s="55" t="s">
        <v>2103</v>
      </c>
      <c r="G300" s="761">
        <v>535575.70400000003</v>
      </c>
      <c r="H300" s="761">
        <v>3554075.213</v>
      </c>
      <c r="I300" s="905"/>
      <c r="J300" s="906">
        <f>J298+1</f>
        <v>148</v>
      </c>
      <c r="K300" s="55" t="s">
        <v>2102</v>
      </c>
      <c r="L300" s="55" t="s">
        <v>1981</v>
      </c>
      <c r="M300" s="908"/>
      <c r="N300" s="908"/>
      <c r="O300" s="908"/>
      <c r="P300" s="908"/>
      <c r="Q300" s="908"/>
      <c r="R300" s="908"/>
      <c r="S300" s="908"/>
      <c r="T300" s="908"/>
      <c r="U300" s="760"/>
      <c r="V300" s="1378">
        <v>450.85899999999998</v>
      </c>
      <c r="W300" s="759">
        <v>244.07400000000001</v>
      </c>
      <c r="X300" s="55" t="s">
        <v>2104</v>
      </c>
      <c r="Y300" s="760">
        <v>535575.70400000003</v>
      </c>
      <c r="Z300" s="760">
        <v>3554075.213</v>
      </c>
      <c r="AA300" s="766"/>
    </row>
    <row r="301" spans="1:27">
      <c r="A301" s="908"/>
      <c r="B301" s="55"/>
      <c r="C301" s="55"/>
      <c r="D301" s="55">
        <v>450.85899999999998</v>
      </c>
      <c r="E301" s="1380"/>
      <c r="F301" s="765"/>
      <c r="G301" s="761"/>
      <c r="H301" s="761"/>
      <c r="I301" s="905"/>
      <c r="J301" s="908"/>
      <c r="K301" s="55"/>
      <c r="L301" s="55"/>
      <c r="M301" s="908"/>
      <c r="N301" s="908"/>
      <c r="O301" s="908"/>
      <c r="P301" s="908"/>
      <c r="Q301" s="908"/>
      <c r="R301" s="908"/>
      <c r="S301" s="908"/>
      <c r="T301" s="908"/>
      <c r="U301" s="760">
        <v>450.85899999999998</v>
      </c>
      <c r="V301" s="1378"/>
      <c r="W301" s="759"/>
      <c r="X301" s="55"/>
      <c r="Y301" s="758"/>
      <c r="Z301" s="758"/>
      <c r="AA301" s="766" t="s">
        <v>2105</v>
      </c>
    </row>
    <row r="302" spans="1:27">
      <c r="A302" s="906">
        <f>A300+1</f>
        <v>149</v>
      </c>
      <c r="B302" s="55" t="s">
        <v>2106</v>
      </c>
      <c r="C302" s="55" t="s">
        <v>1957</v>
      </c>
      <c r="D302" s="55"/>
      <c r="E302" s="1380"/>
      <c r="F302" s="765" t="s">
        <v>2107</v>
      </c>
      <c r="G302" s="761">
        <v>535578.74300000002</v>
      </c>
      <c r="H302" s="761">
        <v>3553624.3640000001</v>
      </c>
      <c r="I302" s="905"/>
      <c r="J302" s="906">
        <f>J300+1</f>
        <v>149</v>
      </c>
      <c r="K302" s="55" t="s">
        <v>2106</v>
      </c>
      <c r="L302" s="55" t="s">
        <v>1957</v>
      </c>
      <c r="M302" s="908"/>
      <c r="N302" s="908"/>
      <c r="O302" s="908"/>
      <c r="P302" s="908"/>
      <c r="Q302" s="908"/>
      <c r="R302" s="908"/>
      <c r="S302" s="908"/>
      <c r="T302" s="908"/>
      <c r="U302" s="760"/>
      <c r="V302" s="1378"/>
      <c r="W302" s="759">
        <v>243.572</v>
      </c>
      <c r="X302" s="55" t="s">
        <v>2108</v>
      </c>
      <c r="Y302" s="760">
        <v>535578.74300000002</v>
      </c>
      <c r="Z302" s="760">
        <v>3553624.3640000001</v>
      </c>
      <c r="AA302" s="766"/>
    </row>
    <row r="303" spans="1:27">
      <c r="A303" s="908"/>
      <c r="B303" s="55"/>
      <c r="C303" s="55"/>
      <c r="D303" s="55">
        <v>326.47800000000001</v>
      </c>
      <c r="E303" s="1380">
        <f>D303+D305</f>
        <v>602.84100000000001</v>
      </c>
      <c r="F303" s="55"/>
      <c r="G303" s="761"/>
      <c r="H303" s="761"/>
      <c r="I303" s="905"/>
      <c r="J303" s="908"/>
      <c r="K303" s="55"/>
      <c r="L303" s="55"/>
      <c r="M303" s="908"/>
      <c r="N303" s="908"/>
      <c r="O303" s="908"/>
      <c r="P303" s="908"/>
      <c r="Q303" s="908"/>
      <c r="R303" s="908"/>
      <c r="S303" s="908"/>
      <c r="T303" s="908"/>
      <c r="U303" s="760">
        <v>326.47699999999998</v>
      </c>
      <c r="V303" s="1378">
        <f>U303+U305</f>
        <v>602.83999999999992</v>
      </c>
      <c r="W303" s="759"/>
      <c r="X303" s="55"/>
      <c r="Y303" s="758"/>
      <c r="Z303" s="758"/>
      <c r="AA303" s="766"/>
    </row>
    <row r="304" spans="1:27">
      <c r="A304" s="906">
        <f>A302+1</f>
        <v>150</v>
      </c>
      <c r="B304" s="55" t="s">
        <v>144</v>
      </c>
      <c r="C304" s="55" t="s">
        <v>76</v>
      </c>
      <c r="D304" s="55"/>
      <c r="E304" s="1380"/>
      <c r="F304" s="55"/>
      <c r="G304" s="761">
        <v>535484.46100000001</v>
      </c>
      <c r="H304" s="761">
        <v>3553311.7960000001</v>
      </c>
      <c r="I304" s="905"/>
      <c r="J304" s="906">
        <f>J302+1</f>
        <v>150</v>
      </c>
      <c r="K304" s="55" t="s">
        <v>144</v>
      </c>
      <c r="L304" s="55" t="s">
        <v>76</v>
      </c>
      <c r="M304" s="908"/>
      <c r="N304" s="908"/>
      <c r="O304" s="908"/>
      <c r="P304" s="908"/>
      <c r="Q304" s="908"/>
      <c r="R304" s="908"/>
      <c r="S304" s="908"/>
      <c r="T304" s="908"/>
      <c r="U304" s="760"/>
      <c r="V304" s="1378"/>
      <c r="W304" s="759">
        <v>243.96299999999999</v>
      </c>
      <c r="X304" s="55"/>
      <c r="Y304" s="760">
        <v>535484.46100000001</v>
      </c>
      <c r="Z304" s="760">
        <v>3553311.7969999998</v>
      </c>
      <c r="AA304" s="766"/>
    </row>
    <row r="305" spans="1:27">
      <c r="A305" s="908"/>
      <c r="B305" s="55"/>
      <c r="C305" s="55"/>
      <c r="D305" s="55">
        <v>276.363</v>
      </c>
      <c r="E305" s="1380"/>
      <c r="F305" s="55"/>
      <c r="G305" s="761"/>
      <c r="H305" s="761"/>
      <c r="I305" s="905"/>
      <c r="J305" s="908"/>
      <c r="K305" s="55"/>
      <c r="L305" s="55"/>
      <c r="M305" s="908"/>
      <c r="N305" s="908"/>
      <c r="O305" s="908"/>
      <c r="P305" s="908"/>
      <c r="Q305" s="908"/>
      <c r="R305" s="908"/>
      <c r="S305" s="908"/>
      <c r="T305" s="908"/>
      <c r="U305" s="760">
        <v>276.363</v>
      </c>
      <c r="V305" s="1378"/>
      <c r="W305" s="759"/>
      <c r="X305" s="55"/>
      <c r="Y305" s="758"/>
      <c r="Z305" s="758"/>
      <c r="AA305" s="766" t="s">
        <v>2109</v>
      </c>
    </row>
    <row r="306" spans="1:27">
      <c r="A306" s="906">
        <f>A304+1</f>
        <v>151</v>
      </c>
      <c r="B306" s="55" t="s">
        <v>2110</v>
      </c>
      <c r="C306" s="758" t="s">
        <v>1269</v>
      </c>
      <c r="D306" s="55"/>
      <c r="E306" s="1380"/>
      <c r="F306" s="55" t="s">
        <v>2111</v>
      </c>
      <c r="G306" s="760">
        <v>535404.652</v>
      </c>
      <c r="H306" s="760">
        <v>3553047.2080000001</v>
      </c>
      <c r="I306" s="905"/>
      <c r="J306" s="906">
        <f>J304+1</f>
        <v>151</v>
      </c>
      <c r="K306" s="55" t="s">
        <v>2110</v>
      </c>
      <c r="L306" s="758" t="s">
        <v>1269</v>
      </c>
      <c r="M306" s="908"/>
      <c r="N306" s="908"/>
      <c r="O306" s="908"/>
      <c r="P306" s="908"/>
      <c r="Q306" s="908"/>
      <c r="R306" s="908"/>
      <c r="S306" s="908"/>
      <c r="T306" s="908"/>
      <c r="U306" s="760"/>
      <c r="V306" s="1378"/>
      <c r="W306" s="759">
        <v>243.196</v>
      </c>
      <c r="X306" s="55" t="s">
        <v>2112</v>
      </c>
      <c r="Y306" s="760">
        <v>535404.652</v>
      </c>
      <c r="Z306" s="760">
        <v>3553047.2080000001</v>
      </c>
      <c r="AA306" s="766"/>
    </row>
    <row r="307" spans="1:27">
      <c r="A307" s="908"/>
      <c r="B307" s="55"/>
      <c r="C307" s="758"/>
      <c r="D307" s="55">
        <v>307.21600000000001</v>
      </c>
      <c r="E307" s="1379">
        <f>D307+D309+D311+D313+D315+D317</f>
        <v>2228.4919999999997</v>
      </c>
      <c r="F307" s="55"/>
      <c r="G307" s="760"/>
      <c r="H307" s="760"/>
      <c r="I307" s="905"/>
      <c r="J307" s="908"/>
      <c r="K307" s="55"/>
      <c r="L307" s="758"/>
      <c r="M307" s="908"/>
      <c r="N307" s="908"/>
      <c r="O307" s="908"/>
      <c r="P307" s="908"/>
      <c r="Q307" s="908"/>
      <c r="R307" s="908"/>
      <c r="S307" s="908"/>
      <c r="T307" s="908"/>
      <c r="U307" s="760">
        <v>307.21600000000001</v>
      </c>
      <c r="V307" s="1378">
        <f>U307+U309+U311+U313+U315+U317</f>
        <v>2228.4919999999997</v>
      </c>
      <c r="W307" s="759"/>
      <c r="X307" s="55"/>
      <c r="Y307" s="758"/>
      <c r="Z307" s="758"/>
      <c r="AA307" s="766" t="s">
        <v>2070</v>
      </c>
    </row>
    <row r="308" spans="1:27">
      <c r="A308" s="906">
        <f>A306+1</f>
        <v>152</v>
      </c>
      <c r="B308" s="55" t="s">
        <v>251</v>
      </c>
      <c r="C308" s="758" t="s">
        <v>76</v>
      </c>
      <c r="D308" s="55"/>
      <c r="E308" s="1379"/>
      <c r="F308" s="55"/>
      <c r="G308" s="760">
        <v>535253.78200000001</v>
      </c>
      <c r="H308" s="760">
        <v>3552779.5890000002</v>
      </c>
      <c r="I308" s="905"/>
      <c r="J308" s="906">
        <f>J306+1</f>
        <v>152</v>
      </c>
      <c r="K308" s="55" t="s">
        <v>251</v>
      </c>
      <c r="L308" s="758" t="s">
        <v>76</v>
      </c>
      <c r="M308" s="908"/>
      <c r="N308" s="908"/>
      <c r="O308" s="908"/>
      <c r="P308" s="908"/>
      <c r="Q308" s="908"/>
      <c r="R308" s="908"/>
      <c r="S308" s="908"/>
      <c r="T308" s="908"/>
      <c r="U308" s="760"/>
      <c r="V308" s="1378"/>
      <c r="W308" s="759">
        <v>243.21799999999999</v>
      </c>
      <c r="X308" s="55"/>
      <c r="Y308" s="760">
        <v>535253.78200000001</v>
      </c>
      <c r="Z308" s="760">
        <v>3552779.5890000002</v>
      </c>
      <c r="AA308" s="766"/>
    </row>
    <row r="309" spans="1:27">
      <c r="A309" s="908"/>
      <c r="B309" s="55"/>
      <c r="C309" s="758"/>
      <c r="D309" s="55">
        <v>389.39699999999999</v>
      </c>
      <c r="E309" s="1379"/>
      <c r="F309" s="55"/>
      <c r="G309" s="760"/>
      <c r="H309" s="760"/>
      <c r="I309" s="905"/>
      <c r="J309" s="908"/>
      <c r="K309" s="55"/>
      <c r="L309" s="758"/>
      <c r="M309" s="908"/>
      <c r="N309" s="908"/>
      <c r="O309" s="908"/>
      <c r="P309" s="908"/>
      <c r="Q309" s="908"/>
      <c r="R309" s="908"/>
      <c r="S309" s="908"/>
      <c r="T309" s="908"/>
      <c r="U309" s="760">
        <v>389.39699999999999</v>
      </c>
      <c r="V309" s="1378"/>
      <c r="W309" s="759"/>
      <c r="X309" s="55"/>
      <c r="Y309" s="758"/>
      <c r="Z309" s="758"/>
      <c r="AA309" s="766" t="s">
        <v>2113</v>
      </c>
    </row>
    <row r="310" spans="1:27">
      <c r="A310" s="906">
        <f>A308+1</f>
        <v>153</v>
      </c>
      <c r="B310" s="55" t="s">
        <v>118</v>
      </c>
      <c r="C310" s="758" t="s">
        <v>53</v>
      </c>
      <c r="D310" s="55"/>
      <c r="E310" s="1379"/>
      <c r="F310" s="55"/>
      <c r="G310" s="760">
        <v>535062.55299999996</v>
      </c>
      <c r="H310" s="760">
        <v>3552440.3810000001</v>
      </c>
      <c r="I310" s="905"/>
      <c r="J310" s="906">
        <f>J308+1</f>
        <v>153</v>
      </c>
      <c r="K310" s="55" t="s">
        <v>118</v>
      </c>
      <c r="L310" s="758" t="s">
        <v>53</v>
      </c>
      <c r="M310" s="908"/>
      <c r="N310" s="908"/>
      <c r="O310" s="908"/>
      <c r="P310" s="908"/>
      <c r="Q310" s="908"/>
      <c r="R310" s="908"/>
      <c r="S310" s="908"/>
      <c r="T310" s="908"/>
      <c r="U310" s="760"/>
      <c r="V310" s="1378"/>
      <c r="W310" s="759">
        <v>242.83600000000001</v>
      </c>
      <c r="X310" s="55"/>
      <c r="Y310" s="760">
        <v>535062.554</v>
      </c>
      <c r="Z310" s="760">
        <v>3552440.3820000002</v>
      </c>
      <c r="AA310" s="766"/>
    </row>
    <row r="311" spans="1:27">
      <c r="A311" s="908"/>
      <c r="B311" s="55"/>
      <c r="C311" s="758"/>
      <c r="D311" s="55">
        <v>368.79199999999997</v>
      </c>
      <c r="E311" s="1379"/>
      <c r="F311" s="55"/>
      <c r="G311" s="760"/>
      <c r="H311" s="760"/>
      <c r="I311" s="905"/>
      <c r="J311" s="908"/>
      <c r="K311" s="55"/>
      <c r="L311" s="758"/>
      <c r="M311" s="908"/>
      <c r="N311" s="908"/>
      <c r="O311" s="908"/>
      <c r="P311" s="908"/>
      <c r="Q311" s="908"/>
      <c r="R311" s="908"/>
      <c r="S311" s="908"/>
      <c r="T311" s="908"/>
      <c r="U311" s="760">
        <v>368.79199999999997</v>
      </c>
      <c r="V311" s="1378"/>
      <c r="W311" s="759"/>
      <c r="X311" s="55"/>
      <c r="Y311" s="758"/>
      <c r="Z311" s="758"/>
      <c r="AA311" s="766" t="s">
        <v>2114</v>
      </c>
    </row>
    <row r="312" spans="1:27">
      <c r="A312" s="906">
        <f>A310+1</f>
        <v>154</v>
      </c>
      <c r="B312" s="55" t="s">
        <v>134</v>
      </c>
      <c r="C312" s="758" t="s">
        <v>76</v>
      </c>
      <c r="D312" s="55"/>
      <c r="E312" s="1379"/>
      <c r="F312" s="55"/>
      <c r="G312" s="760">
        <v>534881.44400000002</v>
      </c>
      <c r="H312" s="760">
        <v>3552119.1230000001</v>
      </c>
      <c r="I312" s="905"/>
      <c r="J312" s="906">
        <f>J310+1</f>
        <v>154</v>
      </c>
      <c r="K312" s="55" t="s">
        <v>134</v>
      </c>
      <c r="L312" s="758" t="s">
        <v>76</v>
      </c>
      <c r="M312" s="908"/>
      <c r="N312" s="908"/>
      <c r="O312" s="908"/>
      <c r="P312" s="908"/>
      <c r="Q312" s="908"/>
      <c r="R312" s="908"/>
      <c r="S312" s="908"/>
      <c r="T312" s="908"/>
      <c r="U312" s="760"/>
      <c r="V312" s="1378"/>
      <c r="W312" s="759">
        <v>242.40799999999999</v>
      </c>
      <c r="X312" s="55"/>
      <c r="Y312" s="760">
        <v>534881.44400000002</v>
      </c>
      <c r="Z312" s="760">
        <v>3552119.1230000001</v>
      </c>
      <c r="AA312" s="766"/>
    </row>
    <row r="313" spans="1:27">
      <c r="A313" s="908"/>
      <c r="B313" s="55"/>
      <c r="C313" s="758"/>
      <c r="D313" s="55">
        <v>404.38600000000002</v>
      </c>
      <c r="E313" s="1379"/>
      <c r="F313" s="55"/>
      <c r="G313" s="760"/>
      <c r="H313" s="760"/>
      <c r="I313" s="905"/>
      <c r="J313" s="908"/>
      <c r="K313" s="55"/>
      <c r="L313" s="758"/>
      <c r="M313" s="908"/>
      <c r="N313" s="908"/>
      <c r="O313" s="908"/>
      <c r="P313" s="908"/>
      <c r="Q313" s="908"/>
      <c r="R313" s="908"/>
      <c r="S313" s="908"/>
      <c r="T313" s="908"/>
      <c r="U313" s="760">
        <v>404.38600000000002</v>
      </c>
      <c r="V313" s="1378"/>
      <c r="W313" s="759"/>
      <c r="X313" s="55"/>
      <c r="Y313" s="758"/>
      <c r="Z313" s="758"/>
      <c r="AA313" s="766"/>
    </row>
    <row r="314" spans="1:27">
      <c r="A314" s="906">
        <f>A312+1</f>
        <v>155</v>
      </c>
      <c r="B314" s="55" t="s">
        <v>163</v>
      </c>
      <c r="C314" s="758" t="s">
        <v>62</v>
      </c>
      <c r="D314" s="55"/>
      <c r="E314" s="1379"/>
      <c r="F314" s="55"/>
      <c r="G314" s="760">
        <v>534682.85499999998</v>
      </c>
      <c r="H314" s="760">
        <v>3551766.858</v>
      </c>
      <c r="I314" s="905"/>
      <c r="J314" s="906">
        <f>J312+1</f>
        <v>155</v>
      </c>
      <c r="K314" s="55" t="s">
        <v>163</v>
      </c>
      <c r="L314" s="758" t="s">
        <v>62</v>
      </c>
      <c r="M314" s="908"/>
      <c r="N314" s="908"/>
      <c r="O314" s="908"/>
      <c r="P314" s="908"/>
      <c r="Q314" s="908"/>
      <c r="R314" s="908"/>
      <c r="S314" s="908"/>
      <c r="T314" s="908"/>
      <c r="U314" s="760"/>
      <c r="V314" s="1378"/>
      <c r="W314" s="759">
        <v>242.131</v>
      </c>
      <c r="X314" s="55"/>
      <c r="Y314" s="760">
        <v>534682.85499999998</v>
      </c>
      <c r="Z314" s="760">
        <v>3551766.858</v>
      </c>
      <c r="AA314" s="766"/>
    </row>
    <row r="315" spans="1:27">
      <c r="A315" s="908"/>
      <c r="B315" s="55"/>
      <c r="C315" s="758"/>
      <c r="D315" s="55">
        <v>378.13499999999999</v>
      </c>
      <c r="E315" s="1379"/>
      <c r="F315" s="55"/>
      <c r="G315" s="760"/>
      <c r="H315" s="760"/>
      <c r="I315" s="905"/>
      <c r="J315" s="908"/>
      <c r="K315" s="55"/>
      <c r="L315" s="758"/>
      <c r="M315" s="908"/>
      <c r="N315" s="908"/>
      <c r="O315" s="908"/>
      <c r="P315" s="908"/>
      <c r="Q315" s="908"/>
      <c r="R315" s="908"/>
      <c r="S315" s="908"/>
      <c r="T315" s="908"/>
      <c r="U315" s="760">
        <v>378.13499999999999</v>
      </c>
      <c r="V315" s="1378"/>
      <c r="W315" s="759"/>
      <c r="X315" s="55"/>
      <c r="Y315" s="758"/>
      <c r="Z315" s="758"/>
      <c r="AA315" s="766" t="s">
        <v>2115</v>
      </c>
    </row>
    <row r="316" spans="1:27">
      <c r="A316" s="906">
        <f>A314+1</f>
        <v>156</v>
      </c>
      <c r="B316" s="55" t="s">
        <v>151</v>
      </c>
      <c r="C316" s="758" t="s">
        <v>62</v>
      </c>
      <c r="D316" s="55"/>
      <c r="E316" s="1379"/>
      <c r="F316" s="55"/>
      <c r="G316" s="760">
        <v>534497.15800000005</v>
      </c>
      <c r="H316" s="760">
        <v>3551437.4610000001</v>
      </c>
      <c r="I316" s="905"/>
      <c r="J316" s="906">
        <f>J314+1</f>
        <v>156</v>
      </c>
      <c r="K316" s="55" t="s">
        <v>151</v>
      </c>
      <c r="L316" s="758" t="s">
        <v>62</v>
      </c>
      <c r="M316" s="908"/>
      <c r="N316" s="908"/>
      <c r="O316" s="908"/>
      <c r="P316" s="908"/>
      <c r="Q316" s="908"/>
      <c r="R316" s="908"/>
      <c r="S316" s="908"/>
      <c r="T316" s="908"/>
      <c r="U316" s="760"/>
      <c r="V316" s="1378"/>
      <c r="W316" s="759">
        <v>241.83699999999999</v>
      </c>
      <c r="X316" s="55"/>
      <c r="Y316" s="760">
        <v>534497.15800000005</v>
      </c>
      <c r="Z316" s="760">
        <v>3551437.4610000001</v>
      </c>
      <c r="AA316" s="766"/>
    </row>
    <row r="317" spans="1:27">
      <c r="A317" s="908"/>
      <c r="B317" s="55"/>
      <c r="C317" s="758"/>
      <c r="D317" s="55">
        <v>380.56599999999997</v>
      </c>
      <c r="E317" s="1379"/>
      <c r="F317" s="55"/>
      <c r="G317" s="760"/>
      <c r="H317" s="760"/>
      <c r="I317" s="905"/>
      <c r="J317" s="908"/>
      <c r="K317" s="55"/>
      <c r="L317" s="758"/>
      <c r="M317" s="908"/>
      <c r="N317" s="908"/>
      <c r="O317" s="908"/>
      <c r="P317" s="908"/>
      <c r="Q317" s="908"/>
      <c r="R317" s="908"/>
      <c r="S317" s="908"/>
      <c r="T317" s="908"/>
      <c r="U317" s="760">
        <v>380.56599999999997</v>
      </c>
      <c r="V317" s="1378"/>
      <c r="W317" s="759"/>
      <c r="X317" s="55"/>
      <c r="Y317" s="758"/>
      <c r="Z317" s="758"/>
      <c r="AA317" s="766" t="s">
        <v>2116</v>
      </c>
    </row>
    <row r="318" spans="1:27">
      <c r="A318" s="906">
        <f>A316+1</f>
        <v>157</v>
      </c>
      <c r="B318" s="55" t="s">
        <v>405</v>
      </c>
      <c r="C318" s="758" t="s">
        <v>1277</v>
      </c>
      <c r="D318" s="55"/>
      <c r="E318" s="1379"/>
      <c r="F318" s="55" t="s">
        <v>2117</v>
      </c>
      <c r="G318" s="760">
        <v>534310.26699999999</v>
      </c>
      <c r="H318" s="760">
        <v>3551105.946</v>
      </c>
      <c r="I318" s="905"/>
      <c r="J318" s="906">
        <f>J316+1</f>
        <v>157</v>
      </c>
      <c r="K318" s="55" t="s">
        <v>405</v>
      </c>
      <c r="L318" s="758" t="s">
        <v>1277</v>
      </c>
      <c r="M318" s="908"/>
      <c r="N318" s="908"/>
      <c r="O318" s="908"/>
      <c r="P318" s="908"/>
      <c r="Q318" s="908"/>
      <c r="R318" s="908"/>
      <c r="S318" s="908"/>
      <c r="T318" s="908"/>
      <c r="U318" s="760"/>
      <c r="V318" s="759"/>
      <c r="W318" s="759">
        <v>241.54599999999999</v>
      </c>
      <c r="X318" s="55" t="s">
        <v>2054</v>
      </c>
      <c r="Y318" s="760">
        <v>534310.26699999999</v>
      </c>
      <c r="Z318" s="760">
        <v>3551105.946</v>
      </c>
      <c r="AA318" s="766"/>
    </row>
    <row r="319" spans="1:27">
      <c r="A319" s="908"/>
      <c r="B319" s="908"/>
      <c r="C319" s="910"/>
      <c r="D319" s="910"/>
      <c r="E319" s="908"/>
      <c r="F319" s="908"/>
      <c r="G319" s="908"/>
      <c r="H319" s="908"/>
      <c r="I319" s="905"/>
      <c r="J319" s="908"/>
      <c r="K319" s="908"/>
      <c r="L319" s="908"/>
      <c r="M319" s="908"/>
      <c r="N319" s="908"/>
      <c r="O319" s="908"/>
      <c r="P319" s="908"/>
      <c r="Q319" s="908"/>
      <c r="R319" s="908"/>
      <c r="S319" s="908"/>
      <c r="T319" s="908"/>
      <c r="U319" s="911"/>
      <c r="V319" s="908"/>
      <c r="W319" s="908"/>
      <c r="X319" s="908"/>
      <c r="Y319" s="908"/>
      <c r="Z319" s="908"/>
      <c r="AA319" s="906"/>
    </row>
    <row r="320" spans="1:27">
      <c r="A320" s="906">
        <f>A318+1</f>
        <v>158</v>
      </c>
      <c r="B320" s="913" t="s">
        <v>1508</v>
      </c>
      <c r="C320" s="893" t="s">
        <v>1361</v>
      </c>
      <c r="D320" s="893"/>
      <c r="E320" s="1381">
        <f>D321+D323+D325+D327</f>
        <v>1599.7819999999999</v>
      </c>
      <c r="F320" s="893" t="s">
        <v>2212</v>
      </c>
      <c r="G320" s="914">
        <v>533703.46100000001</v>
      </c>
      <c r="H320" s="914">
        <v>3547814.2519999999</v>
      </c>
      <c r="I320" s="905"/>
      <c r="J320" s="906">
        <f>J318+1</f>
        <v>158</v>
      </c>
      <c r="K320" s="913" t="s">
        <v>1508</v>
      </c>
      <c r="L320" s="915" t="s">
        <v>1361</v>
      </c>
      <c r="M320" s="893"/>
      <c r="N320" s="893"/>
      <c r="O320" s="893"/>
      <c r="P320" s="893"/>
      <c r="Q320" s="893"/>
      <c r="R320" s="893"/>
      <c r="S320" s="893"/>
      <c r="T320" s="893"/>
      <c r="U320" s="914"/>
      <c r="V320" s="1381">
        <f>U321+U323+U325+U327</f>
        <v>1598.9549999999999</v>
      </c>
      <c r="W320" s="916">
        <v>242.922</v>
      </c>
      <c r="X320" s="55" t="s">
        <v>2054</v>
      </c>
      <c r="Y320" s="916">
        <v>533703.46100000001</v>
      </c>
      <c r="Z320" s="916">
        <v>3547814.2519999999</v>
      </c>
      <c r="AA320" s="893"/>
    </row>
    <row r="321" spans="1:27">
      <c r="A321" s="908"/>
      <c r="B321" s="913"/>
      <c r="C321" s="893"/>
      <c r="D321" s="893">
        <v>381.55399999999997</v>
      </c>
      <c r="E321" s="1381"/>
      <c r="F321" s="893"/>
      <c r="G321" s="914"/>
      <c r="H321" s="914"/>
      <c r="I321" s="905"/>
      <c r="J321" s="908"/>
      <c r="K321" s="913"/>
      <c r="L321" s="915"/>
      <c r="M321" s="916"/>
      <c r="N321" s="916"/>
      <c r="O321" s="915"/>
      <c r="P321" s="893"/>
      <c r="Q321" s="893"/>
      <c r="R321" s="893"/>
      <c r="S321" s="893"/>
      <c r="T321" s="893"/>
      <c r="U321" s="916">
        <v>435.863</v>
      </c>
      <c r="V321" s="1381"/>
      <c r="W321" s="915"/>
      <c r="X321" s="893"/>
      <c r="Y321" s="915"/>
      <c r="Z321" s="915"/>
      <c r="AA321" s="893" t="s">
        <v>2251</v>
      </c>
    </row>
    <row r="322" spans="1:27">
      <c r="A322" s="906">
        <f>A320+1</f>
        <v>159</v>
      </c>
      <c r="B322" s="913" t="s">
        <v>538</v>
      </c>
      <c r="C322" s="893" t="s">
        <v>76</v>
      </c>
      <c r="D322" s="893"/>
      <c r="E322" s="1381"/>
      <c r="F322" s="893"/>
      <c r="G322" s="914">
        <v>533491.27800000005</v>
      </c>
      <c r="H322" s="914">
        <v>3547497.1370000001</v>
      </c>
      <c r="I322" s="905"/>
      <c r="J322" s="906">
        <f>J320+1</f>
        <v>159</v>
      </c>
      <c r="K322" s="913" t="s">
        <v>538</v>
      </c>
      <c r="L322" s="915" t="s">
        <v>249</v>
      </c>
      <c r="M322" s="915"/>
      <c r="N322" s="915"/>
      <c r="O322" s="915"/>
      <c r="P322" s="893"/>
      <c r="Q322" s="893"/>
      <c r="R322" s="893"/>
      <c r="S322" s="893"/>
      <c r="T322" s="893"/>
      <c r="U322" s="916"/>
      <c r="V322" s="1381"/>
      <c r="W322" s="916">
        <v>242.715</v>
      </c>
      <c r="X322" s="893"/>
      <c r="Y322" s="916">
        <v>533459.00100000005</v>
      </c>
      <c r="Z322" s="916">
        <v>3547453.398</v>
      </c>
      <c r="AA322" s="893"/>
    </row>
    <row r="323" spans="1:27">
      <c r="A323" s="908"/>
      <c r="B323" s="913"/>
      <c r="C323" s="893"/>
      <c r="D323" s="893">
        <v>392.70100000000002</v>
      </c>
      <c r="E323" s="1381"/>
      <c r="F323" s="893"/>
      <c r="G323" s="914"/>
      <c r="H323" s="914"/>
      <c r="I323" s="905"/>
      <c r="J323" s="908"/>
      <c r="K323" s="913"/>
      <c r="L323" s="915"/>
      <c r="M323" s="915"/>
      <c r="N323" s="915"/>
      <c r="O323" s="915"/>
      <c r="P323" s="893"/>
      <c r="Q323" s="893"/>
      <c r="R323" s="893"/>
      <c r="S323" s="893"/>
      <c r="T323" s="893"/>
      <c r="U323" s="916">
        <v>338.94499999999999</v>
      </c>
      <c r="V323" s="1381"/>
      <c r="W323" s="915"/>
      <c r="X323" s="893"/>
      <c r="Y323" s="915"/>
      <c r="Z323" s="915"/>
      <c r="AA323" s="893"/>
    </row>
    <row r="324" spans="1:27">
      <c r="A324" s="906">
        <f>A322+1</f>
        <v>160</v>
      </c>
      <c r="B324" s="913" t="s">
        <v>529</v>
      </c>
      <c r="C324" s="893" t="s">
        <v>76</v>
      </c>
      <c r="D324" s="893"/>
      <c r="E324" s="1381"/>
      <c r="F324" s="893" t="s">
        <v>1543</v>
      </c>
      <c r="G324" s="914">
        <v>533272.897</v>
      </c>
      <c r="H324" s="914">
        <v>3547170.7579999999</v>
      </c>
      <c r="I324" s="905"/>
      <c r="J324" s="906">
        <f>J322+1</f>
        <v>160</v>
      </c>
      <c r="K324" s="913" t="s">
        <v>529</v>
      </c>
      <c r="L324" s="915" t="s">
        <v>76</v>
      </c>
      <c r="M324" s="916"/>
      <c r="N324" s="916"/>
      <c r="O324" s="915"/>
      <c r="P324" s="893"/>
      <c r="Q324" s="893"/>
      <c r="R324" s="893"/>
      <c r="S324" s="893"/>
      <c r="T324" s="893"/>
      <c r="U324" s="916"/>
      <c r="V324" s="1381"/>
      <c r="W324" s="916">
        <v>242.63499999999999</v>
      </c>
      <c r="X324" s="893"/>
      <c r="Y324" s="916">
        <v>533268.89899999998</v>
      </c>
      <c r="Z324" s="916">
        <v>3547172.7829999998</v>
      </c>
      <c r="AA324" s="893"/>
    </row>
    <row r="325" spans="1:27">
      <c r="A325" s="908"/>
      <c r="B325" s="913"/>
      <c r="C325" s="893"/>
      <c r="D325" s="893">
        <v>414.33499999999998</v>
      </c>
      <c r="E325" s="1381"/>
      <c r="F325" s="893"/>
      <c r="G325" s="914"/>
      <c r="H325" s="914"/>
      <c r="I325" s="905"/>
      <c r="J325" s="908"/>
      <c r="K325" s="913"/>
      <c r="L325" s="915"/>
      <c r="M325" s="916"/>
      <c r="N325" s="916"/>
      <c r="O325" s="915"/>
      <c r="P325" s="893"/>
      <c r="Q325" s="893"/>
      <c r="R325" s="893"/>
      <c r="S325" s="893"/>
      <c r="T325" s="893"/>
      <c r="U325" s="916">
        <v>497.83600000000001</v>
      </c>
      <c r="V325" s="1381"/>
      <c r="W325" s="915"/>
      <c r="X325" s="893"/>
      <c r="Y325" s="915"/>
      <c r="Z325" s="915"/>
      <c r="AA325" s="894" t="s">
        <v>2252</v>
      </c>
    </row>
    <row r="326" spans="1:27">
      <c r="A326" s="906">
        <f>A324+1</f>
        <v>161</v>
      </c>
      <c r="B326" s="913" t="s">
        <v>508</v>
      </c>
      <c r="C326" s="893" t="s">
        <v>62</v>
      </c>
      <c r="D326" s="893"/>
      <c r="E326" s="1381"/>
      <c r="F326" s="893"/>
      <c r="G326" s="914">
        <v>533042.48400000005</v>
      </c>
      <c r="H326" s="914">
        <v>3546826.398</v>
      </c>
      <c r="I326" s="905"/>
      <c r="J326" s="906">
        <f>J324+1</f>
        <v>161</v>
      </c>
      <c r="K326" s="913" t="s">
        <v>508</v>
      </c>
      <c r="L326" s="915" t="s">
        <v>2221</v>
      </c>
      <c r="M326" s="917">
        <v>2</v>
      </c>
      <c r="N326" s="917">
        <v>2</v>
      </c>
      <c r="O326" s="918">
        <v>2</v>
      </c>
      <c r="P326" s="918">
        <v>2</v>
      </c>
      <c r="Q326" s="893"/>
      <c r="R326" s="893"/>
      <c r="S326" s="893"/>
      <c r="T326" s="893"/>
      <c r="U326" s="916"/>
      <c r="V326" s="1381"/>
      <c r="W326" s="916">
        <v>242.40799999999999</v>
      </c>
      <c r="X326" s="893" t="s">
        <v>2253</v>
      </c>
      <c r="Y326" s="916">
        <v>532989.68000000005</v>
      </c>
      <c r="Z326" s="916">
        <v>3546760.6209999998</v>
      </c>
      <c r="AA326" s="893"/>
    </row>
    <row r="327" spans="1:27" ht="29">
      <c r="A327" s="908"/>
      <c r="B327" s="913"/>
      <c r="C327" s="893"/>
      <c r="D327" s="893">
        <v>411.19200000000001</v>
      </c>
      <c r="E327" s="1381"/>
      <c r="F327" s="893"/>
      <c r="G327" s="914"/>
      <c r="H327" s="914"/>
      <c r="I327" s="905"/>
      <c r="J327" s="908"/>
      <c r="K327" s="913"/>
      <c r="L327" s="915"/>
      <c r="M327" s="893"/>
      <c r="N327" s="893"/>
      <c r="O327" s="893"/>
      <c r="P327" s="893"/>
      <c r="Q327" s="893"/>
      <c r="R327" s="893"/>
      <c r="S327" s="893"/>
      <c r="T327" s="893"/>
      <c r="U327" s="916">
        <v>326.31099999999998</v>
      </c>
      <c r="V327" s="1381"/>
      <c r="W327" s="915"/>
      <c r="X327" s="893"/>
      <c r="Y327" s="915"/>
      <c r="Z327" s="915"/>
      <c r="AA327" s="894" t="s">
        <v>2254</v>
      </c>
    </row>
    <row r="328" spans="1:27">
      <c r="A328" s="906">
        <f>A326+1</f>
        <v>162</v>
      </c>
      <c r="B328" s="913" t="s">
        <v>2213</v>
      </c>
      <c r="C328" s="893" t="s">
        <v>1277</v>
      </c>
      <c r="D328" s="893"/>
      <c r="E328" s="1381"/>
      <c r="F328" s="893" t="s">
        <v>2214</v>
      </c>
      <c r="G328" s="914">
        <v>532813.81999999995</v>
      </c>
      <c r="H328" s="914">
        <v>3546484.65</v>
      </c>
      <c r="I328" s="905"/>
      <c r="J328" s="906">
        <f>J326+1</f>
        <v>162</v>
      </c>
      <c r="K328" s="913" t="s">
        <v>2213</v>
      </c>
      <c r="L328" s="915" t="s">
        <v>1957</v>
      </c>
      <c r="M328" s="893"/>
      <c r="N328" s="893"/>
      <c r="O328" s="893"/>
      <c r="P328" s="893"/>
      <c r="Q328" s="893"/>
      <c r="R328" s="893"/>
      <c r="S328" s="893"/>
      <c r="T328" s="893"/>
      <c r="U328" s="916"/>
      <c r="V328" s="1381">
        <f>U329+U331+U333+U335</f>
        <v>1666.222</v>
      </c>
      <c r="W328" s="916">
        <v>242.52</v>
      </c>
      <c r="X328" s="893" t="s">
        <v>2255</v>
      </c>
      <c r="Y328" s="916">
        <v>532821.00899999996</v>
      </c>
      <c r="Z328" s="916">
        <v>3546481.284</v>
      </c>
      <c r="AA328" s="893"/>
    </row>
    <row r="329" spans="1:27">
      <c r="A329" s="908"/>
      <c r="B329" s="913"/>
      <c r="C329" s="893"/>
      <c r="D329" s="893">
        <v>416.863</v>
      </c>
      <c r="E329" s="1381">
        <f>D329+D331+D333+D335</f>
        <v>1667.808</v>
      </c>
      <c r="F329" s="893"/>
      <c r="G329" s="914"/>
      <c r="H329" s="914"/>
      <c r="I329" s="905"/>
      <c r="J329" s="908"/>
      <c r="K329" s="913"/>
      <c r="L329" s="915"/>
      <c r="M329" s="893"/>
      <c r="N329" s="893"/>
      <c r="O329" s="893"/>
      <c r="P329" s="893"/>
      <c r="Q329" s="893"/>
      <c r="R329" s="893"/>
      <c r="S329" s="893"/>
      <c r="T329" s="893"/>
      <c r="U329" s="916">
        <v>415.29</v>
      </c>
      <c r="V329" s="1381"/>
      <c r="W329" s="915"/>
      <c r="X329" s="893"/>
      <c r="Y329" s="915"/>
      <c r="Z329" s="915"/>
      <c r="AA329" s="893" t="s">
        <v>2256</v>
      </c>
    </row>
    <row r="330" spans="1:27">
      <c r="A330" s="906">
        <f>A328+1</f>
        <v>163</v>
      </c>
      <c r="B330" s="913" t="s">
        <v>497</v>
      </c>
      <c r="C330" s="893" t="s">
        <v>62</v>
      </c>
      <c r="D330" s="893"/>
      <c r="E330" s="1381"/>
      <c r="F330" s="893"/>
      <c r="G330" s="914">
        <v>532717.02099999995</v>
      </c>
      <c r="H330" s="914">
        <v>3546079.182</v>
      </c>
      <c r="I330" s="905"/>
      <c r="J330" s="906">
        <f>J328+1</f>
        <v>163</v>
      </c>
      <c r="K330" s="913" t="s">
        <v>497</v>
      </c>
      <c r="L330" s="915" t="s">
        <v>62</v>
      </c>
      <c r="M330" s="893"/>
      <c r="N330" s="893"/>
      <c r="O330" s="893"/>
      <c r="P330" s="893"/>
      <c r="Q330" s="893"/>
      <c r="R330" s="893"/>
      <c r="S330" s="893"/>
      <c r="T330" s="893"/>
      <c r="U330" s="916"/>
      <c r="V330" s="1381"/>
      <c r="W330" s="916">
        <v>242.91399999999999</v>
      </c>
      <c r="X330" s="893"/>
      <c r="Y330" s="916">
        <v>532722.69099999999</v>
      </c>
      <c r="Z330" s="916">
        <v>3546077.8</v>
      </c>
      <c r="AA330" s="893"/>
    </row>
    <row r="331" spans="1:27">
      <c r="A331" s="908"/>
      <c r="B331" s="913"/>
      <c r="C331" s="893"/>
      <c r="D331" s="893">
        <v>422.42599999999999</v>
      </c>
      <c r="E331" s="1381"/>
      <c r="F331" s="893"/>
      <c r="G331" s="914"/>
      <c r="H331" s="914"/>
      <c r="I331" s="905"/>
      <c r="J331" s="908"/>
      <c r="K331" s="913"/>
      <c r="L331" s="915"/>
      <c r="M331" s="893"/>
      <c r="N331" s="893"/>
      <c r="O331" s="893"/>
      <c r="P331" s="893"/>
      <c r="Q331" s="893"/>
      <c r="R331" s="893"/>
      <c r="S331" s="893"/>
      <c r="T331" s="893"/>
      <c r="U331" s="916">
        <v>422.42200000000003</v>
      </c>
      <c r="V331" s="1381"/>
      <c r="W331" s="915"/>
      <c r="X331" s="893"/>
      <c r="Y331" s="915"/>
      <c r="Z331" s="915"/>
      <c r="AA331" s="893" t="s">
        <v>2257</v>
      </c>
    </row>
    <row r="332" spans="1:27">
      <c r="A332" s="906">
        <f>A330+1</f>
        <v>164</v>
      </c>
      <c r="B332" s="913" t="s">
        <v>495</v>
      </c>
      <c r="C332" s="893" t="s">
        <v>53</v>
      </c>
      <c r="D332" s="893"/>
      <c r="E332" s="1381"/>
      <c r="F332" s="893"/>
      <c r="G332" s="914">
        <v>532618.93000000005</v>
      </c>
      <c r="H332" s="914">
        <v>3545668.3020000001</v>
      </c>
      <c r="I332" s="905"/>
      <c r="J332" s="906">
        <f>J330+1</f>
        <v>164</v>
      </c>
      <c r="K332" s="913" t="s">
        <v>495</v>
      </c>
      <c r="L332" s="915" t="s">
        <v>53</v>
      </c>
      <c r="M332" s="893"/>
      <c r="N332" s="893"/>
      <c r="O332" s="893"/>
      <c r="P332" s="893"/>
      <c r="Q332" s="893"/>
      <c r="R332" s="893"/>
      <c r="S332" s="893"/>
      <c r="T332" s="893"/>
      <c r="U332" s="916"/>
      <c r="V332" s="1381"/>
      <c r="W332" s="916">
        <v>243.71600000000001</v>
      </c>
      <c r="X332" s="893"/>
      <c r="Y332" s="916">
        <v>532622.68500000006</v>
      </c>
      <c r="Z332" s="916">
        <v>3545667.3870000001</v>
      </c>
      <c r="AA332" s="893"/>
    </row>
    <row r="333" spans="1:27" ht="29">
      <c r="A333" s="908"/>
      <c r="B333" s="913"/>
      <c r="C333" s="893"/>
      <c r="D333" s="893">
        <v>418.37799999999999</v>
      </c>
      <c r="E333" s="1381"/>
      <c r="F333" s="893"/>
      <c r="G333" s="914"/>
      <c r="H333" s="914"/>
      <c r="I333" s="905"/>
      <c r="J333" s="908"/>
      <c r="K333" s="913"/>
      <c r="L333" s="915"/>
      <c r="M333" s="893"/>
      <c r="N333" s="893"/>
      <c r="O333" s="893"/>
      <c r="P333" s="893"/>
      <c r="Q333" s="893"/>
      <c r="R333" s="893"/>
      <c r="S333" s="893"/>
      <c r="T333" s="893"/>
      <c r="U333" s="916">
        <v>418.37299999999999</v>
      </c>
      <c r="V333" s="1381"/>
      <c r="W333" s="915"/>
      <c r="X333" s="893"/>
      <c r="Y333" s="915"/>
      <c r="Z333" s="915"/>
      <c r="AA333" s="894" t="s">
        <v>2258</v>
      </c>
    </row>
    <row r="334" spans="1:27">
      <c r="A334" s="906">
        <f>A332+1</f>
        <v>165</v>
      </c>
      <c r="B334" s="913" t="s">
        <v>490</v>
      </c>
      <c r="C334" s="893" t="s">
        <v>53</v>
      </c>
      <c r="D334" s="893"/>
      <c r="E334" s="1381"/>
      <c r="F334" s="893"/>
      <c r="G334" s="914">
        <v>532521.77899999998</v>
      </c>
      <c r="H334" s="914">
        <v>3545261.36</v>
      </c>
      <c r="I334" s="905"/>
      <c r="J334" s="906">
        <f>J332+1</f>
        <v>165</v>
      </c>
      <c r="K334" s="913" t="s">
        <v>490</v>
      </c>
      <c r="L334" s="915" t="s">
        <v>53</v>
      </c>
      <c r="M334" s="893"/>
      <c r="N334" s="893"/>
      <c r="O334" s="893"/>
      <c r="P334" s="893"/>
      <c r="Q334" s="893"/>
      <c r="R334" s="893"/>
      <c r="S334" s="893"/>
      <c r="T334" s="893"/>
      <c r="U334" s="916"/>
      <c r="V334" s="1381"/>
      <c r="W334" s="916">
        <v>243.86699999999999</v>
      </c>
      <c r="X334" s="893"/>
      <c r="Y334" s="916">
        <v>532523.63800000004</v>
      </c>
      <c r="Z334" s="916">
        <v>3545260.9070000001</v>
      </c>
      <c r="AA334" s="893"/>
    </row>
    <row r="335" spans="1:27" ht="29">
      <c r="A335" s="908"/>
      <c r="B335" s="913"/>
      <c r="C335" s="893"/>
      <c r="D335" s="893">
        <v>410.14100000000002</v>
      </c>
      <c r="E335" s="1381"/>
      <c r="F335" s="893"/>
      <c r="G335" s="914"/>
      <c r="H335" s="914"/>
      <c r="I335" s="905"/>
      <c r="J335" s="908"/>
      <c r="K335" s="913"/>
      <c r="L335" s="915"/>
      <c r="M335" s="893"/>
      <c r="N335" s="893"/>
      <c r="O335" s="893"/>
      <c r="P335" s="893"/>
      <c r="Q335" s="893"/>
      <c r="R335" s="893"/>
      <c r="S335" s="893"/>
      <c r="T335" s="893"/>
      <c r="U335" s="916">
        <v>410.137</v>
      </c>
      <c r="V335" s="1381"/>
      <c r="W335" s="915"/>
      <c r="X335" s="893"/>
      <c r="Y335" s="915"/>
      <c r="Z335" s="915"/>
      <c r="AA335" s="894" t="s">
        <v>2259</v>
      </c>
    </row>
    <row r="336" spans="1:27">
      <c r="A336" s="906">
        <f>A334+1</f>
        <v>166</v>
      </c>
      <c r="B336" s="913" t="s">
        <v>2215</v>
      </c>
      <c r="C336" s="893" t="s">
        <v>1269</v>
      </c>
      <c r="D336" s="893"/>
      <c r="E336" s="1381"/>
      <c r="F336" s="893" t="s">
        <v>2216</v>
      </c>
      <c r="G336" s="914">
        <v>532426.54</v>
      </c>
      <c r="H336" s="914">
        <v>3544862.43</v>
      </c>
      <c r="I336" s="905"/>
      <c r="J336" s="906">
        <f>J334+1</f>
        <v>166</v>
      </c>
      <c r="K336" s="913" t="s">
        <v>2215</v>
      </c>
      <c r="L336" s="915" t="s">
        <v>1269</v>
      </c>
      <c r="M336" s="919">
        <v>1.5</v>
      </c>
      <c r="N336" s="919">
        <v>1.5</v>
      </c>
      <c r="O336" s="919">
        <v>1.5</v>
      </c>
      <c r="P336" s="919">
        <v>1.5</v>
      </c>
      <c r="Q336" s="893"/>
      <c r="R336" s="893"/>
      <c r="S336" s="893"/>
      <c r="T336" s="893"/>
      <c r="U336" s="916"/>
      <c r="V336" s="1381">
        <f>U337+U339</f>
        <v>809.57100000000003</v>
      </c>
      <c r="W336" s="916">
        <v>244.92099999999999</v>
      </c>
      <c r="X336" s="893" t="s">
        <v>2260</v>
      </c>
      <c r="Y336" s="916">
        <v>532426.54</v>
      </c>
      <c r="Z336" s="916">
        <v>3544862.43</v>
      </c>
      <c r="AA336" s="893"/>
    </row>
    <row r="337" spans="1:27">
      <c r="A337" s="908"/>
      <c r="B337" s="913"/>
      <c r="C337" s="893"/>
      <c r="D337" s="893">
        <v>422.69799999999998</v>
      </c>
      <c r="E337" s="1381">
        <f>D337+D339</f>
        <v>820.50900000000001</v>
      </c>
      <c r="F337" s="893"/>
      <c r="G337" s="914"/>
      <c r="H337" s="914"/>
      <c r="I337" s="905"/>
      <c r="J337" s="908"/>
      <c r="K337" s="913"/>
      <c r="L337" s="915"/>
      <c r="M337" s="893"/>
      <c r="N337" s="893"/>
      <c r="O337" s="893"/>
      <c r="P337" s="893"/>
      <c r="Q337" s="893"/>
      <c r="R337" s="893"/>
      <c r="S337" s="893"/>
      <c r="T337" s="893"/>
      <c r="U337" s="916">
        <v>422.214</v>
      </c>
      <c r="V337" s="1381"/>
      <c r="W337" s="915"/>
      <c r="X337" s="893"/>
      <c r="Y337" s="915"/>
      <c r="Z337" s="915"/>
      <c r="AA337" s="893" t="s">
        <v>2261</v>
      </c>
    </row>
    <row r="338" spans="1:27">
      <c r="A338" s="906">
        <f>A336+1</f>
        <v>167</v>
      </c>
      <c r="B338" s="913" t="s">
        <v>458</v>
      </c>
      <c r="C338" s="893" t="s">
        <v>62</v>
      </c>
      <c r="D338" s="893"/>
      <c r="E338" s="1381"/>
      <c r="F338" s="893"/>
      <c r="G338" s="914">
        <v>532348.54599999997</v>
      </c>
      <c r="H338" s="914">
        <v>3544446.99</v>
      </c>
      <c r="I338" s="905"/>
      <c r="J338" s="906">
        <f>J336+1</f>
        <v>167</v>
      </c>
      <c r="K338" s="913" t="s">
        <v>458</v>
      </c>
      <c r="L338" s="915" t="s">
        <v>62</v>
      </c>
      <c r="M338" s="893"/>
      <c r="N338" s="893"/>
      <c r="O338" s="893"/>
      <c r="P338" s="893"/>
      <c r="Q338" s="893"/>
      <c r="R338" s="893"/>
      <c r="S338" s="893"/>
      <c r="T338" s="893"/>
      <c r="U338" s="916"/>
      <c r="V338" s="1381"/>
      <c r="W338" s="916">
        <v>243.63399999999999</v>
      </c>
      <c r="X338" s="893"/>
      <c r="Y338" s="916">
        <v>532334.88300000003</v>
      </c>
      <c r="Z338" s="916">
        <v>3544450.284</v>
      </c>
      <c r="AA338" s="893"/>
    </row>
    <row r="339" spans="1:27">
      <c r="A339" s="908"/>
      <c r="B339" s="913"/>
      <c r="C339" s="893"/>
      <c r="D339" s="893">
        <v>397.81099999999998</v>
      </c>
      <c r="E339" s="1381"/>
      <c r="F339" s="893"/>
      <c r="G339" s="914"/>
      <c r="H339" s="914"/>
      <c r="I339" s="905"/>
      <c r="J339" s="908"/>
      <c r="K339" s="913"/>
      <c r="L339" s="915"/>
      <c r="M339" s="893"/>
      <c r="N339" s="893"/>
      <c r="O339" s="893"/>
      <c r="P339" s="893"/>
      <c r="Q339" s="893"/>
      <c r="R339" s="893"/>
      <c r="S339" s="893"/>
      <c r="T339" s="893"/>
      <c r="U339" s="916">
        <v>387.35700000000003</v>
      </c>
      <c r="V339" s="1381"/>
      <c r="W339" s="915"/>
      <c r="X339" s="893"/>
      <c r="Y339" s="915"/>
      <c r="Z339" s="915"/>
      <c r="AA339" s="893" t="s">
        <v>2262</v>
      </c>
    </row>
    <row r="340" spans="1:27">
      <c r="A340" s="906">
        <f>A338+1</f>
        <v>168</v>
      </c>
      <c r="B340" s="913" t="s">
        <v>1535</v>
      </c>
      <c r="C340" s="893" t="s">
        <v>1938</v>
      </c>
      <c r="D340" s="893"/>
      <c r="E340" s="1381">
        <f>D341</f>
        <v>397.142</v>
      </c>
      <c r="F340" s="893" t="s">
        <v>2217</v>
      </c>
      <c r="G340" s="914">
        <v>532275.14399999997</v>
      </c>
      <c r="H340" s="914">
        <v>3544056.01</v>
      </c>
      <c r="I340" s="905"/>
      <c r="J340" s="906">
        <f>J338+1</f>
        <v>168</v>
      </c>
      <c r="K340" s="913" t="s">
        <v>1535</v>
      </c>
      <c r="L340" s="915" t="s">
        <v>53</v>
      </c>
      <c r="M340" s="893"/>
      <c r="N340" s="893"/>
      <c r="O340" s="893"/>
      <c r="P340" s="893"/>
      <c r="Q340" s="893"/>
      <c r="R340" s="893"/>
      <c r="S340" s="893"/>
      <c r="T340" s="893"/>
      <c r="U340" s="916"/>
      <c r="V340" s="1381">
        <f>U341</f>
        <v>406.68799999999999</v>
      </c>
      <c r="W340" s="916">
        <v>244.20099999999999</v>
      </c>
      <c r="X340" s="893"/>
      <c r="Y340" s="916">
        <v>532250.79299999995</v>
      </c>
      <c r="Z340" s="916">
        <v>3544072.165</v>
      </c>
      <c r="AA340" s="893"/>
    </row>
    <row r="341" spans="1:27">
      <c r="A341" s="908"/>
      <c r="B341" s="913"/>
      <c r="C341" s="893"/>
      <c r="D341" s="893">
        <v>397.142</v>
      </c>
      <c r="E341" s="1381"/>
      <c r="F341" s="893"/>
      <c r="G341" s="914"/>
      <c r="H341" s="914"/>
      <c r="I341" s="905"/>
      <c r="J341" s="908"/>
      <c r="K341" s="913"/>
      <c r="L341" s="915"/>
      <c r="M341" s="893"/>
      <c r="N341" s="893"/>
      <c r="O341" s="893"/>
      <c r="P341" s="893"/>
      <c r="Q341" s="893"/>
      <c r="R341" s="893"/>
      <c r="S341" s="893"/>
      <c r="T341" s="893"/>
      <c r="U341" s="916">
        <v>406.68799999999999</v>
      </c>
      <c r="V341" s="1381"/>
      <c r="W341" s="915"/>
      <c r="X341" s="893"/>
      <c r="Y341" s="915"/>
      <c r="Z341" s="915"/>
      <c r="AA341" s="893" t="s">
        <v>2263</v>
      </c>
    </row>
    <row r="342" spans="1:27">
      <c r="A342" s="906">
        <f>A340+1</f>
        <v>169</v>
      </c>
      <c r="B342" s="913" t="s">
        <v>2218</v>
      </c>
      <c r="C342" s="893" t="s">
        <v>1277</v>
      </c>
      <c r="D342" s="893"/>
      <c r="E342" s="1381"/>
      <c r="F342" s="893" t="s">
        <v>2219</v>
      </c>
      <c r="G342" s="914">
        <v>532162.50699999998</v>
      </c>
      <c r="H342" s="914">
        <v>3543675.176</v>
      </c>
      <c r="I342" s="905"/>
      <c r="J342" s="906">
        <f>J340+1</f>
        <v>169</v>
      </c>
      <c r="K342" s="913" t="s">
        <v>2218</v>
      </c>
      <c r="L342" s="915" t="s">
        <v>1269</v>
      </c>
      <c r="M342" s="893"/>
      <c r="N342" s="893"/>
      <c r="O342" s="893"/>
      <c r="P342" s="893"/>
      <c r="Q342" s="893"/>
      <c r="R342" s="893"/>
      <c r="S342" s="893"/>
      <c r="T342" s="893"/>
      <c r="U342" s="916"/>
      <c r="V342" s="1381"/>
      <c r="W342" s="916">
        <v>243.49299999999999</v>
      </c>
      <c r="X342" s="893" t="s">
        <v>2264</v>
      </c>
      <c r="Y342" s="916">
        <v>532162.50699999998</v>
      </c>
      <c r="Z342" s="916">
        <v>3543675.176</v>
      </c>
      <c r="AA342" s="893"/>
    </row>
    <row r="343" spans="1:27" ht="29">
      <c r="A343" s="908"/>
      <c r="B343" s="913"/>
      <c r="C343" s="893"/>
      <c r="D343" s="893">
        <v>305.02600000000001</v>
      </c>
      <c r="E343" s="893">
        <v>305.02600000000001</v>
      </c>
      <c r="F343" s="893"/>
      <c r="G343" s="914"/>
      <c r="H343" s="914"/>
      <c r="I343" s="905"/>
      <c r="J343" s="908"/>
      <c r="K343" s="913"/>
      <c r="L343" s="915"/>
      <c r="M343" s="893"/>
      <c r="N343" s="893"/>
      <c r="O343" s="893"/>
      <c r="P343" s="893"/>
      <c r="Q343" s="893"/>
      <c r="R343" s="893"/>
      <c r="S343" s="893"/>
      <c r="T343" s="893"/>
      <c r="U343" s="916">
        <v>316.25299999999999</v>
      </c>
      <c r="V343" s="893">
        <v>316.25299999999999</v>
      </c>
      <c r="W343" s="915"/>
      <c r="X343" s="893"/>
      <c r="Y343" s="915"/>
      <c r="Z343" s="915"/>
      <c r="AA343" s="894" t="s">
        <v>2265</v>
      </c>
    </row>
    <row r="344" spans="1:27">
      <c r="A344" s="906">
        <f>A342+1</f>
        <v>170</v>
      </c>
      <c r="B344" s="913" t="s">
        <v>2220</v>
      </c>
      <c r="C344" s="893" t="s">
        <v>2221</v>
      </c>
      <c r="D344" s="893"/>
      <c r="E344" s="1381">
        <v>259.88299999999998</v>
      </c>
      <c r="F344" s="893" t="s">
        <v>2222</v>
      </c>
      <c r="G344" s="914">
        <v>532184.99699999997</v>
      </c>
      <c r="H344" s="914">
        <v>3543370.98</v>
      </c>
      <c r="I344" s="905"/>
      <c r="J344" s="906">
        <f>J342+1</f>
        <v>170</v>
      </c>
      <c r="K344" s="913" t="s">
        <v>2220</v>
      </c>
      <c r="L344" s="915" t="s">
        <v>2236</v>
      </c>
      <c r="M344" s="893"/>
      <c r="N344" s="893"/>
      <c r="O344" s="893"/>
      <c r="P344" s="893"/>
      <c r="Q344" s="893"/>
      <c r="R344" s="893"/>
      <c r="S344" s="893"/>
      <c r="T344" s="893"/>
      <c r="U344" s="916"/>
      <c r="V344" s="893"/>
      <c r="W344" s="916">
        <v>243.53</v>
      </c>
      <c r="X344" s="893" t="s">
        <v>2266</v>
      </c>
      <c r="Y344" s="916">
        <v>532164.321</v>
      </c>
      <c r="Z344" s="916">
        <v>3543358.9279999998</v>
      </c>
      <c r="AA344" s="893"/>
    </row>
    <row r="345" spans="1:27">
      <c r="A345" s="908"/>
      <c r="B345" s="913"/>
      <c r="C345" s="893"/>
      <c r="D345" s="893">
        <v>259.88299999999998</v>
      </c>
      <c r="E345" s="1381"/>
      <c r="F345" s="893"/>
      <c r="G345" s="914"/>
      <c r="H345" s="914"/>
      <c r="I345" s="905"/>
      <c r="J345" s="908"/>
      <c r="K345" s="913"/>
      <c r="L345" s="915"/>
      <c r="M345" s="893"/>
      <c r="N345" s="893"/>
      <c r="O345" s="893"/>
      <c r="P345" s="893"/>
      <c r="Q345" s="893"/>
      <c r="R345" s="893"/>
      <c r="S345" s="893"/>
      <c r="T345" s="893"/>
      <c r="U345" s="916">
        <v>248.423</v>
      </c>
      <c r="V345" s="893">
        <v>248.423</v>
      </c>
      <c r="W345" s="915"/>
      <c r="X345" s="893"/>
      <c r="Y345" s="915"/>
      <c r="Z345" s="915"/>
      <c r="AA345" s="893" t="s">
        <v>2283</v>
      </c>
    </row>
    <row r="346" spans="1:27">
      <c r="A346" s="906">
        <f>A344+1</f>
        <v>171</v>
      </c>
      <c r="B346" s="913" t="s">
        <v>2223</v>
      </c>
      <c r="C346" s="893" t="s">
        <v>2221</v>
      </c>
      <c r="D346" s="893"/>
      <c r="E346" s="1381"/>
      <c r="F346" s="893" t="s">
        <v>2224</v>
      </c>
      <c r="G346" s="914">
        <v>532210.07999999996</v>
      </c>
      <c r="H346" s="914">
        <v>3543112.31</v>
      </c>
      <c r="I346" s="905"/>
      <c r="J346" s="906">
        <f>J344+1</f>
        <v>171</v>
      </c>
      <c r="K346" s="913" t="s">
        <v>2223</v>
      </c>
      <c r="L346" s="915" t="s">
        <v>2236</v>
      </c>
      <c r="M346" s="893"/>
      <c r="N346" s="893"/>
      <c r="O346" s="893"/>
      <c r="P346" s="893"/>
      <c r="Q346" s="893"/>
      <c r="R346" s="893"/>
      <c r="S346" s="893"/>
      <c r="T346" s="893"/>
      <c r="U346" s="916"/>
      <c r="V346" s="1381">
        <f>U347+U349+U351+U353</f>
        <v>1681.454</v>
      </c>
      <c r="W346" s="916">
        <v>243.28</v>
      </c>
      <c r="X346" s="893" t="s">
        <v>2267</v>
      </c>
      <c r="Y346" s="916">
        <v>532180</v>
      </c>
      <c r="Z346" s="916">
        <v>3543111</v>
      </c>
      <c r="AA346" s="893"/>
    </row>
    <row r="347" spans="1:27">
      <c r="A347" s="908"/>
      <c r="B347" s="913"/>
      <c r="C347" s="893"/>
      <c r="D347" s="893">
        <v>458.101</v>
      </c>
      <c r="E347" s="1381">
        <f>D347+D349+D351+D353</f>
        <v>1673.212</v>
      </c>
      <c r="F347" s="893"/>
      <c r="G347" s="914"/>
      <c r="H347" s="914"/>
      <c r="I347" s="905"/>
      <c r="J347" s="908"/>
      <c r="K347" s="913"/>
      <c r="L347" s="915"/>
      <c r="M347" s="893"/>
      <c r="N347" s="893"/>
      <c r="O347" s="893"/>
      <c r="P347" s="893"/>
      <c r="Q347" s="893"/>
      <c r="R347" s="893"/>
      <c r="S347" s="893"/>
      <c r="T347" s="893"/>
      <c r="U347" s="916">
        <v>427.32799999999997</v>
      </c>
      <c r="V347" s="1381"/>
      <c r="W347" s="915"/>
      <c r="X347" s="893"/>
      <c r="Y347" s="915"/>
      <c r="Z347" s="915"/>
      <c r="AA347" s="893" t="s">
        <v>2070</v>
      </c>
    </row>
    <row r="348" spans="1:27">
      <c r="A348" s="906">
        <f>A346+1</f>
        <v>172</v>
      </c>
      <c r="B348" s="913" t="s">
        <v>2225</v>
      </c>
      <c r="C348" s="893" t="s">
        <v>76</v>
      </c>
      <c r="D348" s="893"/>
      <c r="E348" s="1381"/>
      <c r="F348" s="893"/>
      <c r="G348" s="914">
        <v>532350.75399999996</v>
      </c>
      <c r="H348" s="914">
        <v>3542676.3429999999</v>
      </c>
      <c r="I348" s="905"/>
      <c r="J348" s="906">
        <f>J346+1</f>
        <v>172</v>
      </c>
      <c r="K348" s="913" t="s">
        <v>2225</v>
      </c>
      <c r="L348" s="915" t="s">
        <v>76</v>
      </c>
      <c r="M348" s="893"/>
      <c r="N348" s="893"/>
      <c r="O348" s="893"/>
      <c r="P348" s="893"/>
      <c r="Q348" s="893"/>
      <c r="R348" s="893"/>
      <c r="S348" s="893"/>
      <c r="T348" s="893"/>
      <c r="U348" s="916"/>
      <c r="V348" s="1381"/>
      <c r="W348" s="916">
        <v>243.93700000000001</v>
      </c>
      <c r="X348" s="893"/>
      <c r="Y348" s="916">
        <v>532318.22600000002</v>
      </c>
      <c r="Z348" s="916">
        <v>3542706.6460000002</v>
      </c>
      <c r="AA348" s="893"/>
    </row>
    <row r="349" spans="1:27">
      <c r="A349" s="908"/>
      <c r="B349" s="913"/>
      <c r="C349" s="893"/>
      <c r="D349" s="893">
        <v>381.45100000000002</v>
      </c>
      <c r="E349" s="1381"/>
      <c r="F349" s="893"/>
      <c r="G349" s="914"/>
      <c r="H349" s="914"/>
      <c r="I349" s="905"/>
      <c r="J349" s="908"/>
      <c r="K349" s="913"/>
      <c r="L349" s="915"/>
      <c r="M349" s="893"/>
      <c r="N349" s="893"/>
      <c r="O349" s="893"/>
      <c r="P349" s="893"/>
      <c r="Q349" s="893"/>
      <c r="R349" s="893"/>
      <c r="S349" s="893"/>
      <c r="T349" s="893"/>
      <c r="U349" s="916">
        <v>413.23399999999998</v>
      </c>
      <c r="V349" s="1381"/>
      <c r="W349" s="915"/>
      <c r="X349" s="893"/>
      <c r="Y349" s="915"/>
      <c r="Z349" s="915"/>
      <c r="AA349" s="893" t="s">
        <v>2268</v>
      </c>
    </row>
    <row r="350" spans="1:27">
      <c r="A350" s="906">
        <f>A348+1</f>
        <v>173</v>
      </c>
      <c r="B350" s="913" t="s">
        <v>2226</v>
      </c>
      <c r="C350" s="893" t="s">
        <v>76</v>
      </c>
      <c r="D350" s="893"/>
      <c r="E350" s="1381"/>
      <c r="F350" s="893"/>
      <c r="G350" s="914">
        <v>532467.89099999995</v>
      </c>
      <c r="H350" s="914">
        <v>3542313.3220000002</v>
      </c>
      <c r="I350" s="905"/>
      <c r="J350" s="906">
        <f>J348+1</f>
        <v>173</v>
      </c>
      <c r="K350" s="913" t="s">
        <v>2226</v>
      </c>
      <c r="L350" s="915" t="s">
        <v>62</v>
      </c>
      <c r="M350" s="893"/>
      <c r="N350" s="893"/>
      <c r="O350" s="893"/>
      <c r="P350" s="893"/>
      <c r="Q350" s="893"/>
      <c r="R350" s="893"/>
      <c r="S350" s="893"/>
      <c r="T350" s="893"/>
      <c r="U350" s="916"/>
      <c r="V350" s="1381"/>
      <c r="W350" s="916">
        <v>244.92699999999999</v>
      </c>
      <c r="X350" s="893"/>
      <c r="Y350" s="916">
        <v>532451.89300000004</v>
      </c>
      <c r="Z350" s="916">
        <v>3542315.6269999999</v>
      </c>
      <c r="AA350" s="893"/>
    </row>
    <row r="351" spans="1:27">
      <c r="A351" s="908"/>
      <c r="B351" s="913"/>
      <c r="C351" s="893"/>
      <c r="D351" s="893">
        <v>407.01299999999998</v>
      </c>
      <c r="E351" s="1381"/>
      <c r="F351" s="893"/>
      <c r="G351" s="914"/>
      <c r="H351" s="914"/>
      <c r="I351" s="905"/>
      <c r="J351" s="908"/>
      <c r="K351" s="913"/>
      <c r="L351" s="915"/>
      <c r="M351" s="893"/>
      <c r="N351" s="893"/>
      <c r="O351" s="893"/>
      <c r="P351" s="893"/>
      <c r="Q351" s="893"/>
      <c r="R351" s="893"/>
      <c r="S351" s="893"/>
      <c r="T351" s="893"/>
      <c r="U351" s="916">
        <v>414.71899999999999</v>
      </c>
      <c r="V351" s="1381"/>
      <c r="W351" s="915"/>
      <c r="X351" s="893"/>
      <c r="Y351" s="915"/>
      <c r="Z351" s="915"/>
      <c r="AA351" s="893"/>
    </row>
    <row r="352" spans="1:27">
      <c r="A352" s="906">
        <f>A350+1</f>
        <v>174</v>
      </c>
      <c r="B352" s="913" t="s">
        <v>2227</v>
      </c>
      <c r="C352" s="893" t="s">
        <v>62</v>
      </c>
      <c r="D352" s="893"/>
      <c r="E352" s="1381"/>
      <c r="F352" s="893"/>
      <c r="G352" s="914">
        <v>532592.87699999998</v>
      </c>
      <c r="H352" s="914">
        <v>3541925.9750000001</v>
      </c>
      <c r="I352" s="905"/>
      <c r="J352" s="906">
        <f>J350+1</f>
        <v>174</v>
      </c>
      <c r="K352" s="913" t="s">
        <v>2227</v>
      </c>
      <c r="L352" s="915" t="s">
        <v>62</v>
      </c>
      <c r="M352" s="893"/>
      <c r="N352" s="893"/>
      <c r="O352" s="893"/>
      <c r="P352" s="893"/>
      <c r="Q352" s="893"/>
      <c r="R352" s="893"/>
      <c r="S352" s="893"/>
      <c r="T352" s="893"/>
      <c r="U352" s="916"/>
      <c r="V352" s="1381"/>
      <c r="W352" s="916">
        <v>246.9</v>
      </c>
      <c r="X352" s="893"/>
      <c r="Y352" s="916">
        <v>532586.04099999997</v>
      </c>
      <c r="Z352" s="916">
        <v>3541923.2039999999</v>
      </c>
      <c r="AA352" s="893"/>
    </row>
    <row r="353" spans="1:27">
      <c r="A353" s="908"/>
      <c r="B353" s="913"/>
      <c r="C353" s="893"/>
      <c r="D353" s="893">
        <v>426.64699999999999</v>
      </c>
      <c r="E353" s="1381"/>
      <c r="F353" s="893"/>
      <c r="G353" s="914"/>
      <c r="H353" s="914"/>
      <c r="I353" s="905"/>
      <c r="J353" s="908"/>
      <c r="K353" s="913"/>
      <c r="L353" s="915"/>
      <c r="M353" s="893"/>
      <c r="N353" s="893"/>
      <c r="O353" s="893"/>
      <c r="P353" s="893"/>
      <c r="Q353" s="893"/>
      <c r="R353" s="893"/>
      <c r="S353" s="893"/>
      <c r="T353" s="893"/>
      <c r="U353" s="916">
        <v>426.173</v>
      </c>
      <c r="V353" s="1381"/>
      <c r="W353" s="915"/>
      <c r="X353" s="893"/>
      <c r="Y353" s="915"/>
      <c r="Z353" s="915"/>
      <c r="AA353" s="893" t="s">
        <v>2269</v>
      </c>
    </row>
    <row r="354" spans="1:27">
      <c r="A354" s="906">
        <f>A352+1</f>
        <v>175</v>
      </c>
      <c r="B354" s="913" t="s">
        <v>2228</v>
      </c>
      <c r="C354" s="893" t="s">
        <v>90</v>
      </c>
      <c r="D354" s="893"/>
      <c r="E354" s="1381"/>
      <c r="F354" s="893" t="s">
        <v>2229</v>
      </c>
      <c r="G354" s="914">
        <v>532723.89300000004</v>
      </c>
      <c r="H354" s="914">
        <v>3541519.9419999998</v>
      </c>
      <c r="I354" s="905"/>
      <c r="J354" s="906">
        <f>J352+1</f>
        <v>175</v>
      </c>
      <c r="K354" s="913" t="s">
        <v>2228</v>
      </c>
      <c r="L354" s="915" t="s">
        <v>90</v>
      </c>
      <c r="M354" s="893"/>
      <c r="N354" s="893"/>
      <c r="O354" s="893"/>
      <c r="P354" s="893"/>
      <c r="Q354" s="893"/>
      <c r="R354" s="893"/>
      <c r="S354" s="893"/>
      <c r="T354" s="893"/>
      <c r="U354" s="916"/>
      <c r="V354" s="1381"/>
      <c r="W354" s="916">
        <v>247.023</v>
      </c>
      <c r="X354" s="893" t="s">
        <v>2270</v>
      </c>
      <c r="Y354" s="916">
        <v>532723.89300000004</v>
      </c>
      <c r="Z354" s="916">
        <v>3541519.9419999998</v>
      </c>
      <c r="AA354" s="893"/>
    </row>
    <row r="355" spans="1:27" ht="29">
      <c r="A355" s="908"/>
      <c r="B355" s="913"/>
      <c r="C355" s="893"/>
      <c r="D355" s="893">
        <v>404.80900000000003</v>
      </c>
      <c r="E355" s="1381">
        <f>D355+D357+D359+D361</f>
        <v>1630.3970000000002</v>
      </c>
      <c r="F355" s="893"/>
      <c r="G355" s="914"/>
      <c r="H355" s="914"/>
      <c r="I355" s="905"/>
      <c r="J355" s="908"/>
      <c r="K355" s="913"/>
      <c r="L355" s="915"/>
      <c r="M355" s="893"/>
      <c r="N355" s="893"/>
      <c r="O355" s="893"/>
      <c r="P355" s="893"/>
      <c r="Q355" s="893"/>
      <c r="R355" s="893"/>
      <c r="S355" s="893"/>
      <c r="T355" s="893"/>
      <c r="U355" s="916">
        <v>404.80900000000003</v>
      </c>
      <c r="V355" s="1388">
        <f>U355+U357+U359+U361</f>
        <v>1630.3960000000002</v>
      </c>
      <c r="W355" s="915"/>
      <c r="X355" s="893"/>
      <c r="Y355" s="915"/>
      <c r="Z355" s="915"/>
      <c r="AA355" s="894" t="s">
        <v>2271</v>
      </c>
    </row>
    <row r="356" spans="1:27">
      <c r="A356" s="906">
        <f>A354+1</f>
        <v>176</v>
      </c>
      <c r="B356" s="913" t="s">
        <v>2230</v>
      </c>
      <c r="C356" s="893" t="s">
        <v>76</v>
      </c>
      <c r="D356" s="893"/>
      <c r="E356" s="1381"/>
      <c r="F356" s="893"/>
      <c r="G356" s="914">
        <v>532884.30900000001</v>
      </c>
      <c r="H356" s="914">
        <v>3541148.2740000002</v>
      </c>
      <c r="I356" s="905"/>
      <c r="J356" s="906">
        <f>J354+1</f>
        <v>176</v>
      </c>
      <c r="K356" s="913" t="s">
        <v>2230</v>
      </c>
      <c r="L356" s="915" t="s">
        <v>76</v>
      </c>
      <c r="M356" s="893"/>
      <c r="N356" s="893"/>
      <c r="O356" s="893"/>
      <c r="P356" s="893"/>
      <c r="Q356" s="893"/>
      <c r="R356" s="893"/>
      <c r="S356" s="893"/>
      <c r="T356" s="893"/>
      <c r="U356" s="916"/>
      <c r="V356" s="1381"/>
      <c r="W356" s="916">
        <v>247.02600000000001</v>
      </c>
      <c r="X356" s="893"/>
      <c r="Y356" s="916">
        <v>532884.30900000001</v>
      </c>
      <c r="Z356" s="916">
        <v>3541148.2740000002</v>
      </c>
      <c r="AA356" s="893"/>
    </row>
    <row r="357" spans="1:27">
      <c r="A357" s="908"/>
      <c r="B357" s="913"/>
      <c r="C357" s="893"/>
      <c r="D357" s="893">
        <v>392.738</v>
      </c>
      <c r="E357" s="1381"/>
      <c r="F357" s="893"/>
      <c r="G357" s="914"/>
      <c r="H357" s="914"/>
      <c r="I357" s="905"/>
      <c r="J357" s="908"/>
      <c r="K357" s="913"/>
      <c r="L357" s="915"/>
      <c r="M357" s="893"/>
      <c r="N357" s="893"/>
      <c r="O357" s="893"/>
      <c r="P357" s="893"/>
      <c r="Q357" s="893"/>
      <c r="R357" s="893"/>
      <c r="S357" s="893"/>
      <c r="T357" s="893"/>
      <c r="U357" s="916">
        <v>392.738</v>
      </c>
      <c r="V357" s="1381"/>
      <c r="W357" s="915"/>
      <c r="X357" s="893"/>
      <c r="Y357" s="915"/>
      <c r="Z357" s="915"/>
      <c r="AA357" s="893" t="s">
        <v>2272</v>
      </c>
    </row>
    <row r="358" spans="1:27">
      <c r="A358" s="906">
        <f>A356+1</f>
        <v>177</v>
      </c>
      <c r="B358" s="913" t="s">
        <v>2231</v>
      </c>
      <c r="C358" s="893" t="s">
        <v>76</v>
      </c>
      <c r="D358" s="893"/>
      <c r="E358" s="1381"/>
      <c r="F358" s="893"/>
      <c r="G358" s="914">
        <v>533039.94200000004</v>
      </c>
      <c r="H358" s="914">
        <v>3540787.6889999998</v>
      </c>
      <c r="I358" s="905"/>
      <c r="J358" s="906">
        <f>J356+1</f>
        <v>177</v>
      </c>
      <c r="K358" s="913" t="s">
        <v>2231</v>
      </c>
      <c r="L358" s="915" t="s">
        <v>76</v>
      </c>
      <c r="M358" s="893"/>
      <c r="N358" s="893"/>
      <c r="O358" s="893"/>
      <c r="P358" s="893"/>
      <c r="Q358" s="893"/>
      <c r="R358" s="893"/>
      <c r="S358" s="893"/>
      <c r="T358" s="893"/>
      <c r="U358" s="916"/>
      <c r="V358" s="1381"/>
      <c r="W358" s="916">
        <v>247.048</v>
      </c>
      <c r="X358" s="893"/>
      <c r="Y358" s="916">
        <v>533039.94200000004</v>
      </c>
      <c r="Z358" s="916">
        <v>3540787.6889999998</v>
      </c>
      <c r="AA358" s="893"/>
    </row>
    <row r="359" spans="1:27">
      <c r="A359" s="908"/>
      <c r="B359" s="913"/>
      <c r="C359" s="893"/>
      <c r="D359" s="893">
        <v>391.93900000000002</v>
      </c>
      <c r="E359" s="1381"/>
      <c r="F359" s="893"/>
      <c r="G359" s="914"/>
      <c r="H359" s="914"/>
      <c r="I359" s="905"/>
      <c r="J359" s="908"/>
      <c r="K359" s="913"/>
      <c r="L359" s="915"/>
      <c r="M359" s="893"/>
      <c r="N359" s="893"/>
      <c r="O359" s="893"/>
      <c r="P359" s="893"/>
      <c r="Q359" s="893"/>
      <c r="R359" s="893"/>
      <c r="S359" s="893"/>
      <c r="T359" s="893"/>
      <c r="U359" s="916">
        <v>391.93900000000002</v>
      </c>
      <c r="V359" s="1381"/>
      <c r="W359" s="915"/>
      <c r="X359" s="893"/>
      <c r="Y359" s="915"/>
      <c r="Z359" s="915"/>
      <c r="AA359" s="893" t="s">
        <v>2273</v>
      </c>
    </row>
    <row r="360" spans="1:27">
      <c r="A360" s="906">
        <f>A358+1</f>
        <v>178</v>
      </c>
      <c r="B360" s="913" t="s">
        <v>2232</v>
      </c>
      <c r="C360" s="893" t="s">
        <v>76</v>
      </c>
      <c r="D360" s="893"/>
      <c r="E360" s="1381"/>
      <c r="F360" s="893"/>
      <c r="G360" s="914">
        <v>533195.25800000003</v>
      </c>
      <c r="H360" s="914">
        <v>3540427.838</v>
      </c>
      <c r="I360" s="905"/>
      <c r="J360" s="906">
        <f>J358+1</f>
        <v>178</v>
      </c>
      <c r="K360" s="913" t="s">
        <v>2232</v>
      </c>
      <c r="L360" s="915" t="s">
        <v>76</v>
      </c>
      <c r="M360" s="893"/>
      <c r="N360" s="893"/>
      <c r="O360" s="893"/>
      <c r="P360" s="893"/>
      <c r="Q360" s="893"/>
      <c r="R360" s="893"/>
      <c r="S360" s="893"/>
      <c r="T360" s="893"/>
      <c r="U360" s="916"/>
      <c r="V360" s="1381"/>
      <c r="W360" s="916">
        <v>247.309</v>
      </c>
      <c r="X360" s="893"/>
      <c r="Y360" s="916">
        <v>533195.25899999996</v>
      </c>
      <c r="Z360" s="916">
        <v>3540427.8369999998</v>
      </c>
      <c r="AA360" s="893"/>
    </row>
    <row r="361" spans="1:27">
      <c r="A361" s="908"/>
      <c r="B361" s="913"/>
      <c r="C361" s="893"/>
      <c r="D361" s="893">
        <v>440.911</v>
      </c>
      <c r="E361" s="1381"/>
      <c r="F361" s="893"/>
      <c r="G361" s="914"/>
      <c r="H361" s="914"/>
      <c r="I361" s="905"/>
      <c r="J361" s="908"/>
      <c r="K361" s="913"/>
      <c r="L361" s="915"/>
      <c r="M361" s="893"/>
      <c r="N361" s="893"/>
      <c r="O361" s="893"/>
      <c r="P361" s="893"/>
      <c r="Q361" s="893"/>
      <c r="R361" s="893"/>
      <c r="S361" s="893"/>
      <c r="T361" s="893"/>
      <c r="U361" s="916">
        <v>440.91</v>
      </c>
      <c r="V361" s="1381"/>
      <c r="W361" s="915"/>
      <c r="X361" s="893"/>
      <c r="Y361" s="915"/>
      <c r="Z361" s="915"/>
      <c r="AA361" s="893"/>
    </row>
    <row r="362" spans="1:27">
      <c r="A362" s="906">
        <f>A360+1</f>
        <v>179</v>
      </c>
      <c r="B362" s="913" t="s">
        <v>2233</v>
      </c>
      <c r="C362" s="893" t="s">
        <v>2221</v>
      </c>
      <c r="D362" s="893"/>
      <c r="E362" s="1381"/>
      <c r="F362" s="893" t="s">
        <v>2234</v>
      </c>
      <c r="G362" s="914">
        <v>533369.98100000003</v>
      </c>
      <c r="H362" s="914">
        <v>3540023.0240000002</v>
      </c>
      <c r="I362" s="905"/>
      <c r="J362" s="906">
        <f>J360+1</f>
        <v>179</v>
      </c>
      <c r="K362" s="913" t="s">
        <v>2233</v>
      </c>
      <c r="L362" s="915" t="s">
        <v>2221</v>
      </c>
      <c r="M362" s="893">
        <v>1</v>
      </c>
      <c r="N362" s="893">
        <v>1</v>
      </c>
      <c r="O362" s="893">
        <v>1</v>
      </c>
      <c r="P362" s="893">
        <v>1</v>
      </c>
      <c r="Q362" s="893"/>
      <c r="R362" s="893"/>
      <c r="S362" s="893"/>
      <c r="T362" s="893"/>
      <c r="U362" s="916"/>
      <c r="V362" s="1381"/>
      <c r="W362" s="916">
        <v>248.95400000000001</v>
      </c>
      <c r="X362" s="893" t="s">
        <v>2274</v>
      </c>
      <c r="Y362" s="916">
        <v>533369.98100000003</v>
      </c>
      <c r="Z362" s="916">
        <v>3540023.0240000002</v>
      </c>
      <c r="AA362" s="893"/>
    </row>
    <row r="363" spans="1:27" ht="29">
      <c r="A363" s="908"/>
      <c r="B363" s="913"/>
      <c r="C363" s="893"/>
      <c r="D363" s="893">
        <v>186.01400000000001</v>
      </c>
      <c r="E363" s="1381">
        <v>186.01400000000001</v>
      </c>
      <c r="F363" s="893"/>
      <c r="G363" s="914"/>
      <c r="H363" s="914"/>
      <c r="I363" s="905"/>
      <c r="J363" s="908"/>
      <c r="K363" s="913"/>
      <c r="L363" s="915"/>
      <c r="M363" s="893"/>
      <c r="N363" s="893"/>
      <c r="O363" s="893"/>
      <c r="P363" s="893"/>
      <c r="Q363" s="893"/>
      <c r="R363" s="893"/>
      <c r="S363" s="893"/>
      <c r="T363" s="893"/>
      <c r="U363" s="916">
        <v>320.74299999999999</v>
      </c>
      <c r="V363" s="914">
        <v>320.74250000000001</v>
      </c>
      <c r="W363" s="915"/>
      <c r="X363" s="893"/>
      <c r="Y363" s="915"/>
      <c r="Z363" s="915"/>
      <c r="AA363" s="894" t="s">
        <v>2284</v>
      </c>
    </row>
    <row r="364" spans="1:27">
      <c r="A364" s="906">
        <f>A362+1</f>
        <v>180</v>
      </c>
      <c r="B364" s="913" t="s">
        <v>2235</v>
      </c>
      <c r="C364" s="893" t="s">
        <v>2236</v>
      </c>
      <c r="D364" s="893"/>
      <c r="E364" s="1381"/>
      <c r="F364" s="893" t="s">
        <v>2237</v>
      </c>
      <c r="G364" s="914">
        <v>533433.00300000003</v>
      </c>
      <c r="H364" s="914">
        <v>3539848.0109999999</v>
      </c>
      <c r="I364" s="905"/>
      <c r="J364" s="906">
        <f>J362+1</f>
        <v>180</v>
      </c>
      <c r="K364" s="913" t="s">
        <v>2235</v>
      </c>
      <c r="L364" s="915" t="s">
        <v>2236</v>
      </c>
      <c r="M364" s="893"/>
      <c r="N364" s="893"/>
      <c r="O364" s="893"/>
      <c r="P364" s="893"/>
      <c r="Q364" s="893"/>
      <c r="R364" s="893"/>
      <c r="S364" s="893"/>
      <c r="T364" s="893"/>
      <c r="U364" s="916"/>
      <c r="V364" s="893"/>
      <c r="W364" s="916">
        <v>250.76</v>
      </c>
      <c r="X364" s="893" t="s">
        <v>2275</v>
      </c>
      <c r="Y364" s="916">
        <v>533486</v>
      </c>
      <c r="Z364" s="916">
        <v>3539724</v>
      </c>
      <c r="AA364" s="893"/>
    </row>
    <row r="365" spans="1:27">
      <c r="A365" s="908"/>
      <c r="B365" s="913"/>
      <c r="C365" s="893"/>
      <c r="D365" s="893">
        <v>372.46</v>
      </c>
      <c r="E365" s="1381">
        <v>372.46</v>
      </c>
      <c r="F365" s="893"/>
      <c r="G365" s="914"/>
      <c r="H365" s="914"/>
      <c r="I365" s="905"/>
      <c r="J365" s="908"/>
      <c r="K365" s="913"/>
      <c r="L365" s="915"/>
      <c r="M365" s="893"/>
      <c r="N365" s="893"/>
      <c r="O365" s="893"/>
      <c r="P365" s="893"/>
      <c r="Q365" s="893"/>
      <c r="R365" s="893"/>
      <c r="S365" s="893"/>
      <c r="T365" s="893"/>
      <c r="U365" s="916">
        <v>242.22499999999999</v>
      </c>
      <c r="V365" s="893">
        <v>242.22499999999999</v>
      </c>
      <c r="W365" s="915"/>
      <c r="X365" s="893"/>
      <c r="Y365" s="915"/>
      <c r="Z365" s="915"/>
      <c r="AA365" s="894" t="s">
        <v>2285</v>
      </c>
    </row>
    <row r="366" spans="1:27">
      <c r="A366" s="906">
        <f>A364+1</f>
        <v>181</v>
      </c>
      <c r="B366" s="913" t="s">
        <v>2238</v>
      </c>
      <c r="C366" s="893" t="s">
        <v>1319</v>
      </c>
      <c r="D366" s="893"/>
      <c r="E366" s="1381"/>
      <c r="F366" s="893" t="s">
        <v>2239</v>
      </c>
      <c r="G366" s="914">
        <v>533679.48</v>
      </c>
      <c r="H366" s="914">
        <v>3539568.77</v>
      </c>
      <c r="I366" s="905"/>
      <c r="J366" s="906">
        <f>J364+1</f>
        <v>181</v>
      </c>
      <c r="K366" s="913" t="s">
        <v>2238</v>
      </c>
      <c r="L366" s="915" t="s">
        <v>1319</v>
      </c>
      <c r="M366" s="893"/>
      <c r="N366" s="893"/>
      <c r="O366" s="893"/>
      <c r="P366" s="893"/>
      <c r="Q366" s="893"/>
      <c r="R366" s="893"/>
      <c r="S366" s="893"/>
      <c r="T366" s="893"/>
      <c r="U366" s="916"/>
      <c r="V366" s="1381">
        <f>U367+U369</f>
        <v>839.24900000000002</v>
      </c>
      <c r="W366" s="916">
        <v>253.15</v>
      </c>
      <c r="X366" s="893" t="s">
        <v>2276</v>
      </c>
      <c r="Y366" s="916">
        <v>533678.44299999997</v>
      </c>
      <c r="Z366" s="916">
        <v>3539576.8990000002</v>
      </c>
      <c r="AA366" s="893"/>
    </row>
    <row r="367" spans="1:27">
      <c r="A367" s="908"/>
      <c r="B367" s="913"/>
      <c r="C367" s="893"/>
      <c r="D367" s="893">
        <v>378.29199999999997</v>
      </c>
      <c r="E367" s="893">
        <v>378.29199999999997</v>
      </c>
      <c r="F367" s="893"/>
      <c r="G367" s="914"/>
      <c r="H367" s="914"/>
      <c r="I367" s="905"/>
      <c r="J367" s="908"/>
      <c r="K367" s="913"/>
      <c r="L367" s="915"/>
      <c r="M367" s="893"/>
      <c r="N367" s="893"/>
      <c r="O367" s="893"/>
      <c r="P367" s="893"/>
      <c r="Q367" s="893"/>
      <c r="R367" s="893"/>
      <c r="S367" s="893"/>
      <c r="T367" s="893"/>
      <c r="U367" s="916">
        <v>380.988</v>
      </c>
      <c r="V367" s="1381"/>
      <c r="W367" s="915"/>
      <c r="X367" s="893"/>
      <c r="Y367" s="915"/>
      <c r="Z367" s="915"/>
      <c r="AA367" s="894" t="s">
        <v>2277</v>
      </c>
    </row>
    <row r="368" spans="1:27">
      <c r="A368" s="906">
        <f>A366+1</f>
        <v>182</v>
      </c>
      <c r="B368" s="913" t="s">
        <v>2240</v>
      </c>
      <c r="C368" s="893" t="s">
        <v>76</v>
      </c>
      <c r="D368" s="893"/>
      <c r="E368" s="1381">
        <f>D369+D371</f>
        <v>703.04200000000003</v>
      </c>
      <c r="F368" s="893"/>
      <c r="G368" s="914">
        <v>533707.17000000004</v>
      </c>
      <c r="H368" s="914">
        <v>3539191.4929999998</v>
      </c>
      <c r="I368" s="905"/>
      <c r="J368" s="906">
        <f>J366+1</f>
        <v>182</v>
      </c>
      <c r="K368" s="913" t="s">
        <v>2240</v>
      </c>
      <c r="L368" s="915" t="s">
        <v>76</v>
      </c>
      <c r="M368" s="893"/>
      <c r="N368" s="893"/>
      <c r="O368" s="893"/>
      <c r="P368" s="893"/>
      <c r="Q368" s="893"/>
      <c r="R368" s="893"/>
      <c r="S368" s="893"/>
      <c r="T368" s="893"/>
      <c r="U368" s="916"/>
      <c r="V368" s="1381"/>
      <c r="W368" s="916">
        <v>252.87100000000001</v>
      </c>
      <c r="X368" s="893"/>
      <c r="Y368" s="916">
        <v>533692.38199999998</v>
      </c>
      <c r="Z368" s="916">
        <v>3539196.1660000002</v>
      </c>
      <c r="AA368" s="893"/>
    </row>
    <row r="369" spans="1:27">
      <c r="A369" s="908"/>
      <c r="B369" s="913"/>
      <c r="C369" s="893"/>
      <c r="D369" s="893">
        <v>455.59500000000003</v>
      </c>
      <c r="E369" s="1381"/>
      <c r="F369" s="893"/>
      <c r="G369" s="914"/>
      <c r="H369" s="914"/>
      <c r="I369" s="905"/>
      <c r="J369" s="908"/>
      <c r="K369" s="913"/>
      <c r="L369" s="915"/>
      <c r="M369" s="893"/>
      <c r="N369" s="893"/>
      <c r="O369" s="893"/>
      <c r="P369" s="893"/>
      <c r="Q369" s="893"/>
      <c r="R369" s="893"/>
      <c r="S369" s="893"/>
      <c r="T369" s="893"/>
      <c r="U369" s="916">
        <v>458.26100000000002</v>
      </c>
      <c r="V369" s="1381"/>
      <c r="W369" s="915"/>
      <c r="X369" s="893"/>
      <c r="Y369" s="915"/>
      <c r="Z369" s="915"/>
      <c r="AA369" s="893"/>
    </row>
    <row r="370" spans="1:27">
      <c r="A370" s="906">
        <f>A368+1</f>
        <v>183</v>
      </c>
      <c r="B370" s="913" t="s">
        <v>2241</v>
      </c>
      <c r="C370" s="893" t="s">
        <v>2236</v>
      </c>
      <c r="D370" s="893"/>
      <c r="E370" s="1381"/>
      <c r="F370" s="893" t="s">
        <v>2242</v>
      </c>
      <c r="G370" s="914">
        <v>533740.51899999997</v>
      </c>
      <c r="H370" s="914">
        <v>3538737.12</v>
      </c>
      <c r="I370" s="905"/>
      <c r="J370" s="906">
        <f>J368+1</f>
        <v>183</v>
      </c>
      <c r="K370" s="913" t="s">
        <v>2241</v>
      </c>
      <c r="L370" s="915" t="s">
        <v>2236</v>
      </c>
      <c r="M370" s="893"/>
      <c r="N370" s="893"/>
      <c r="O370" s="893"/>
      <c r="P370" s="893"/>
      <c r="Q370" s="893"/>
      <c r="R370" s="893"/>
      <c r="S370" s="893"/>
      <c r="T370" s="893"/>
      <c r="U370" s="916"/>
      <c r="V370" s="1381"/>
      <c r="W370" s="916">
        <v>252.38499999999999</v>
      </c>
      <c r="X370" s="893" t="s">
        <v>2278</v>
      </c>
      <c r="Y370" s="916">
        <v>533709.14800000004</v>
      </c>
      <c r="Z370" s="916">
        <v>3538738.2119999998</v>
      </c>
      <c r="AA370" s="893"/>
    </row>
    <row r="371" spans="1:27" ht="29">
      <c r="A371" s="908"/>
      <c r="B371" s="913"/>
      <c r="C371" s="893"/>
      <c r="D371" s="893">
        <v>247.447</v>
      </c>
      <c r="E371" s="1381"/>
      <c r="F371" s="893"/>
      <c r="G371" s="914"/>
      <c r="H371" s="914"/>
      <c r="I371" s="905"/>
      <c r="J371" s="908"/>
      <c r="K371" s="913"/>
      <c r="L371" s="915"/>
      <c r="M371" s="893"/>
      <c r="N371" s="893"/>
      <c r="O371" s="893"/>
      <c r="P371" s="893"/>
      <c r="Q371" s="893"/>
      <c r="R371" s="893"/>
      <c r="S371" s="893"/>
      <c r="T371" s="893"/>
      <c r="U371" s="916">
        <v>242.66300000000001</v>
      </c>
      <c r="V371" s="893">
        <v>242.66300000000001</v>
      </c>
      <c r="W371" s="915"/>
      <c r="X371" s="893"/>
      <c r="Y371" s="915"/>
      <c r="Z371" s="915"/>
      <c r="AA371" s="894" t="s">
        <v>2286</v>
      </c>
    </row>
    <row r="372" spans="1:27">
      <c r="A372" s="906">
        <f>A370+1</f>
        <v>184</v>
      </c>
      <c r="B372" s="913" t="s">
        <v>2243</v>
      </c>
      <c r="C372" s="893" t="s">
        <v>2236</v>
      </c>
      <c r="D372" s="893"/>
      <c r="E372" s="893"/>
      <c r="F372" s="893" t="s">
        <v>2244</v>
      </c>
      <c r="G372" s="914">
        <v>533893.99100000004</v>
      </c>
      <c r="H372" s="914">
        <v>3538543.0159999998</v>
      </c>
      <c r="I372" s="905"/>
      <c r="J372" s="906">
        <f>J370+1</f>
        <v>184</v>
      </c>
      <c r="K372" s="913" t="s">
        <v>2243</v>
      </c>
      <c r="L372" s="915" t="s">
        <v>1999</v>
      </c>
      <c r="M372" s="893"/>
      <c r="N372" s="893"/>
      <c r="O372" s="893"/>
      <c r="P372" s="893"/>
      <c r="Q372" s="893"/>
      <c r="R372" s="893"/>
      <c r="S372" s="893"/>
      <c r="T372" s="893"/>
      <c r="U372" s="916"/>
      <c r="V372" s="1381">
        <f>U373+U375+U377</f>
        <v>1149.152</v>
      </c>
      <c r="W372" s="916">
        <v>252.47300000000001</v>
      </c>
      <c r="X372" s="893" t="s">
        <v>2279</v>
      </c>
      <c r="Y372" s="916">
        <v>533887.87399999995</v>
      </c>
      <c r="Z372" s="916">
        <v>3538574.071</v>
      </c>
      <c r="AA372" s="893"/>
    </row>
    <row r="373" spans="1:27">
      <c r="A373" s="908"/>
      <c r="B373" s="913"/>
      <c r="C373" s="893"/>
      <c r="D373" s="893">
        <v>376.60700000000003</v>
      </c>
      <c r="E373" s="1381">
        <f>D373+D375+D377</f>
        <v>1117.502</v>
      </c>
      <c r="F373" s="893"/>
      <c r="G373" s="914"/>
      <c r="H373" s="914"/>
      <c r="I373" s="905"/>
      <c r="J373" s="908"/>
      <c r="K373" s="913"/>
      <c r="L373" s="915"/>
      <c r="M373" s="893"/>
      <c r="N373" s="893"/>
      <c r="O373" s="893"/>
      <c r="P373" s="893"/>
      <c r="Q373" s="893"/>
      <c r="R373" s="893"/>
      <c r="S373" s="893"/>
      <c r="T373" s="893"/>
      <c r="U373" s="916">
        <v>408.25799999999998</v>
      </c>
      <c r="V373" s="1381"/>
      <c r="W373" s="915"/>
      <c r="X373" s="893"/>
      <c r="Y373" s="915"/>
      <c r="Z373" s="915"/>
      <c r="AA373" s="893" t="s">
        <v>2280</v>
      </c>
    </row>
    <row r="374" spans="1:27">
      <c r="A374" s="906">
        <f>A372+1</f>
        <v>185</v>
      </c>
      <c r="B374" s="913" t="s">
        <v>2245</v>
      </c>
      <c r="C374" s="893" t="s">
        <v>76</v>
      </c>
      <c r="D374" s="893"/>
      <c r="E374" s="1381"/>
      <c r="F374" s="893"/>
      <c r="G374" s="914">
        <v>533963.11300000001</v>
      </c>
      <c r="H374" s="914">
        <v>3538172.807</v>
      </c>
      <c r="I374" s="905"/>
      <c r="J374" s="906">
        <f>J372+1</f>
        <v>185</v>
      </c>
      <c r="K374" s="913" t="s">
        <v>2245</v>
      </c>
      <c r="L374" s="915" t="s">
        <v>76</v>
      </c>
      <c r="M374" s="893"/>
      <c r="N374" s="893"/>
      <c r="O374" s="893"/>
      <c r="P374" s="893"/>
      <c r="Q374" s="893"/>
      <c r="R374" s="893"/>
      <c r="S374" s="893"/>
      <c r="T374" s="893"/>
      <c r="U374" s="916"/>
      <c r="V374" s="1381"/>
      <c r="W374" s="916">
        <v>252.708</v>
      </c>
      <c r="X374" s="893"/>
      <c r="Y374" s="916">
        <v>533962.91399999999</v>
      </c>
      <c r="Z374" s="916">
        <v>3538172.7689999999</v>
      </c>
      <c r="AA374" s="893"/>
    </row>
    <row r="375" spans="1:27">
      <c r="A375" s="908"/>
      <c r="B375" s="913"/>
      <c r="C375" s="893"/>
      <c r="D375" s="893">
        <v>342.47699999999998</v>
      </c>
      <c r="E375" s="1381"/>
      <c r="F375" s="893"/>
      <c r="G375" s="914"/>
      <c r="H375" s="914"/>
      <c r="I375" s="905"/>
      <c r="J375" s="908"/>
      <c r="K375" s="913"/>
      <c r="L375" s="915"/>
      <c r="M375" s="893"/>
      <c r="N375" s="893"/>
      <c r="O375" s="893"/>
      <c r="P375" s="893"/>
      <c r="Q375" s="893"/>
      <c r="R375" s="893"/>
      <c r="S375" s="893"/>
      <c r="T375" s="893"/>
      <c r="U375" s="916">
        <v>342.476</v>
      </c>
      <c r="V375" s="1381"/>
      <c r="W375" s="915"/>
      <c r="X375" s="893"/>
      <c r="Y375" s="915"/>
      <c r="Z375" s="915"/>
      <c r="AA375" s="893" t="s">
        <v>2281</v>
      </c>
    </row>
    <row r="376" spans="1:27">
      <c r="A376" s="906">
        <f>A374+1</f>
        <v>186</v>
      </c>
      <c r="B376" s="913" t="s">
        <v>2246</v>
      </c>
      <c r="C376" s="893" t="s">
        <v>76</v>
      </c>
      <c r="D376" s="893"/>
      <c r="E376" s="1381"/>
      <c r="F376" s="893"/>
      <c r="G376" s="914">
        <v>534025.97</v>
      </c>
      <c r="H376" s="914">
        <v>3537836.148</v>
      </c>
      <c r="I376" s="905"/>
      <c r="J376" s="906">
        <f>J374+1</f>
        <v>186</v>
      </c>
      <c r="K376" s="913" t="s">
        <v>2246</v>
      </c>
      <c r="L376" s="915" t="s">
        <v>76</v>
      </c>
      <c r="M376" s="893"/>
      <c r="N376" s="893"/>
      <c r="O376" s="893"/>
      <c r="P376" s="893"/>
      <c r="Q376" s="893"/>
      <c r="R376" s="893"/>
      <c r="S376" s="893"/>
      <c r="T376" s="893"/>
      <c r="U376" s="916"/>
      <c r="V376" s="1381"/>
      <c r="W376" s="916">
        <v>252.36500000000001</v>
      </c>
      <c r="X376" s="893"/>
      <c r="Y376" s="916">
        <v>534025.86300000001</v>
      </c>
      <c r="Z376" s="916">
        <v>3537836.128</v>
      </c>
      <c r="AA376" s="893"/>
    </row>
    <row r="377" spans="1:27">
      <c r="A377" s="908"/>
      <c r="B377" s="913"/>
      <c r="C377" s="893"/>
      <c r="D377" s="893">
        <v>398.41800000000001</v>
      </c>
      <c r="E377" s="1381"/>
      <c r="F377" s="893"/>
      <c r="G377" s="914"/>
      <c r="H377" s="914"/>
      <c r="I377" s="905"/>
      <c r="J377" s="908"/>
      <c r="K377" s="913"/>
      <c r="L377" s="915"/>
      <c r="M377" s="893"/>
      <c r="N377" s="893"/>
      <c r="O377" s="893"/>
      <c r="P377" s="893"/>
      <c r="Q377" s="893"/>
      <c r="R377" s="893"/>
      <c r="S377" s="893"/>
      <c r="T377" s="893"/>
      <c r="U377" s="916">
        <v>398.41800000000001</v>
      </c>
      <c r="V377" s="1381"/>
      <c r="W377" s="915"/>
      <c r="X377" s="893"/>
      <c r="Y377" s="915"/>
      <c r="Z377" s="915"/>
      <c r="AA377" s="893"/>
    </row>
    <row r="378" spans="1:27">
      <c r="A378" s="906">
        <f>A376+1</f>
        <v>187</v>
      </c>
      <c r="B378" s="913" t="s">
        <v>2247</v>
      </c>
      <c r="C378" s="893" t="s">
        <v>2221</v>
      </c>
      <c r="D378" s="794"/>
      <c r="E378" s="1381"/>
      <c r="F378" s="893" t="s">
        <v>2248</v>
      </c>
      <c r="G378" s="914">
        <v>534099.09499999997</v>
      </c>
      <c r="H378" s="914">
        <v>3537444.4980000001</v>
      </c>
      <c r="I378" s="905"/>
      <c r="J378" s="906">
        <f>J376+1</f>
        <v>187</v>
      </c>
      <c r="K378" s="913" t="s">
        <v>2247</v>
      </c>
      <c r="L378" s="915" t="s">
        <v>2221</v>
      </c>
      <c r="M378" s="893"/>
      <c r="N378" s="893"/>
      <c r="O378" s="893"/>
      <c r="P378" s="893"/>
      <c r="Q378" s="893"/>
      <c r="R378" s="893"/>
      <c r="S378" s="893"/>
      <c r="T378" s="893"/>
      <c r="U378" s="916"/>
      <c r="V378" s="1381"/>
      <c r="W378" s="916">
        <v>251.542</v>
      </c>
      <c r="X378" s="893" t="s">
        <v>2282</v>
      </c>
      <c r="Y378" s="916">
        <v>534099.09499999997</v>
      </c>
      <c r="Z378" s="916">
        <v>3537444.4980000001</v>
      </c>
      <c r="AA378" s="893"/>
    </row>
    <row r="379" spans="1:27">
      <c r="A379" s="908"/>
      <c r="B379" s="913"/>
      <c r="C379" s="893"/>
      <c r="D379" s="893">
        <v>251.51599999999999</v>
      </c>
      <c r="E379" s="1381">
        <v>251.51599999999999</v>
      </c>
      <c r="F379" s="893"/>
      <c r="G379" s="914"/>
      <c r="H379" s="914"/>
      <c r="I379" s="905"/>
      <c r="J379" s="908"/>
      <c r="K379" s="913"/>
      <c r="L379" s="915"/>
      <c r="M379" s="893"/>
      <c r="N379" s="893"/>
      <c r="O379" s="893"/>
      <c r="P379" s="893"/>
      <c r="Q379" s="893"/>
      <c r="R379" s="893"/>
      <c r="S379" s="893"/>
      <c r="T379" s="893"/>
      <c r="U379" s="914">
        <v>251.51599999999999</v>
      </c>
      <c r="V379" s="1381">
        <f>U379</f>
        <v>251.51599999999999</v>
      </c>
      <c r="W379" s="915"/>
      <c r="X379" s="893"/>
      <c r="Y379" s="915"/>
      <c r="Z379" s="915"/>
      <c r="AA379" s="894" t="s">
        <v>2287</v>
      </c>
    </row>
    <row r="380" spans="1:27">
      <c r="A380" s="906">
        <f>A378+1</f>
        <v>188</v>
      </c>
      <c r="B380" s="913" t="s">
        <v>2249</v>
      </c>
      <c r="C380" s="893" t="s">
        <v>2221</v>
      </c>
      <c r="D380" s="893"/>
      <c r="E380" s="1381"/>
      <c r="F380" s="893" t="s">
        <v>2250</v>
      </c>
      <c r="G380" s="914">
        <v>534147.81200000003</v>
      </c>
      <c r="H380" s="914">
        <v>3537197.7450000001</v>
      </c>
      <c r="I380" s="905"/>
      <c r="J380" s="906">
        <f>J378+1</f>
        <v>188</v>
      </c>
      <c r="K380" s="913" t="s">
        <v>2328</v>
      </c>
      <c r="L380" s="893" t="s">
        <v>2221</v>
      </c>
      <c r="M380" s="893"/>
      <c r="N380" s="893"/>
      <c r="O380" s="893"/>
      <c r="P380" s="893"/>
      <c r="Q380" s="893"/>
      <c r="R380" s="893"/>
      <c r="S380" s="893"/>
      <c r="T380" s="893"/>
      <c r="U380" s="914"/>
      <c r="V380" s="1381"/>
      <c r="W380" s="916">
        <v>251.39400000000001</v>
      </c>
      <c r="X380" s="893" t="s">
        <v>2329</v>
      </c>
      <c r="Y380" s="916">
        <v>534147.81200000003</v>
      </c>
      <c r="Z380" s="916">
        <v>3537197.7450000001</v>
      </c>
      <c r="AA380" s="893"/>
    </row>
    <row r="381" spans="1:27">
      <c r="A381" s="908"/>
      <c r="B381" s="908"/>
      <c r="C381" s="910"/>
      <c r="D381" s="920">
        <v>430.21300000000002</v>
      </c>
      <c r="E381" s="1381">
        <v>430.21300000000002</v>
      </c>
      <c r="F381" s="908"/>
      <c r="G381" s="908"/>
      <c r="H381" s="908"/>
      <c r="I381" s="905"/>
      <c r="J381" s="908"/>
      <c r="K381" s="908"/>
      <c r="L381" s="908"/>
      <c r="M381" s="908"/>
      <c r="N381" s="908"/>
      <c r="O381" s="908"/>
      <c r="P381" s="908"/>
      <c r="Q381" s="908"/>
      <c r="R381" s="908"/>
      <c r="S381" s="908"/>
      <c r="T381" s="908"/>
      <c r="U381" s="914">
        <v>445.12599999999998</v>
      </c>
      <c r="V381" s="1386">
        <f>U381</f>
        <v>445.12599999999998</v>
      </c>
      <c r="W381" s="908"/>
      <c r="X381" s="908"/>
      <c r="Y381" s="908"/>
      <c r="Z381" s="908"/>
      <c r="AA381" s="921" t="s">
        <v>2341</v>
      </c>
    </row>
    <row r="382" spans="1:27" ht="14.5" customHeight="1">
      <c r="A382" s="906">
        <f>A380+1</f>
        <v>189</v>
      </c>
      <c r="B382" s="913" t="s">
        <v>2289</v>
      </c>
      <c r="C382" s="893" t="s">
        <v>1269</v>
      </c>
      <c r="D382" s="910"/>
      <c r="E382" s="1381"/>
      <c r="F382" s="893" t="s">
        <v>2288</v>
      </c>
      <c r="G382" s="914">
        <v>534211.07999999996</v>
      </c>
      <c r="H382" s="914">
        <v>3536772.21</v>
      </c>
      <c r="I382" s="905"/>
      <c r="J382" s="906">
        <f>J380+1</f>
        <v>189</v>
      </c>
      <c r="K382" s="913" t="s">
        <v>2289</v>
      </c>
      <c r="L382" s="893" t="s">
        <v>1269</v>
      </c>
      <c r="M382" s="908"/>
      <c r="N382" s="908"/>
      <c r="O382" s="908"/>
      <c r="P382" s="908"/>
      <c r="Q382" s="908"/>
      <c r="R382" s="908"/>
      <c r="S382" s="908"/>
      <c r="T382" s="908"/>
      <c r="U382" s="914"/>
      <c r="V382" s="1387"/>
      <c r="W382" s="916">
        <v>248.76</v>
      </c>
      <c r="X382" s="893" t="s">
        <v>2331</v>
      </c>
      <c r="Y382" s="914">
        <v>534209.72400000005</v>
      </c>
      <c r="Z382" s="914">
        <v>3536756.9449999998</v>
      </c>
      <c r="AA382" s="922"/>
    </row>
    <row r="383" spans="1:27" ht="14.5" customHeight="1">
      <c r="A383" s="908"/>
      <c r="B383" s="893"/>
      <c r="C383" s="893"/>
      <c r="D383" s="920">
        <v>413.16800000000001</v>
      </c>
      <c r="E383" s="1381">
        <f>D383+D385</f>
        <v>834.25800000000004</v>
      </c>
      <c r="F383" s="893"/>
      <c r="G383" s="914"/>
      <c r="H383" s="914"/>
      <c r="I383" s="905"/>
      <c r="J383" s="908"/>
      <c r="K383" s="893"/>
      <c r="L383" s="893"/>
      <c r="M383" s="908"/>
      <c r="N383" s="908"/>
      <c r="O383" s="908"/>
      <c r="P383" s="908"/>
      <c r="Q383" s="908"/>
      <c r="R383" s="908"/>
      <c r="S383" s="908"/>
      <c r="T383" s="908"/>
      <c r="U383" s="914">
        <v>418.77699999999999</v>
      </c>
      <c r="V383" s="1381">
        <f>SUM(U383:U385)</f>
        <v>838.553</v>
      </c>
      <c r="W383" s="916"/>
      <c r="X383" s="893"/>
      <c r="Y383" s="914"/>
      <c r="Z383" s="914"/>
      <c r="AA383" s="921" t="s">
        <v>2342</v>
      </c>
    </row>
    <row r="384" spans="1:27">
      <c r="A384" s="906">
        <f>A382+1</f>
        <v>190</v>
      </c>
      <c r="B384" s="913" t="s">
        <v>2290</v>
      </c>
      <c r="C384" s="893" t="s">
        <v>53</v>
      </c>
      <c r="D384" s="893"/>
      <c r="E384" s="1381"/>
      <c r="F384" s="893"/>
      <c r="G384" s="914">
        <v>534252.37399999995</v>
      </c>
      <c r="H384" s="914">
        <v>3536361.111</v>
      </c>
      <c r="I384" s="905"/>
      <c r="J384" s="906">
        <f>J382+1</f>
        <v>190</v>
      </c>
      <c r="K384" s="913" t="s">
        <v>2290</v>
      </c>
      <c r="L384" s="893" t="s">
        <v>53</v>
      </c>
      <c r="M384" s="908"/>
      <c r="N384" s="908"/>
      <c r="O384" s="908"/>
      <c r="P384" s="908"/>
      <c r="Q384" s="908"/>
      <c r="R384" s="908"/>
      <c r="S384" s="908"/>
      <c r="T384" s="908"/>
      <c r="U384" s="914"/>
      <c r="V384" s="1381"/>
      <c r="W384" s="916">
        <v>249.17099999999999</v>
      </c>
      <c r="X384" s="893"/>
      <c r="Y384" s="914">
        <v>534255.59499999997</v>
      </c>
      <c r="Z384" s="914">
        <v>3536340.6889999998</v>
      </c>
      <c r="AA384" s="922"/>
    </row>
    <row r="385" spans="1:27">
      <c r="A385" s="908"/>
      <c r="B385" s="893"/>
      <c r="C385" s="893"/>
      <c r="D385" s="920">
        <v>421.09</v>
      </c>
      <c r="E385" s="1381"/>
      <c r="F385" s="893"/>
      <c r="G385" s="914"/>
      <c r="H385" s="914"/>
      <c r="I385" s="905"/>
      <c r="J385" s="908"/>
      <c r="K385" s="893"/>
      <c r="L385" s="893"/>
      <c r="M385" s="908"/>
      <c r="N385" s="908"/>
      <c r="O385" s="908"/>
      <c r="P385" s="908"/>
      <c r="Q385" s="908"/>
      <c r="R385" s="908"/>
      <c r="S385" s="908"/>
      <c r="T385" s="908"/>
      <c r="U385" s="914">
        <v>419.77600000000001</v>
      </c>
      <c r="V385" s="1381"/>
      <c r="W385" s="916"/>
      <c r="X385" s="893"/>
      <c r="Y385" s="914"/>
      <c r="Z385" s="914"/>
      <c r="AA385" s="921" t="s">
        <v>2343</v>
      </c>
    </row>
    <row r="386" spans="1:27">
      <c r="A386" s="906">
        <f>A384+1</f>
        <v>191</v>
      </c>
      <c r="B386" s="913" t="s">
        <v>2291</v>
      </c>
      <c r="C386" s="893" t="s">
        <v>1277</v>
      </c>
      <c r="D386" s="893"/>
      <c r="E386" s="1381">
        <f>D387+D389</f>
        <v>835.173</v>
      </c>
      <c r="F386" s="893" t="s">
        <v>2292</v>
      </c>
      <c r="G386" s="914">
        <v>534294.46</v>
      </c>
      <c r="H386" s="914">
        <v>3535942.13</v>
      </c>
      <c r="I386" s="905"/>
      <c r="J386" s="906">
        <f>J384+1</f>
        <v>191</v>
      </c>
      <c r="K386" s="913" t="s">
        <v>2291</v>
      </c>
      <c r="L386" s="893" t="s">
        <v>1277</v>
      </c>
      <c r="M386" s="908"/>
      <c r="N386" s="908"/>
      <c r="O386" s="908"/>
      <c r="P386" s="908"/>
      <c r="Q386" s="908"/>
      <c r="R386" s="908"/>
      <c r="S386" s="908"/>
      <c r="T386" s="908"/>
      <c r="U386" s="914"/>
      <c r="V386" s="1381">
        <f>SUM(U386:U390)</f>
        <v>836.76400000000001</v>
      </c>
      <c r="W386" s="916">
        <v>248.58</v>
      </c>
      <c r="X386" s="893" t="s">
        <v>2332</v>
      </c>
      <c r="Y386" s="914">
        <v>534301.576</v>
      </c>
      <c r="Z386" s="914">
        <v>3535923.4389999998</v>
      </c>
      <c r="AA386" s="922"/>
    </row>
    <row r="387" spans="1:27">
      <c r="A387" s="908"/>
      <c r="B387" s="893"/>
      <c r="C387" s="893"/>
      <c r="D387" s="920">
        <v>400.63200000000001</v>
      </c>
      <c r="E387" s="1381"/>
      <c r="F387" s="893"/>
      <c r="G387" s="914"/>
      <c r="H387" s="914"/>
      <c r="I387" s="905"/>
      <c r="J387" s="908"/>
      <c r="K387" s="893"/>
      <c r="L387" s="893"/>
      <c r="M387" s="908"/>
      <c r="N387" s="908"/>
      <c r="O387" s="908"/>
      <c r="P387" s="908"/>
      <c r="Q387" s="908"/>
      <c r="R387" s="908"/>
      <c r="S387" s="908"/>
      <c r="T387" s="908"/>
      <c r="U387" s="914">
        <v>404.589</v>
      </c>
      <c r="V387" s="1381"/>
      <c r="W387" s="916"/>
      <c r="X387" s="893"/>
      <c r="Y387" s="914"/>
      <c r="Z387" s="914"/>
      <c r="AA387" s="921" t="s">
        <v>2344</v>
      </c>
    </row>
    <row r="388" spans="1:27">
      <c r="A388" s="906">
        <f>A386+1</f>
        <v>192</v>
      </c>
      <c r="B388" s="913" t="s">
        <v>2293</v>
      </c>
      <c r="C388" s="893" t="s">
        <v>62</v>
      </c>
      <c r="D388" s="893"/>
      <c r="E388" s="1381"/>
      <c r="F388" s="893"/>
      <c r="G388" s="914">
        <v>534437.00100000005</v>
      </c>
      <c r="H388" s="914">
        <v>3535567.7119999998</v>
      </c>
      <c r="I388" s="905"/>
      <c r="J388" s="906">
        <f>J386+1</f>
        <v>192</v>
      </c>
      <c r="K388" s="913" t="s">
        <v>2293</v>
      </c>
      <c r="L388" s="893" t="s">
        <v>62</v>
      </c>
      <c r="M388" s="908"/>
      <c r="N388" s="908"/>
      <c r="O388" s="908"/>
      <c r="P388" s="908"/>
      <c r="Q388" s="908"/>
      <c r="R388" s="908"/>
      <c r="S388" s="908"/>
      <c r="T388" s="908"/>
      <c r="U388" s="914"/>
      <c r="V388" s="1381"/>
      <c r="W388" s="916">
        <v>247.86799999999999</v>
      </c>
      <c r="X388" s="893"/>
      <c r="Y388" s="914">
        <v>534443.89800000004</v>
      </c>
      <c r="Z388" s="914">
        <v>3535544.7080000001</v>
      </c>
      <c r="AA388" s="922"/>
    </row>
    <row r="389" spans="1:27">
      <c r="A389" s="908"/>
      <c r="B389" s="893"/>
      <c r="C389" s="893"/>
      <c r="D389" s="920">
        <v>434.541</v>
      </c>
      <c r="E389" s="1381"/>
      <c r="F389" s="893"/>
      <c r="G389" s="914"/>
      <c r="H389" s="914"/>
      <c r="I389" s="905"/>
      <c r="J389" s="908"/>
      <c r="K389" s="893"/>
      <c r="L389" s="893"/>
      <c r="M389" s="908"/>
      <c r="N389" s="908"/>
      <c r="O389" s="908"/>
      <c r="P389" s="908"/>
      <c r="Q389" s="908"/>
      <c r="R389" s="908"/>
      <c r="S389" s="908"/>
      <c r="T389" s="908"/>
      <c r="U389" s="914">
        <v>432.17500000000001</v>
      </c>
      <c r="V389" s="1381"/>
      <c r="W389" s="916"/>
      <c r="X389" s="893"/>
      <c r="Y389" s="914"/>
      <c r="Z389" s="914"/>
      <c r="AA389" s="922" t="s">
        <v>2345</v>
      </c>
    </row>
    <row r="390" spans="1:27">
      <c r="A390" s="906">
        <f>A388+1</f>
        <v>193</v>
      </c>
      <c r="B390" s="913" t="s">
        <v>2294</v>
      </c>
      <c r="C390" s="893" t="s">
        <v>1981</v>
      </c>
      <c r="D390" s="893"/>
      <c r="E390" s="1381"/>
      <c r="F390" s="893" t="s">
        <v>2295</v>
      </c>
      <c r="G390" s="914">
        <v>534591.60600000003</v>
      </c>
      <c r="H390" s="914">
        <v>3535161.605</v>
      </c>
      <c r="I390" s="905"/>
      <c r="J390" s="906">
        <f>J388+1</f>
        <v>193</v>
      </c>
      <c r="K390" s="913" t="s">
        <v>2294</v>
      </c>
      <c r="L390" s="893" t="s">
        <v>1981</v>
      </c>
      <c r="M390" s="908"/>
      <c r="N390" s="908"/>
      <c r="O390" s="908"/>
      <c r="P390" s="908"/>
      <c r="Q390" s="908"/>
      <c r="R390" s="908"/>
      <c r="S390" s="908"/>
      <c r="T390" s="908"/>
      <c r="U390" s="914"/>
      <c r="V390" s="1381"/>
      <c r="W390" s="916">
        <v>247.57300000000001</v>
      </c>
      <c r="X390" s="893" t="s">
        <v>2333</v>
      </c>
      <c r="Y390" s="914">
        <v>534595.924</v>
      </c>
      <c r="Z390" s="914">
        <v>3535140.1549999998</v>
      </c>
      <c r="AA390" s="922"/>
    </row>
    <row r="391" spans="1:27">
      <c r="A391" s="908"/>
      <c r="B391" s="893"/>
      <c r="C391" s="893"/>
      <c r="D391" s="920">
        <v>384.78199999999998</v>
      </c>
      <c r="E391" s="1381">
        <f>D391+D393+D395</f>
        <v>1209.7159999999999</v>
      </c>
      <c r="F391" s="893"/>
      <c r="G391" s="914"/>
      <c r="H391" s="914"/>
      <c r="I391" s="905"/>
      <c r="J391" s="908"/>
      <c r="K391" s="893"/>
      <c r="L391" s="893"/>
      <c r="M391" s="908"/>
      <c r="N391" s="908"/>
      <c r="O391" s="908"/>
      <c r="P391" s="908"/>
      <c r="Q391" s="908"/>
      <c r="R391" s="908"/>
      <c r="S391" s="908"/>
      <c r="T391" s="908"/>
      <c r="U391" s="914">
        <v>383.24900000000002</v>
      </c>
      <c r="V391" s="1381">
        <f>SUM(U391:U396)</f>
        <v>1185.42</v>
      </c>
      <c r="W391" s="916"/>
      <c r="X391" s="893"/>
      <c r="Y391" s="893"/>
      <c r="Z391" s="893"/>
      <c r="AA391" s="922" t="s">
        <v>2346</v>
      </c>
    </row>
    <row r="392" spans="1:27">
      <c r="A392" s="906">
        <f>A390+1</f>
        <v>194</v>
      </c>
      <c r="B392" s="913" t="s">
        <v>2296</v>
      </c>
      <c r="C392" s="893" t="s">
        <v>62</v>
      </c>
      <c r="D392" s="893"/>
      <c r="E392" s="1381"/>
      <c r="F392" s="915"/>
      <c r="G392" s="914">
        <v>534667.54799999995</v>
      </c>
      <c r="H392" s="914">
        <v>3534784.392</v>
      </c>
      <c r="I392" s="905"/>
      <c r="J392" s="906">
        <f>J390+1</f>
        <v>194</v>
      </c>
      <c r="K392" s="913" t="s">
        <v>2296</v>
      </c>
      <c r="L392" s="893" t="s">
        <v>62</v>
      </c>
      <c r="M392" s="908"/>
      <c r="N392" s="908"/>
      <c r="O392" s="908"/>
      <c r="P392" s="908"/>
      <c r="Q392" s="908"/>
      <c r="R392" s="908"/>
      <c r="S392" s="908"/>
      <c r="T392" s="908"/>
      <c r="U392" s="914"/>
      <c r="V392" s="1381"/>
      <c r="W392" s="916">
        <v>259.11</v>
      </c>
      <c r="X392" s="893"/>
      <c r="Y392" s="914">
        <v>534673.47</v>
      </c>
      <c r="Z392" s="914">
        <v>3534764.8330000001</v>
      </c>
      <c r="AA392" s="922"/>
    </row>
    <row r="393" spans="1:27">
      <c r="A393" s="908"/>
      <c r="B393" s="893"/>
      <c r="C393" s="893"/>
      <c r="D393" s="920">
        <v>376.64499999999998</v>
      </c>
      <c r="E393" s="1381"/>
      <c r="F393" s="893"/>
      <c r="G393" s="914"/>
      <c r="H393" s="914"/>
      <c r="I393" s="905"/>
      <c r="J393" s="908"/>
      <c r="K393" s="893"/>
      <c r="L393" s="893"/>
      <c r="M393" s="908"/>
      <c r="N393" s="908"/>
      <c r="O393" s="908"/>
      <c r="P393" s="908"/>
      <c r="Q393" s="908"/>
      <c r="R393" s="908"/>
      <c r="S393" s="908"/>
      <c r="T393" s="908"/>
      <c r="U393" s="914">
        <v>382.084</v>
      </c>
      <c r="V393" s="1381"/>
      <c r="W393" s="916"/>
      <c r="X393" s="893"/>
      <c r="Y393" s="893"/>
      <c r="Z393" s="893"/>
      <c r="AA393" s="921" t="s">
        <v>2347</v>
      </c>
    </row>
    <row r="394" spans="1:27">
      <c r="A394" s="906">
        <f>A392+1</f>
        <v>195</v>
      </c>
      <c r="B394" s="913" t="s">
        <v>2297</v>
      </c>
      <c r="C394" s="893" t="s">
        <v>62</v>
      </c>
      <c r="D394" s="893"/>
      <c r="E394" s="1381"/>
      <c r="F394" s="893"/>
      <c r="G394" s="914">
        <v>534741.88399999996</v>
      </c>
      <c r="H394" s="914">
        <v>3534415.1549999998</v>
      </c>
      <c r="I394" s="905"/>
      <c r="J394" s="906">
        <f>J392+1</f>
        <v>195</v>
      </c>
      <c r="K394" s="913" t="s">
        <v>2297</v>
      </c>
      <c r="L394" s="893" t="s">
        <v>62</v>
      </c>
      <c r="M394" s="908"/>
      <c r="N394" s="908"/>
      <c r="O394" s="908"/>
      <c r="P394" s="908"/>
      <c r="Q394" s="908"/>
      <c r="R394" s="908"/>
      <c r="S394" s="908"/>
      <c r="T394" s="908"/>
      <c r="U394" s="914"/>
      <c r="V394" s="1381"/>
      <c r="W394" s="916">
        <v>259.08699999999999</v>
      </c>
      <c r="X394" s="893"/>
      <c r="Y394" s="914">
        <v>534750.78</v>
      </c>
      <c r="Z394" s="914">
        <v>3534390.6519999998</v>
      </c>
      <c r="AA394" s="922"/>
    </row>
    <row r="395" spans="1:27">
      <c r="A395" s="908"/>
      <c r="B395" s="893"/>
      <c r="C395" s="893"/>
      <c r="D395" s="920">
        <v>448.28899999999999</v>
      </c>
      <c r="E395" s="1381"/>
      <c r="F395" s="893"/>
      <c r="G395" s="914"/>
      <c r="H395" s="914"/>
      <c r="I395" s="905"/>
      <c r="J395" s="908"/>
      <c r="K395" s="893"/>
      <c r="L395" s="893"/>
      <c r="M395" s="908"/>
      <c r="N395" s="908"/>
      <c r="O395" s="908"/>
      <c r="P395" s="908"/>
      <c r="Q395" s="908"/>
      <c r="R395" s="908"/>
      <c r="S395" s="908"/>
      <c r="T395" s="908"/>
      <c r="U395" s="914">
        <v>420.08699999999999</v>
      </c>
      <c r="V395" s="1381"/>
      <c r="W395" s="916"/>
      <c r="X395" s="893"/>
      <c r="Y395" s="893"/>
      <c r="Z395" s="893"/>
      <c r="AA395" s="921" t="s">
        <v>2348</v>
      </c>
    </row>
    <row r="396" spans="1:27">
      <c r="A396" s="906">
        <f>A394+1</f>
        <v>196</v>
      </c>
      <c r="B396" s="913" t="s">
        <v>2298</v>
      </c>
      <c r="C396" s="893" t="s">
        <v>2221</v>
      </c>
      <c r="D396" s="893"/>
      <c r="E396" s="1381"/>
      <c r="F396" s="893" t="s">
        <v>2299</v>
      </c>
      <c r="G396" s="914">
        <v>534830.36</v>
      </c>
      <c r="H396" s="914">
        <v>3533975.6839999999</v>
      </c>
      <c r="I396" s="905"/>
      <c r="J396" s="906">
        <f>J394+1</f>
        <v>196</v>
      </c>
      <c r="K396" s="913" t="s">
        <v>2298</v>
      </c>
      <c r="L396" s="893" t="s">
        <v>2221</v>
      </c>
      <c r="M396" s="908"/>
      <c r="N396" s="908"/>
      <c r="O396" s="908"/>
      <c r="P396" s="908"/>
      <c r="Q396" s="908"/>
      <c r="R396" s="908"/>
      <c r="S396" s="908"/>
      <c r="T396" s="908"/>
      <c r="U396" s="914"/>
      <c r="V396" s="1381"/>
      <c r="W396" s="916">
        <v>259.185</v>
      </c>
      <c r="X396" s="893" t="s">
        <v>2334</v>
      </c>
      <c r="Y396" s="914">
        <v>534835.77899999998</v>
      </c>
      <c r="Z396" s="914">
        <v>3533979.2540000002</v>
      </c>
      <c r="AA396" s="922"/>
    </row>
    <row r="397" spans="1:27">
      <c r="A397" s="908"/>
      <c r="B397" s="893"/>
      <c r="C397" s="893"/>
      <c r="D397" s="920">
        <v>212.08500000000001</v>
      </c>
      <c r="E397" s="1381">
        <v>212.08500000000001</v>
      </c>
      <c r="F397" s="893"/>
      <c r="G397" s="914"/>
      <c r="H397" s="914"/>
      <c r="I397" s="905"/>
      <c r="J397" s="908"/>
      <c r="K397" s="893"/>
      <c r="L397" s="893"/>
      <c r="M397" s="908"/>
      <c r="N397" s="908"/>
      <c r="O397" s="908"/>
      <c r="P397" s="908"/>
      <c r="Q397" s="908"/>
      <c r="R397" s="908"/>
      <c r="S397" s="908"/>
      <c r="T397" s="908"/>
      <c r="U397" s="914">
        <v>211.06299999999999</v>
      </c>
      <c r="V397" s="1381">
        <f>SUM(U397)</f>
        <v>211.06299999999999</v>
      </c>
      <c r="W397" s="916"/>
      <c r="X397" s="893"/>
      <c r="Y397" s="893"/>
      <c r="Z397" s="893"/>
      <c r="AA397" s="922" t="s">
        <v>2349</v>
      </c>
    </row>
    <row r="398" spans="1:27">
      <c r="A398" s="906">
        <f>A396+1</f>
        <v>197</v>
      </c>
      <c r="B398" s="913" t="s">
        <v>2300</v>
      </c>
      <c r="C398" s="893" t="s">
        <v>2221</v>
      </c>
      <c r="D398" s="893"/>
      <c r="E398" s="1381"/>
      <c r="F398" s="893" t="s">
        <v>2301</v>
      </c>
      <c r="G398" s="914">
        <v>534975.84100000001</v>
      </c>
      <c r="H398" s="914">
        <v>3533821.361</v>
      </c>
      <c r="I398" s="905"/>
      <c r="J398" s="906">
        <f>J396+1</f>
        <v>197</v>
      </c>
      <c r="K398" s="913" t="s">
        <v>2300</v>
      </c>
      <c r="L398" s="893" t="s">
        <v>2221</v>
      </c>
      <c r="M398" s="908"/>
      <c r="N398" s="908"/>
      <c r="O398" s="908"/>
      <c r="P398" s="908"/>
      <c r="Q398" s="908"/>
      <c r="R398" s="908"/>
      <c r="S398" s="908"/>
      <c r="T398" s="908"/>
      <c r="U398" s="914"/>
      <c r="V398" s="1381"/>
      <c r="W398" s="916">
        <v>259.19200000000001</v>
      </c>
      <c r="X398" s="893" t="s">
        <v>2335</v>
      </c>
      <c r="Y398" s="914">
        <v>534975.84100000001</v>
      </c>
      <c r="Z398" s="914">
        <v>3533821.361</v>
      </c>
      <c r="AA398" s="795" t="s">
        <v>2350</v>
      </c>
    </row>
    <row r="399" spans="1:27">
      <c r="A399" s="908"/>
      <c r="B399" s="893"/>
      <c r="C399" s="893"/>
      <c r="D399" s="920">
        <v>384.98500000000001</v>
      </c>
      <c r="E399" s="1381">
        <f>D399+D401</f>
        <v>604.23099999999999</v>
      </c>
      <c r="F399" s="893"/>
      <c r="G399" s="914"/>
      <c r="H399" s="914"/>
      <c r="I399" s="905"/>
      <c r="J399" s="908"/>
      <c r="K399" s="893"/>
      <c r="L399" s="893"/>
      <c r="M399" s="908"/>
      <c r="N399" s="908"/>
      <c r="O399" s="908"/>
      <c r="P399" s="908"/>
      <c r="Q399" s="908"/>
      <c r="R399" s="908"/>
      <c r="S399" s="908"/>
      <c r="T399" s="908"/>
      <c r="U399" s="914">
        <v>385.10300000000001</v>
      </c>
      <c r="V399" s="1381">
        <f>SUM(U399:U402)</f>
        <v>618.22900000000004</v>
      </c>
      <c r="W399" s="916"/>
      <c r="X399" s="893"/>
      <c r="Y399" s="915"/>
      <c r="Z399" s="915"/>
      <c r="AA399" s="922" t="s">
        <v>2351</v>
      </c>
    </row>
    <row r="400" spans="1:27">
      <c r="A400" s="906">
        <f>A398+1</f>
        <v>198</v>
      </c>
      <c r="B400" s="913" t="s">
        <v>2302</v>
      </c>
      <c r="C400" s="893" t="s">
        <v>62</v>
      </c>
      <c r="D400" s="893"/>
      <c r="E400" s="1381"/>
      <c r="F400" s="893"/>
      <c r="G400" s="914">
        <v>535035.07299999997</v>
      </c>
      <c r="H400" s="914">
        <v>3533440.96</v>
      </c>
      <c r="I400" s="905"/>
      <c r="J400" s="906">
        <f>J398+1</f>
        <v>198</v>
      </c>
      <c r="K400" s="913" t="s">
        <v>2302</v>
      </c>
      <c r="L400" s="893" t="s">
        <v>62</v>
      </c>
      <c r="M400" s="908"/>
      <c r="N400" s="908"/>
      <c r="O400" s="908"/>
      <c r="P400" s="908"/>
      <c r="Q400" s="908"/>
      <c r="R400" s="908"/>
      <c r="S400" s="908"/>
      <c r="T400" s="908"/>
      <c r="U400" s="914"/>
      <c r="V400" s="1381"/>
      <c r="W400" s="916">
        <v>259.19499999999999</v>
      </c>
      <c r="X400" s="893"/>
      <c r="Y400" s="893">
        <v>535042.64199999999</v>
      </c>
      <c r="Z400" s="893">
        <v>3533442.0959999999</v>
      </c>
      <c r="AA400" s="922"/>
    </row>
    <row r="401" spans="1:27">
      <c r="A401" s="908"/>
      <c r="B401" s="893"/>
      <c r="C401" s="893"/>
      <c r="D401" s="920">
        <v>219.24600000000001</v>
      </c>
      <c r="E401" s="1381"/>
      <c r="F401" s="893"/>
      <c r="G401" s="914"/>
      <c r="H401" s="914"/>
      <c r="I401" s="905"/>
      <c r="J401" s="908"/>
      <c r="K401" s="893"/>
      <c r="L401" s="893"/>
      <c r="M401" s="908"/>
      <c r="N401" s="908"/>
      <c r="O401" s="908"/>
      <c r="P401" s="908"/>
      <c r="Q401" s="908"/>
      <c r="R401" s="908"/>
      <c r="S401" s="908"/>
      <c r="T401" s="908"/>
      <c r="U401" s="914">
        <v>233.126</v>
      </c>
      <c r="V401" s="1381"/>
      <c r="W401" s="916"/>
      <c r="X401" s="893"/>
      <c r="Y401" s="893"/>
      <c r="Z401" s="893"/>
      <c r="AA401" s="922" t="s">
        <v>2352</v>
      </c>
    </row>
    <row r="402" spans="1:27">
      <c r="A402" s="906">
        <f>A400+1</f>
        <v>199</v>
      </c>
      <c r="B402" s="913" t="s">
        <v>2303</v>
      </c>
      <c r="C402" s="893" t="s">
        <v>1319</v>
      </c>
      <c r="D402" s="893"/>
      <c r="E402" s="1381"/>
      <c r="F402" s="893" t="s">
        <v>2304</v>
      </c>
      <c r="G402" s="914">
        <v>535068.80500000005</v>
      </c>
      <c r="H402" s="914">
        <v>3533224.324</v>
      </c>
      <c r="I402" s="905"/>
      <c r="J402" s="906">
        <f>J400+1</f>
        <v>199</v>
      </c>
      <c r="K402" s="913" t="s">
        <v>2303</v>
      </c>
      <c r="L402" s="893" t="s">
        <v>1319</v>
      </c>
      <c r="M402" s="908"/>
      <c r="N402" s="908"/>
      <c r="O402" s="908"/>
      <c r="P402" s="908"/>
      <c r="Q402" s="908"/>
      <c r="R402" s="908"/>
      <c r="S402" s="908"/>
      <c r="T402" s="908"/>
      <c r="U402" s="914"/>
      <c r="V402" s="1381"/>
      <c r="W402" s="916">
        <v>259.26400000000001</v>
      </c>
      <c r="X402" s="893" t="s">
        <v>2336</v>
      </c>
      <c r="Y402" s="914">
        <v>535083.07999999996</v>
      </c>
      <c r="Z402" s="914">
        <v>3533212.5040000002</v>
      </c>
      <c r="AA402" s="922"/>
    </row>
    <row r="403" spans="1:27">
      <c r="A403" s="908"/>
      <c r="B403" s="893"/>
      <c r="C403" s="893"/>
      <c r="D403" s="920">
        <v>389.65100000000001</v>
      </c>
      <c r="E403" s="1381">
        <f>D403+D405+D407</f>
        <v>1199.5439999999999</v>
      </c>
      <c r="F403" s="893"/>
      <c r="G403" s="914"/>
      <c r="H403" s="914"/>
      <c r="I403" s="905"/>
      <c r="J403" s="908"/>
      <c r="K403" s="893"/>
      <c r="L403" s="893"/>
      <c r="M403" s="908"/>
      <c r="N403" s="908"/>
      <c r="O403" s="908"/>
      <c r="P403" s="908"/>
      <c r="Q403" s="908"/>
      <c r="R403" s="908"/>
      <c r="S403" s="908"/>
      <c r="T403" s="908"/>
      <c r="U403" s="914">
        <v>401.23200000000003</v>
      </c>
      <c r="V403" s="1381">
        <f>SUM(U403:U408)</f>
        <v>1181.01</v>
      </c>
      <c r="W403" s="916"/>
      <c r="X403" s="893"/>
      <c r="Y403" s="893"/>
      <c r="Z403" s="893"/>
      <c r="AA403" s="922" t="s">
        <v>2353</v>
      </c>
    </row>
    <row r="404" spans="1:27">
      <c r="A404" s="906">
        <f>A402+1</f>
        <v>200</v>
      </c>
      <c r="B404" s="913" t="s">
        <v>2305</v>
      </c>
      <c r="C404" s="893" t="s">
        <v>62</v>
      </c>
      <c r="D404" s="920"/>
      <c r="E404" s="1381"/>
      <c r="F404" s="893"/>
      <c r="G404" s="914">
        <v>535368.93200000003</v>
      </c>
      <c r="H404" s="914">
        <v>3532975.8259999999</v>
      </c>
      <c r="I404" s="905"/>
      <c r="J404" s="906">
        <f>J402+1</f>
        <v>200</v>
      </c>
      <c r="K404" s="913" t="s">
        <v>2305</v>
      </c>
      <c r="L404" s="893" t="s">
        <v>62</v>
      </c>
      <c r="M404" s="908"/>
      <c r="N404" s="908"/>
      <c r="O404" s="908"/>
      <c r="P404" s="908"/>
      <c r="Q404" s="908"/>
      <c r="R404" s="908"/>
      <c r="S404" s="908"/>
      <c r="T404" s="908"/>
      <c r="U404" s="914"/>
      <c r="V404" s="1381"/>
      <c r="W404" s="916">
        <v>259.92099999999999</v>
      </c>
      <c r="X404" s="893"/>
      <c r="Y404" s="914">
        <v>535392.12699999998</v>
      </c>
      <c r="Z404" s="914">
        <v>3532956.62</v>
      </c>
      <c r="AA404" s="922"/>
    </row>
    <row r="405" spans="1:27">
      <c r="A405" s="908"/>
      <c r="B405" s="893"/>
      <c r="C405" s="893"/>
      <c r="D405" s="920">
        <v>367.11</v>
      </c>
      <c r="E405" s="1381"/>
      <c r="F405" s="893"/>
      <c r="G405" s="914"/>
      <c r="H405" s="914"/>
      <c r="I405" s="905"/>
      <c r="J405" s="908"/>
      <c r="K405" s="893"/>
      <c r="L405" s="893"/>
      <c r="M405" s="908"/>
      <c r="N405" s="908"/>
      <c r="O405" s="908"/>
      <c r="P405" s="908"/>
      <c r="Q405" s="908"/>
      <c r="R405" s="908"/>
      <c r="S405" s="908"/>
      <c r="T405" s="908"/>
      <c r="U405" s="914">
        <v>342.99900000000002</v>
      </c>
      <c r="V405" s="1381"/>
      <c r="W405" s="916"/>
      <c r="X405" s="893"/>
      <c r="Y405" s="893"/>
      <c r="Z405" s="893"/>
      <c r="AA405" s="922" t="s">
        <v>2071</v>
      </c>
    </row>
    <row r="406" spans="1:27">
      <c r="A406" s="906">
        <f>A404+1</f>
        <v>201</v>
      </c>
      <c r="B406" s="913" t="s">
        <v>2306</v>
      </c>
      <c r="C406" s="893" t="s">
        <v>76</v>
      </c>
      <c r="D406" s="920"/>
      <c r="E406" s="1381"/>
      <c r="F406" s="893"/>
      <c r="G406" s="914">
        <v>535651.69700000004</v>
      </c>
      <c r="H406" s="914">
        <v>3532741.7030000002</v>
      </c>
      <c r="I406" s="905"/>
      <c r="J406" s="906">
        <f>J404+1</f>
        <v>201</v>
      </c>
      <c r="K406" s="913" t="s">
        <v>2306</v>
      </c>
      <c r="L406" s="893" t="s">
        <v>76</v>
      </c>
      <c r="M406" s="908"/>
      <c r="N406" s="908"/>
      <c r="O406" s="908"/>
      <c r="P406" s="908"/>
      <c r="Q406" s="908"/>
      <c r="R406" s="908"/>
      <c r="S406" s="908"/>
      <c r="T406" s="908"/>
      <c r="U406" s="914"/>
      <c r="V406" s="1381"/>
      <c r="W406" s="916">
        <v>260.32499999999999</v>
      </c>
      <c r="X406" s="893"/>
      <c r="Y406" s="914">
        <v>535656.321</v>
      </c>
      <c r="Z406" s="914">
        <v>3532737.8730000001</v>
      </c>
      <c r="AA406" s="922"/>
    </row>
    <row r="407" spans="1:27">
      <c r="A407" s="908"/>
      <c r="B407" s="893"/>
      <c r="C407" s="893"/>
      <c r="D407" s="920">
        <v>442.78300000000002</v>
      </c>
      <c r="E407" s="1381"/>
      <c r="F407" s="893"/>
      <c r="G407" s="914"/>
      <c r="H407" s="914"/>
      <c r="I407" s="905"/>
      <c r="J407" s="908"/>
      <c r="K407" s="893"/>
      <c r="L407" s="893"/>
      <c r="M407" s="908"/>
      <c r="N407" s="908"/>
      <c r="O407" s="908"/>
      <c r="P407" s="908"/>
      <c r="Q407" s="908"/>
      <c r="R407" s="908"/>
      <c r="S407" s="908"/>
      <c r="T407" s="908"/>
      <c r="U407" s="914">
        <v>436.779</v>
      </c>
      <c r="V407" s="1381"/>
      <c r="W407" s="916"/>
      <c r="X407" s="893"/>
      <c r="Y407" s="893"/>
      <c r="Z407" s="893"/>
      <c r="AA407" s="922" t="s">
        <v>2352</v>
      </c>
    </row>
    <row r="408" spans="1:27">
      <c r="A408" s="906">
        <f>A406+1</f>
        <v>202</v>
      </c>
      <c r="B408" s="913" t="s">
        <v>2307</v>
      </c>
      <c r="C408" s="893" t="s">
        <v>2221</v>
      </c>
      <c r="D408" s="893"/>
      <c r="E408" s="1381"/>
      <c r="F408" s="893" t="s">
        <v>2308</v>
      </c>
      <c r="G408" s="914">
        <v>535992.74899999995</v>
      </c>
      <c r="H408" s="914">
        <v>3532459.3190000001</v>
      </c>
      <c r="I408" s="905"/>
      <c r="J408" s="906">
        <f>J406+1</f>
        <v>202</v>
      </c>
      <c r="K408" s="913" t="s">
        <v>2307</v>
      </c>
      <c r="L408" s="893" t="s">
        <v>1992</v>
      </c>
      <c r="M408" s="908"/>
      <c r="N408" s="908"/>
      <c r="O408" s="908"/>
      <c r="P408" s="908"/>
      <c r="Q408" s="908"/>
      <c r="R408" s="908"/>
      <c r="S408" s="908"/>
      <c r="T408" s="908"/>
      <c r="U408" s="914"/>
      <c r="V408" s="1381"/>
      <c r="W408" s="916">
        <v>260.55900000000003</v>
      </c>
      <c r="X408" s="893" t="s">
        <v>2337</v>
      </c>
      <c r="Y408" s="914">
        <v>535992.74899999995</v>
      </c>
      <c r="Z408" s="914">
        <v>3532459.3190000001</v>
      </c>
      <c r="AA408" s="922"/>
    </row>
    <row r="409" spans="1:27" ht="29">
      <c r="A409" s="908"/>
      <c r="B409" s="893"/>
      <c r="C409" s="893"/>
      <c r="D409" s="920">
        <v>242.124</v>
      </c>
      <c r="E409" s="1381">
        <v>242.124</v>
      </c>
      <c r="F409" s="893"/>
      <c r="G409" s="914"/>
      <c r="H409" s="914"/>
      <c r="I409" s="905"/>
      <c r="J409" s="908"/>
      <c r="K409" s="893"/>
      <c r="L409" s="893"/>
      <c r="M409" s="908"/>
      <c r="N409" s="908"/>
      <c r="O409" s="908"/>
      <c r="P409" s="908"/>
      <c r="Q409" s="908"/>
      <c r="R409" s="908"/>
      <c r="S409" s="908"/>
      <c r="T409" s="908"/>
      <c r="U409" s="914">
        <v>247.685</v>
      </c>
      <c r="V409" s="1381">
        <f>SUM(U409)</f>
        <v>247.685</v>
      </c>
      <c r="W409" s="916"/>
      <c r="X409" s="893"/>
      <c r="Y409" s="893"/>
      <c r="Z409" s="893"/>
      <c r="AA409" s="921" t="s">
        <v>2354</v>
      </c>
    </row>
    <row r="410" spans="1:27">
      <c r="A410" s="906">
        <f>A408+1</f>
        <v>203</v>
      </c>
      <c r="B410" s="913" t="s">
        <v>2309</v>
      </c>
      <c r="C410" s="893" t="s">
        <v>2221</v>
      </c>
      <c r="D410" s="893"/>
      <c r="E410" s="1381"/>
      <c r="F410" s="893" t="s">
        <v>2310</v>
      </c>
      <c r="G410" s="914">
        <v>536158.98600000003</v>
      </c>
      <c r="H410" s="914">
        <v>3532283.2820000001</v>
      </c>
      <c r="I410" s="905"/>
      <c r="J410" s="906">
        <f>J408+1</f>
        <v>203</v>
      </c>
      <c r="K410" s="913" t="s">
        <v>2309</v>
      </c>
      <c r="L410" s="893" t="s">
        <v>2221</v>
      </c>
      <c r="M410" s="908"/>
      <c r="N410" s="908"/>
      <c r="O410" s="908"/>
      <c r="P410" s="908"/>
      <c r="Q410" s="908"/>
      <c r="R410" s="908"/>
      <c r="S410" s="908"/>
      <c r="T410" s="908"/>
      <c r="U410" s="914"/>
      <c r="V410" s="1381"/>
      <c r="W410" s="916">
        <v>260.69200000000001</v>
      </c>
      <c r="X410" s="893" t="s">
        <v>2338</v>
      </c>
      <c r="Y410" s="914">
        <v>536147.34400000004</v>
      </c>
      <c r="Z410" s="914">
        <v>3532265.804</v>
      </c>
      <c r="AA410" s="922"/>
    </row>
    <row r="411" spans="1:27">
      <c r="A411" s="908"/>
      <c r="B411" s="893"/>
      <c r="C411" s="893"/>
      <c r="D411" s="920">
        <v>377.46800000000002</v>
      </c>
      <c r="E411" s="1381">
        <f>D411+D413+D415+D417</f>
        <v>1471.729</v>
      </c>
      <c r="F411" s="893"/>
      <c r="G411" s="914"/>
      <c r="H411" s="914"/>
      <c r="I411" s="905"/>
      <c r="J411" s="908"/>
      <c r="K411" s="893"/>
      <c r="L411" s="893"/>
      <c r="M411" s="908"/>
      <c r="N411" s="908"/>
      <c r="O411" s="908"/>
      <c r="P411" s="908"/>
      <c r="Q411" s="908"/>
      <c r="R411" s="908"/>
      <c r="S411" s="908"/>
      <c r="T411" s="908"/>
      <c r="U411" s="914">
        <v>360.87799999999999</v>
      </c>
      <c r="V411" s="1381">
        <f>SUM(U411:U417)</f>
        <v>1455.1559999999999</v>
      </c>
      <c r="W411" s="916"/>
      <c r="X411" s="893"/>
      <c r="Y411" s="893"/>
      <c r="Z411" s="893"/>
      <c r="AA411" s="922" t="s">
        <v>2071</v>
      </c>
    </row>
    <row r="412" spans="1:27">
      <c r="A412" s="906">
        <f>A410+1</f>
        <v>204</v>
      </c>
      <c r="B412" s="913" t="s">
        <v>2311</v>
      </c>
      <c r="C412" s="893" t="s">
        <v>62</v>
      </c>
      <c r="D412" s="893"/>
      <c r="E412" s="1381"/>
      <c r="F412" s="893"/>
      <c r="G412" s="914">
        <v>536185.15700000001</v>
      </c>
      <c r="H412" s="914">
        <v>3531906.7230000002</v>
      </c>
      <c r="I412" s="905"/>
      <c r="J412" s="906">
        <f>J410+1</f>
        <v>204</v>
      </c>
      <c r="K412" s="913" t="s">
        <v>2311</v>
      </c>
      <c r="L412" s="893" t="s">
        <v>62</v>
      </c>
      <c r="M412" s="908"/>
      <c r="N412" s="908"/>
      <c r="O412" s="908"/>
      <c r="P412" s="908"/>
      <c r="Q412" s="908"/>
      <c r="R412" s="908"/>
      <c r="S412" s="908"/>
      <c r="T412" s="908"/>
      <c r="U412" s="914"/>
      <c r="V412" s="1381"/>
      <c r="W412" s="916">
        <v>260.87599999999998</v>
      </c>
      <c r="X412" s="893"/>
      <c r="Y412" s="914">
        <v>536175.53700000001</v>
      </c>
      <c r="Z412" s="914">
        <v>3531906.0290000001</v>
      </c>
      <c r="AA412" s="923"/>
    </row>
    <row r="413" spans="1:27">
      <c r="A413" s="908"/>
      <c r="B413" s="893"/>
      <c r="C413" s="893"/>
      <c r="D413" s="920">
        <v>415.65199999999999</v>
      </c>
      <c r="E413" s="1381"/>
      <c r="F413" s="893"/>
      <c r="G413" s="914"/>
      <c r="H413" s="914"/>
      <c r="I413" s="905"/>
      <c r="J413" s="908"/>
      <c r="K413" s="893"/>
      <c r="L413" s="893"/>
      <c r="M413" s="908"/>
      <c r="N413" s="908"/>
      <c r="O413" s="908"/>
      <c r="P413" s="908"/>
      <c r="Q413" s="908"/>
      <c r="R413" s="908"/>
      <c r="S413" s="908"/>
      <c r="T413" s="908"/>
      <c r="U413" s="914">
        <v>415.64299999999997</v>
      </c>
      <c r="V413" s="1381"/>
      <c r="W413" s="916"/>
      <c r="X413" s="893"/>
      <c r="Y413" s="914"/>
      <c r="Z413" s="914"/>
      <c r="AA413" s="922" t="s">
        <v>2355</v>
      </c>
    </row>
    <row r="414" spans="1:27">
      <c r="A414" s="906">
        <f>A412+1</f>
        <v>205</v>
      </c>
      <c r="B414" s="913" t="s">
        <v>2312</v>
      </c>
      <c r="C414" s="893" t="s">
        <v>53</v>
      </c>
      <c r="D414" s="893"/>
      <c r="E414" s="1381"/>
      <c r="F414" s="893"/>
      <c r="G414" s="914">
        <v>536213.97600000002</v>
      </c>
      <c r="H414" s="914">
        <v>3531492.071</v>
      </c>
      <c r="I414" s="905"/>
      <c r="J414" s="906">
        <f>J412+1</f>
        <v>205</v>
      </c>
      <c r="K414" s="913" t="s">
        <v>2312</v>
      </c>
      <c r="L414" s="893" t="s">
        <v>53</v>
      </c>
      <c r="M414" s="908"/>
      <c r="N414" s="908"/>
      <c r="O414" s="908"/>
      <c r="P414" s="908"/>
      <c r="Q414" s="908"/>
      <c r="R414" s="908"/>
      <c r="S414" s="908"/>
      <c r="T414" s="908"/>
      <c r="U414" s="914"/>
      <c r="V414" s="1381"/>
      <c r="W414" s="916">
        <v>259.988</v>
      </c>
      <c r="X414" s="893"/>
      <c r="Y414" s="914">
        <v>536208.00800000003</v>
      </c>
      <c r="Z414" s="914">
        <v>3531491.659</v>
      </c>
      <c r="AA414" s="922"/>
    </row>
    <row r="415" spans="1:27">
      <c r="A415" s="908"/>
      <c r="B415" s="893"/>
      <c r="C415" s="893"/>
      <c r="D415" s="920">
        <v>378.39699999999999</v>
      </c>
      <c r="E415" s="1381"/>
      <c r="F415" s="893"/>
      <c r="G415" s="914"/>
      <c r="H415" s="914"/>
      <c r="I415" s="905"/>
      <c r="J415" s="908"/>
      <c r="K415" s="893"/>
      <c r="L415" s="893"/>
      <c r="M415" s="908"/>
      <c r="N415" s="908"/>
      <c r="O415" s="908"/>
      <c r="P415" s="908"/>
      <c r="Q415" s="908"/>
      <c r="R415" s="908"/>
      <c r="S415" s="908"/>
      <c r="T415" s="908"/>
      <c r="U415" s="914">
        <v>379.75099999999998</v>
      </c>
      <c r="V415" s="1381"/>
      <c r="W415" s="916"/>
      <c r="X415" s="893"/>
      <c r="Y415" s="914"/>
      <c r="Z415" s="914"/>
      <c r="AA415" s="921" t="s">
        <v>2356</v>
      </c>
    </row>
    <row r="416" spans="1:27">
      <c r="A416" s="906">
        <f>A414+1</f>
        <v>206</v>
      </c>
      <c r="B416" s="913" t="s">
        <v>2313</v>
      </c>
      <c r="C416" s="893" t="s">
        <v>76</v>
      </c>
      <c r="D416" s="920"/>
      <c r="E416" s="1381"/>
      <c r="F416" s="893"/>
      <c r="G416" s="914">
        <v>536240.21100000001</v>
      </c>
      <c r="H416" s="914">
        <v>3531114.5839999998</v>
      </c>
      <c r="I416" s="905"/>
      <c r="J416" s="906">
        <f>J414+1</f>
        <v>206</v>
      </c>
      <c r="K416" s="913" t="s">
        <v>2313</v>
      </c>
      <c r="L416" s="893" t="s">
        <v>76</v>
      </c>
      <c r="M416" s="908"/>
      <c r="N416" s="908"/>
      <c r="O416" s="908"/>
      <c r="P416" s="908"/>
      <c r="Q416" s="908"/>
      <c r="R416" s="908"/>
      <c r="S416" s="908"/>
      <c r="T416" s="908"/>
      <c r="U416" s="914"/>
      <c r="V416" s="1381"/>
      <c r="W416" s="916">
        <v>259.39299999999997</v>
      </c>
      <c r="X416" s="893"/>
      <c r="Y416" s="914">
        <v>536237.67599999998</v>
      </c>
      <c r="Z416" s="914">
        <v>3531113.0660000001</v>
      </c>
      <c r="AA416" s="922"/>
    </row>
    <row r="417" spans="1:27">
      <c r="A417" s="908"/>
      <c r="B417" s="893"/>
      <c r="C417" s="893"/>
      <c r="D417" s="920">
        <v>300.21199999999999</v>
      </c>
      <c r="E417" s="1381"/>
      <c r="F417" s="893"/>
      <c r="G417" s="914"/>
      <c r="H417" s="914"/>
      <c r="I417" s="905"/>
      <c r="J417" s="908"/>
      <c r="K417" s="893"/>
      <c r="L417" s="893"/>
      <c r="M417" s="908"/>
      <c r="N417" s="908"/>
      <c r="O417" s="908"/>
      <c r="P417" s="908"/>
      <c r="Q417" s="908"/>
      <c r="R417" s="908"/>
      <c r="S417" s="908"/>
      <c r="T417" s="908"/>
      <c r="U417" s="914">
        <v>298.88400000000001</v>
      </c>
      <c r="V417" s="1381"/>
      <c r="W417" s="916"/>
      <c r="X417" s="893"/>
      <c r="Y417" s="914"/>
      <c r="Z417" s="914"/>
      <c r="AA417" s="922" t="s">
        <v>2071</v>
      </c>
    </row>
    <row r="418" spans="1:27">
      <c r="A418" s="906">
        <f>A416+1</f>
        <v>207</v>
      </c>
      <c r="B418" s="913" t="s">
        <v>2314</v>
      </c>
      <c r="C418" s="893" t="s">
        <v>1277</v>
      </c>
      <c r="D418" s="920"/>
      <c r="E418" s="1381">
        <f>D419+D421+D423</f>
        <v>889.07500000000005</v>
      </c>
      <c r="F418" s="893" t="s">
        <v>2315</v>
      </c>
      <c r="G418" s="914">
        <v>536261.02599999995</v>
      </c>
      <c r="H418" s="914">
        <v>3530815.0950000002</v>
      </c>
      <c r="I418" s="905"/>
      <c r="J418" s="906">
        <f>J416+1</f>
        <v>207</v>
      </c>
      <c r="K418" s="913" t="s">
        <v>2314</v>
      </c>
      <c r="L418" s="893" t="s">
        <v>1277</v>
      </c>
      <c r="M418" s="908"/>
      <c r="N418" s="908"/>
      <c r="O418" s="908"/>
      <c r="P418" s="908"/>
      <c r="Q418" s="908"/>
      <c r="R418" s="908"/>
      <c r="S418" s="908"/>
      <c r="T418" s="908"/>
      <c r="U418" s="914"/>
      <c r="V418" s="1381">
        <f>SUM(U418:U424)</f>
        <v>889.07500000000005</v>
      </c>
      <c r="W418" s="916">
        <v>259.56700000000001</v>
      </c>
      <c r="X418" s="893" t="s">
        <v>2339</v>
      </c>
      <c r="Y418" s="914">
        <v>536261.02599999995</v>
      </c>
      <c r="Z418" s="914">
        <v>3530815.0950000002</v>
      </c>
      <c r="AA418" s="922"/>
    </row>
    <row r="419" spans="1:27">
      <c r="A419" s="908"/>
      <c r="B419" s="893"/>
      <c r="C419" s="893"/>
      <c r="D419" s="920">
        <v>314.66300000000001</v>
      </c>
      <c r="E419" s="1381"/>
      <c r="F419" s="893"/>
      <c r="G419" s="914"/>
      <c r="H419" s="914"/>
      <c r="I419" s="905"/>
      <c r="J419" s="908"/>
      <c r="K419" s="893"/>
      <c r="L419" s="893"/>
      <c r="M419" s="908"/>
      <c r="N419" s="908"/>
      <c r="O419" s="908"/>
      <c r="P419" s="908"/>
      <c r="Q419" s="908"/>
      <c r="R419" s="908"/>
      <c r="S419" s="908"/>
      <c r="T419" s="908"/>
      <c r="U419" s="914">
        <v>314.66399999999999</v>
      </c>
      <c r="V419" s="1381"/>
      <c r="W419" s="916"/>
      <c r="X419" s="893"/>
      <c r="Y419" s="893"/>
      <c r="Z419" s="893"/>
      <c r="AA419" s="922" t="s">
        <v>2357</v>
      </c>
    </row>
    <row r="420" spans="1:27">
      <c r="A420" s="906">
        <f>A418+1</f>
        <v>208</v>
      </c>
      <c r="B420" s="913" t="s">
        <v>2316</v>
      </c>
      <c r="C420" s="893" t="s">
        <v>76</v>
      </c>
      <c r="D420" s="893"/>
      <c r="E420" s="1381"/>
      <c r="F420" s="893"/>
      <c r="G420" s="914">
        <v>536183.85499999998</v>
      </c>
      <c r="H420" s="914">
        <v>3530510.0410000002</v>
      </c>
      <c r="I420" s="905"/>
      <c r="J420" s="906">
        <f>J418+1</f>
        <v>208</v>
      </c>
      <c r="K420" s="913" t="s">
        <v>2316</v>
      </c>
      <c r="L420" s="893" t="s">
        <v>76</v>
      </c>
      <c r="M420" s="908"/>
      <c r="N420" s="908"/>
      <c r="O420" s="908"/>
      <c r="P420" s="908"/>
      <c r="Q420" s="908"/>
      <c r="R420" s="908"/>
      <c r="S420" s="908"/>
      <c r="T420" s="908"/>
      <c r="U420" s="914"/>
      <c r="V420" s="1381"/>
      <c r="W420" s="916">
        <v>260.00700000000001</v>
      </c>
      <c r="X420" s="893"/>
      <c r="Y420" s="914">
        <v>536183.85499999998</v>
      </c>
      <c r="Z420" s="914">
        <v>3530510.0410000002</v>
      </c>
      <c r="AA420" s="922"/>
    </row>
    <row r="421" spans="1:27">
      <c r="A421" s="908"/>
      <c r="B421" s="893"/>
      <c r="C421" s="893"/>
      <c r="D421" s="920">
        <v>301.75700000000001</v>
      </c>
      <c r="E421" s="1381"/>
      <c r="F421" s="893"/>
      <c r="G421" s="914"/>
      <c r="H421" s="914"/>
      <c r="I421" s="905"/>
      <c r="J421" s="908"/>
      <c r="K421" s="893"/>
      <c r="L421" s="893"/>
      <c r="M421" s="908"/>
      <c r="N421" s="908"/>
      <c r="O421" s="908"/>
      <c r="P421" s="908"/>
      <c r="Q421" s="908"/>
      <c r="R421" s="908"/>
      <c r="S421" s="908"/>
      <c r="T421" s="908"/>
      <c r="U421" s="914">
        <v>301.75700000000001</v>
      </c>
      <c r="V421" s="1381"/>
      <c r="W421" s="916"/>
      <c r="X421" s="893"/>
      <c r="Y421" s="914"/>
      <c r="Z421" s="914"/>
      <c r="AA421" s="922" t="s">
        <v>2358</v>
      </c>
    </row>
    <row r="422" spans="1:27">
      <c r="A422" s="906">
        <f>A420+1</f>
        <v>209</v>
      </c>
      <c r="B422" s="913" t="s">
        <v>2317</v>
      </c>
      <c r="C422" s="893" t="s">
        <v>76</v>
      </c>
      <c r="D422" s="893"/>
      <c r="E422" s="1381"/>
      <c r="F422" s="893"/>
      <c r="G422" s="914">
        <v>536109.85</v>
      </c>
      <c r="H422" s="914">
        <v>3530217.5</v>
      </c>
      <c r="I422" s="905"/>
      <c r="J422" s="906">
        <f>J420+1</f>
        <v>209</v>
      </c>
      <c r="K422" s="913" t="s">
        <v>2317</v>
      </c>
      <c r="L422" s="893" t="s">
        <v>76</v>
      </c>
      <c r="M422" s="908"/>
      <c r="N422" s="908"/>
      <c r="O422" s="908"/>
      <c r="P422" s="908"/>
      <c r="Q422" s="908"/>
      <c r="R422" s="908"/>
      <c r="S422" s="908"/>
      <c r="T422" s="908"/>
      <c r="U422" s="914"/>
      <c r="V422" s="1381"/>
      <c r="W422" s="916">
        <v>259.339</v>
      </c>
      <c r="X422" s="893"/>
      <c r="Y422" s="914">
        <v>536109.85</v>
      </c>
      <c r="Z422" s="914">
        <v>3530217.4989999998</v>
      </c>
      <c r="AA422" s="922"/>
    </row>
    <row r="423" spans="1:27">
      <c r="A423" s="908"/>
      <c r="B423" s="893"/>
      <c r="C423" s="893"/>
      <c r="D423" s="920">
        <v>272.65499999999997</v>
      </c>
      <c r="E423" s="1381"/>
      <c r="F423" s="893"/>
      <c r="G423" s="914"/>
      <c r="H423" s="914"/>
      <c r="I423" s="905"/>
      <c r="J423" s="908"/>
      <c r="K423" s="893"/>
      <c r="L423" s="893"/>
      <c r="M423" s="908"/>
      <c r="N423" s="908"/>
      <c r="O423" s="908"/>
      <c r="P423" s="908"/>
      <c r="Q423" s="908"/>
      <c r="R423" s="908"/>
      <c r="S423" s="908"/>
      <c r="T423" s="908"/>
      <c r="U423" s="914">
        <v>272.654</v>
      </c>
      <c r="V423" s="1381"/>
      <c r="W423" s="916"/>
      <c r="X423" s="893"/>
      <c r="Y423" s="914"/>
      <c r="Z423" s="914"/>
      <c r="AA423" s="921"/>
    </row>
    <row r="424" spans="1:27">
      <c r="A424" s="906">
        <f>A422+1</f>
        <v>210</v>
      </c>
      <c r="B424" s="913" t="s">
        <v>2318</v>
      </c>
      <c r="C424" s="893" t="s">
        <v>1269</v>
      </c>
      <c r="D424" s="893"/>
      <c r="E424" s="1381"/>
      <c r="F424" s="893" t="s">
        <v>2319</v>
      </c>
      <c r="G424" s="914">
        <v>536042.98300000001</v>
      </c>
      <c r="H424" s="914">
        <v>3529953.1719999998</v>
      </c>
      <c r="I424" s="905"/>
      <c r="J424" s="906">
        <f>J422+1</f>
        <v>210</v>
      </c>
      <c r="K424" s="913" t="s">
        <v>2330</v>
      </c>
      <c r="L424" s="893" t="s">
        <v>1269</v>
      </c>
      <c r="M424" s="908"/>
      <c r="N424" s="908"/>
      <c r="O424" s="908"/>
      <c r="P424" s="908"/>
      <c r="Q424" s="908"/>
      <c r="R424" s="908"/>
      <c r="S424" s="908"/>
      <c r="T424" s="908"/>
      <c r="U424" s="914"/>
      <c r="V424" s="1381"/>
      <c r="W424" s="916">
        <v>259.19200000000001</v>
      </c>
      <c r="X424" s="893" t="s">
        <v>2340</v>
      </c>
      <c r="Y424" s="914">
        <v>536042.98300000001</v>
      </c>
      <c r="Z424" s="914">
        <v>3529953.1719999998</v>
      </c>
      <c r="AA424" s="922"/>
    </row>
    <row r="425" spans="1:27">
      <c r="A425" s="908"/>
      <c r="B425" s="893"/>
      <c r="C425" s="893"/>
      <c r="D425" s="920">
        <v>411.54199999999997</v>
      </c>
      <c r="E425" s="1381">
        <v>411.54199999999997</v>
      </c>
      <c r="F425" s="893"/>
      <c r="G425" s="914"/>
      <c r="H425" s="914"/>
      <c r="I425" s="905"/>
      <c r="J425" s="908"/>
      <c r="K425" s="893"/>
      <c r="L425" s="893"/>
      <c r="M425" s="908"/>
      <c r="N425" s="908"/>
      <c r="O425" s="908"/>
      <c r="P425" s="908"/>
      <c r="Q425" s="908"/>
      <c r="R425" s="908"/>
      <c r="S425" s="908"/>
      <c r="T425" s="908"/>
      <c r="U425" s="914">
        <v>411.54199999999997</v>
      </c>
      <c r="V425" s="1381">
        <f>SUM(U425)</f>
        <v>411.54199999999997</v>
      </c>
      <c r="W425" s="916"/>
      <c r="X425" s="893"/>
      <c r="Y425" s="893"/>
      <c r="Z425" s="893"/>
      <c r="AA425" s="921" t="s">
        <v>2359</v>
      </c>
    </row>
    <row r="426" spans="1:27">
      <c r="A426" s="906">
        <f>A424+1</f>
        <v>211</v>
      </c>
      <c r="B426" s="913" t="s">
        <v>2320</v>
      </c>
      <c r="C426" s="893" t="s">
        <v>1361</v>
      </c>
      <c r="D426" s="893"/>
      <c r="E426" s="1381"/>
      <c r="F426" s="893" t="s">
        <v>2321</v>
      </c>
      <c r="G426" s="914">
        <v>535938.58799999999</v>
      </c>
      <c r="H426" s="914">
        <v>3529555.091</v>
      </c>
      <c r="I426" s="905"/>
      <c r="J426" s="906">
        <f>J424+1</f>
        <v>211</v>
      </c>
      <c r="K426" s="913" t="s">
        <v>2320</v>
      </c>
      <c r="L426" s="893" t="s">
        <v>1361</v>
      </c>
      <c r="M426" s="908"/>
      <c r="N426" s="908"/>
      <c r="O426" s="908"/>
      <c r="P426" s="908"/>
      <c r="Q426" s="908"/>
      <c r="R426" s="908"/>
      <c r="S426" s="908"/>
      <c r="T426" s="908"/>
      <c r="U426" s="914"/>
      <c r="V426" s="1381"/>
      <c r="W426" s="916">
        <v>258.815</v>
      </c>
      <c r="X426" s="893" t="s">
        <v>2321</v>
      </c>
      <c r="Y426" s="914">
        <v>535938.58799999999</v>
      </c>
      <c r="Z426" s="914">
        <v>3529555.091</v>
      </c>
      <c r="AA426" s="922"/>
    </row>
    <row r="427" spans="1:27">
      <c r="A427" s="908"/>
      <c r="B427" s="893"/>
      <c r="C427" s="893"/>
      <c r="D427" s="920">
        <v>375.053</v>
      </c>
      <c r="E427" s="1381">
        <f>D427+D429+D431+D433+D435</f>
        <v>1751.0180000000003</v>
      </c>
      <c r="F427" s="893"/>
      <c r="G427" s="914"/>
      <c r="H427" s="914"/>
      <c r="I427" s="905"/>
      <c r="J427" s="908"/>
      <c r="K427" s="893"/>
      <c r="L427" s="893"/>
      <c r="M427" s="908"/>
      <c r="N427" s="908"/>
      <c r="O427" s="908"/>
      <c r="P427" s="908"/>
      <c r="Q427" s="908"/>
      <c r="R427" s="908"/>
      <c r="S427" s="908"/>
      <c r="T427" s="908"/>
      <c r="U427" s="914">
        <v>375.05399999999997</v>
      </c>
      <c r="V427" s="1381">
        <f>SUM(U427:U436)</f>
        <v>1751.019</v>
      </c>
      <c r="W427" s="916"/>
      <c r="X427" s="893"/>
      <c r="Y427" s="893"/>
      <c r="Z427" s="893"/>
      <c r="AA427" s="921" t="s">
        <v>2360</v>
      </c>
    </row>
    <row r="428" spans="1:27">
      <c r="A428" s="906">
        <f>A426+1</f>
        <v>212</v>
      </c>
      <c r="B428" s="913" t="s">
        <v>2322</v>
      </c>
      <c r="C428" s="893" t="s">
        <v>76</v>
      </c>
      <c r="D428" s="920"/>
      <c r="E428" s="1381"/>
      <c r="F428" s="893"/>
      <c r="G428" s="914">
        <v>535971.53700000001</v>
      </c>
      <c r="H428" s="914">
        <v>3529181.4879999999</v>
      </c>
      <c r="I428" s="905"/>
      <c r="J428" s="906">
        <f>J426+1</f>
        <v>212</v>
      </c>
      <c r="K428" s="913" t="s">
        <v>2322</v>
      </c>
      <c r="L428" s="893" t="s">
        <v>76</v>
      </c>
      <c r="M428" s="908"/>
      <c r="N428" s="908"/>
      <c r="O428" s="908"/>
      <c r="P428" s="908"/>
      <c r="Q428" s="908"/>
      <c r="R428" s="908"/>
      <c r="S428" s="908"/>
      <c r="T428" s="908"/>
      <c r="U428" s="914"/>
      <c r="V428" s="1381"/>
      <c r="W428" s="916">
        <v>258.94099999999997</v>
      </c>
      <c r="X428" s="893"/>
      <c r="Y428" s="914">
        <v>535971.53700000001</v>
      </c>
      <c r="Z428" s="914">
        <v>3529181.4870000002</v>
      </c>
      <c r="AA428" s="922"/>
    </row>
    <row r="429" spans="1:27">
      <c r="A429" s="908"/>
      <c r="B429" s="893"/>
      <c r="C429" s="893"/>
      <c r="D429" s="920">
        <v>357.80099999999999</v>
      </c>
      <c r="E429" s="1381"/>
      <c r="F429" s="893"/>
      <c r="G429" s="914"/>
      <c r="H429" s="914"/>
      <c r="I429" s="905"/>
      <c r="J429" s="908"/>
      <c r="K429" s="893"/>
      <c r="L429" s="893"/>
      <c r="M429" s="908"/>
      <c r="N429" s="908"/>
      <c r="O429" s="908"/>
      <c r="P429" s="908"/>
      <c r="Q429" s="908"/>
      <c r="R429" s="908"/>
      <c r="S429" s="908"/>
      <c r="T429" s="908"/>
      <c r="U429" s="914">
        <v>357.80099999999999</v>
      </c>
      <c r="V429" s="1381"/>
      <c r="W429" s="916"/>
      <c r="X429" s="893"/>
      <c r="Y429" s="914"/>
      <c r="Z429" s="914"/>
      <c r="AA429" s="922" t="s">
        <v>2361</v>
      </c>
    </row>
    <row r="430" spans="1:27">
      <c r="A430" s="906">
        <f>A428+1</f>
        <v>213</v>
      </c>
      <c r="B430" s="913" t="s">
        <v>2323</v>
      </c>
      <c r="C430" s="893" t="s">
        <v>76</v>
      </c>
      <c r="D430" s="920"/>
      <c r="E430" s="1381"/>
      <c r="F430" s="893"/>
      <c r="G430" s="914">
        <v>536002.97199999995</v>
      </c>
      <c r="H430" s="914">
        <v>3528825.07</v>
      </c>
      <c r="I430" s="905"/>
      <c r="J430" s="906">
        <f>J428+1</f>
        <v>213</v>
      </c>
      <c r="K430" s="913" t="s">
        <v>2323</v>
      </c>
      <c r="L430" s="893" t="s">
        <v>76</v>
      </c>
      <c r="M430" s="908"/>
      <c r="N430" s="908"/>
      <c r="O430" s="908"/>
      <c r="P430" s="908"/>
      <c r="Q430" s="908"/>
      <c r="R430" s="908"/>
      <c r="S430" s="908"/>
      <c r="T430" s="908"/>
      <c r="U430" s="914"/>
      <c r="V430" s="1381"/>
      <c r="W430" s="916">
        <v>258.584</v>
      </c>
      <c r="X430" s="893"/>
      <c r="Y430" s="914">
        <v>536002.97199999995</v>
      </c>
      <c r="Z430" s="914">
        <v>3528825.07</v>
      </c>
      <c r="AA430" s="922"/>
    </row>
    <row r="431" spans="1:27">
      <c r="A431" s="908"/>
      <c r="B431" s="893"/>
      <c r="C431" s="893"/>
      <c r="D431" s="920">
        <v>338.209</v>
      </c>
      <c r="E431" s="1381"/>
      <c r="F431" s="893"/>
      <c r="G431" s="914"/>
      <c r="H431" s="914"/>
      <c r="I431" s="905"/>
      <c r="J431" s="908"/>
      <c r="K431" s="893"/>
      <c r="L431" s="893"/>
      <c r="M431" s="908"/>
      <c r="N431" s="908"/>
      <c r="O431" s="908"/>
      <c r="P431" s="908"/>
      <c r="Q431" s="908"/>
      <c r="R431" s="908"/>
      <c r="S431" s="908"/>
      <c r="T431" s="908"/>
      <c r="U431" s="914">
        <v>338.209</v>
      </c>
      <c r="V431" s="1381"/>
      <c r="W431" s="916"/>
      <c r="X431" s="893"/>
      <c r="Y431" s="914"/>
      <c r="Z431" s="914"/>
      <c r="AA431" s="921" t="s">
        <v>2251</v>
      </c>
    </row>
    <row r="432" spans="1:27">
      <c r="A432" s="906">
        <f>A430+1</f>
        <v>214</v>
      </c>
      <c r="B432" s="913" t="s">
        <v>2324</v>
      </c>
      <c r="C432" s="893" t="s">
        <v>76</v>
      </c>
      <c r="D432" s="920"/>
      <c r="E432" s="1381"/>
      <c r="F432" s="893"/>
      <c r="G432" s="914">
        <v>536032.68500000006</v>
      </c>
      <c r="H432" s="914">
        <v>3528488.1690000002</v>
      </c>
      <c r="I432" s="905"/>
      <c r="J432" s="906">
        <f>J430+1</f>
        <v>214</v>
      </c>
      <c r="K432" s="913" t="s">
        <v>2324</v>
      </c>
      <c r="L432" s="893" t="s">
        <v>76</v>
      </c>
      <c r="M432" s="908"/>
      <c r="N432" s="908"/>
      <c r="O432" s="908"/>
      <c r="P432" s="908"/>
      <c r="Q432" s="908"/>
      <c r="R432" s="908"/>
      <c r="S432" s="908"/>
      <c r="T432" s="908"/>
      <c r="U432" s="914"/>
      <c r="V432" s="1381"/>
      <c r="W432" s="916">
        <v>258.51600000000002</v>
      </c>
      <c r="X432" s="893"/>
      <c r="Y432" s="914">
        <v>536032.68500000006</v>
      </c>
      <c r="Z432" s="914">
        <v>3528488.1690000002</v>
      </c>
      <c r="AA432" s="922"/>
    </row>
    <row r="433" spans="1:27">
      <c r="A433" s="908"/>
      <c r="B433" s="893"/>
      <c r="C433" s="893"/>
      <c r="D433" s="920">
        <v>358.79300000000001</v>
      </c>
      <c r="E433" s="1381"/>
      <c r="F433" s="893"/>
      <c r="G433" s="914"/>
      <c r="H433" s="914"/>
      <c r="I433" s="905"/>
      <c r="J433" s="908"/>
      <c r="K433" s="893"/>
      <c r="L433" s="893"/>
      <c r="M433" s="908"/>
      <c r="N433" s="908"/>
      <c r="O433" s="908"/>
      <c r="P433" s="908"/>
      <c r="Q433" s="908"/>
      <c r="R433" s="908"/>
      <c r="S433" s="908"/>
      <c r="T433" s="908"/>
      <c r="U433" s="914">
        <v>358.79300000000001</v>
      </c>
      <c r="V433" s="1381"/>
      <c r="W433" s="916"/>
      <c r="X433" s="893"/>
      <c r="Y433" s="914"/>
      <c r="Z433" s="914"/>
      <c r="AA433" s="921" t="s">
        <v>2362</v>
      </c>
    </row>
    <row r="434" spans="1:27">
      <c r="A434" s="906">
        <f>A432+1</f>
        <v>215</v>
      </c>
      <c r="B434" s="913" t="s">
        <v>2325</v>
      </c>
      <c r="C434" s="893" t="s">
        <v>76</v>
      </c>
      <c r="D434" s="920"/>
      <c r="E434" s="1381"/>
      <c r="F434" s="893"/>
      <c r="G434" s="914">
        <v>536064.20600000001</v>
      </c>
      <c r="H434" s="914">
        <v>3528130.7629999998</v>
      </c>
      <c r="I434" s="905"/>
      <c r="J434" s="906">
        <f>J432+1</f>
        <v>215</v>
      </c>
      <c r="K434" s="913" t="s">
        <v>2325</v>
      </c>
      <c r="L434" s="893" t="s">
        <v>76</v>
      </c>
      <c r="M434" s="908"/>
      <c r="N434" s="908"/>
      <c r="O434" s="908"/>
      <c r="P434" s="908"/>
      <c r="Q434" s="908"/>
      <c r="R434" s="908"/>
      <c r="S434" s="908"/>
      <c r="T434" s="908"/>
      <c r="U434" s="914"/>
      <c r="V434" s="1381"/>
      <c r="W434" s="916">
        <v>259.27800000000002</v>
      </c>
      <c r="X434" s="893"/>
      <c r="Y434" s="914">
        <v>536064.20600000001</v>
      </c>
      <c r="Z434" s="914">
        <v>3528130.7629999998</v>
      </c>
      <c r="AA434" s="921"/>
    </row>
    <row r="435" spans="1:27">
      <c r="A435" s="908"/>
      <c r="B435" s="893"/>
      <c r="C435" s="893"/>
      <c r="D435" s="920">
        <v>321.16199999999998</v>
      </c>
      <c r="E435" s="1381"/>
      <c r="F435" s="893"/>
      <c r="G435" s="914"/>
      <c r="H435" s="914"/>
      <c r="I435" s="905"/>
      <c r="J435" s="908"/>
      <c r="K435" s="893"/>
      <c r="L435" s="893"/>
      <c r="M435" s="908"/>
      <c r="N435" s="908"/>
      <c r="O435" s="908"/>
      <c r="P435" s="908"/>
      <c r="Q435" s="908"/>
      <c r="R435" s="908"/>
      <c r="S435" s="908"/>
      <c r="T435" s="908"/>
      <c r="U435" s="914">
        <v>321.16199999999998</v>
      </c>
      <c r="V435" s="1381"/>
      <c r="W435" s="916"/>
      <c r="X435" s="893"/>
      <c r="Y435" s="914"/>
      <c r="Z435" s="914"/>
      <c r="AA435" s="921" t="s">
        <v>2363</v>
      </c>
    </row>
    <row r="436" spans="1:27">
      <c r="A436" s="906">
        <f>A434+1</f>
        <v>216</v>
      </c>
      <c r="B436" s="913" t="s">
        <v>2326</v>
      </c>
      <c r="C436" s="893" t="s">
        <v>1277</v>
      </c>
      <c r="D436" s="893"/>
      <c r="E436" s="1381"/>
      <c r="F436" s="893" t="s">
        <v>2327</v>
      </c>
      <c r="G436" s="914">
        <v>536092.42099999997</v>
      </c>
      <c r="H436" s="914">
        <v>3527810.8429999999</v>
      </c>
      <c r="I436" s="905"/>
      <c r="J436" s="906">
        <f>J434+1</f>
        <v>216</v>
      </c>
      <c r="K436" s="913" t="s">
        <v>2326</v>
      </c>
      <c r="L436" s="893" t="s">
        <v>1277</v>
      </c>
      <c r="M436" s="908"/>
      <c r="N436" s="908"/>
      <c r="O436" s="908"/>
      <c r="P436" s="908"/>
      <c r="Q436" s="908"/>
      <c r="R436" s="908"/>
      <c r="S436" s="908"/>
      <c r="T436" s="908"/>
      <c r="U436" s="914"/>
      <c r="V436" s="1381"/>
      <c r="W436" s="916">
        <v>258.70400000000001</v>
      </c>
      <c r="X436" s="893" t="s">
        <v>2327</v>
      </c>
      <c r="Y436" s="914">
        <v>536092.42099999997</v>
      </c>
      <c r="Z436" s="914">
        <v>3527810.8429999999</v>
      </c>
      <c r="AA436" s="922"/>
    </row>
    <row r="437" spans="1:27" ht="8" customHeight="1">
      <c r="A437" s="924"/>
      <c r="B437" s="924"/>
      <c r="C437" s="925"/>
      <c r="D437" s="925"/>
      <c r="E437" s="924"/>
      <c r="F437" s="924"/>
      <c r="G437" s="924"/>
      <c r="H437" s="924"/>
      <c r="I437" s="905"/>
      <c r="J437" s="924"/>
      <c r="K437" s="924"/>
      <c r="L437" s="924"/>
      <c r="M437" s="924"/>
      <c r="N437" s="924"/>
      <c r="O437" s="924"/>
      <c r="P437" s="924"/>
      <c r="Q437" s="924"/>
      <c r="R437" s="924"/>
      <c r="S437" s="924"/>
      <c r="T437" s="924"/>
      <c r="U437" s="926"/>
      <c r="V437" s="924"/>
      <c r="W437" s="924"/>
      <c r="X437" s="924"/>
      <c r="Y437" s="924"/>
      <c r="Z437" s="924"/>
      <c r="AA437" s="927"/>
    </row>
    <row r="438" spans="1:27">
      <c r="A438" s="906">
        <f>A436+1</f>
        <v>217</v>
      </c>
      <c r="B438" s="893" t="s">
        <v>2472</v>
      </c>
      <c r="C438" s="893" t="s">
        <v>1269</v>
      </c>
      <c r="D438" s="893"/>
      <c r="E438" s="1373">
        <v>751.41</v>
      </c>
      <c r="F438" s="55" t="s">
        <v>2473</v>
      </c>
      <c r="G438" s="837">
        <v>537339.01399999997</v>
      </c>
      <c r="H438" s="837">
        <v>3519225.8870000001</v>
      </c>
      <c r="I438" s="905"/>
      <c r="J438" s="906">
        <f>J436+1</f>
        <v>217</v>
      </c>
      <c r="K438" s="55" t="s">
        <v>2472</v>
      </c>
      <c r="L438" s="55" t="s">
        <v>1269</v>
      </c>
      <c r="M438" s="908"/>
      <c r="N438" s="908"/>
      <c r="O438" s="908"/>
      <c r="P438" s="908"/>
      <c r="Q438" s="908"/>
      <c r="R438" s="908"/>
      <c r="S438" s="908"/>
      <c r="T438" s="908"/>
      <c r="U438" s="914"/>
      <c r="V438" s="1377">
        <f>U439+U441</f>
        <v>751.41100000000006</v>
      </c>
      <c r="W438" s="837">
        <v>255.816</v>
      </c>
      <c r="X438" s="55" t="s">
        <v>2473</v>
      </c>
      <c r="Y438" s="837">
        <v>537339.01399999997</v>
      </c>
      <c r="Z438" s="837">
        <v>3519225.8870000001</v>
      </c>
      <c r="AA438" s="837"/>
    </row>
    <row r="439" spans="1:27" ht="29">
      <c r="A439" s="908"/>
      <c r="B439" s="894"/>
      <c r="C439" s="894"/>
      <c r="D439" s="894">
        <v>373.37799999999999</v>
      </c>
      <c r="E439" s="1373"/>
      <c r="F439" s="928"/>
      <c r="G439" s="894"/>
      <c r="H439" s="894"/>
      <c r="I439" s="905"/>
      <c r="J439" s="908"/>
      <c r="K439" s="834"/>
      <c r="L439" s="894"/>
      <c r="M439" s="908"/>
      <c r="N439" s="908"/>
      <c r="O439" s="908"/>
      <c r="P439" s="908"/>
      <c r="Q439" s="908"/>
      <c r="R439" s="908"/>
      <c r="S439" s="908"/>
      <c r="T439" s="908"/>
      <c r="U439" s="929">
        <v>373.37900000000002</v>
      </c>
      <c r="V439" s="1377"/>
      <c r="W439" s="894"/>
      <c r="X439" s="831"/>
      <c r="Y439" s="894"/>
      <c r="Z439" s="894"/>
      <c r="AA439" s="834" t="s">
        <v>2496</v>
      </c>
    </row>
    <row r="440" spans="1:27">
      <c r="A440" s="906">
        <f>A438+1</f>
        <v>218</v>
      </c>
      <c r="B440" s="894" t="s">
        <v>2474</v>
      </c>
      <c r="C440" s="894" t="s">
        <v>53</v>
      </c>
      <c r="D440" s="894"/>
      <c r="E440" s="1373"/>
      <c r="F440" s="928"/>
      <c r="G440" s="838">
        <v>537297.25300000003</v>
      </c>
      <c r="H440" s="838">
        <v>3518854.852</v>
      </c>
      <c r="I440" s="905"/>
      <c r="J440" s="906">
        <f>J438+1</f>
        <v>218</v>
      </c>
      <c r="K440" s="834" t="s">
        <v>2474</v>
      </c>
      <c r="L440" s="834" t="s">
        <v>53</v>
      </c>
      <c r="M440" s="908"/>
      <c r="N440" s="908"/>
      <c r="O440" s="908"/>
      <c r="P440" s="908"/>
      <c r="Q440" s="908"/>
      <c r="R440" s="908"/>
      <c r="S440" s="908"/>
      <c r="T440" s="908"/>
      <c r="U440" s="929"/>
      <c r="V440" s="1377"/>
      <c r="W440" s="838">
        <v>255.91300000000001</v>
      </c>
      <c r="X440" s="831"/>
      <c r="Y440" s="838">
        <v>537297.25300000003</v>
      </c>
      <c r="Z440" s="838">
        <v>3518854.852</v>
      </c>
      <c r="AA440" s="838"/>
    </row>
    <row r="441" spans="1:27">
      <c r="A441" s="908"/>
      <c r="B441" s="894"/>
      <c r="C441" s="894"/>
      <c r="D441" s="894">
        <v>378.00299999999999</v>
      </c>
      <c r="E441" s="1373"/>
      <c r="F441" s="928"/>
      <c r="G441" s="894"/>
      <c r="H441" s="894"/>
      <c r="I441" s="905"/>
      <c r="J441" s="908"/>
      <c r="K441" s="834"/>
      <c r="L441" s="894"/>
      <c r="M441" s="908"/>
      <c r="N441" s="908"/>
      <c r="O441" s="908"/>
      <c r="P441" s="908"/>
      <c r="Q441" s="908"/>
      <c r="R441" s="908"/>
      <c r="S441" s="908"/>
      <c r="T441" s="908"/>
      <c r="U441" s="929">
        <v>378.03199999999998</v>
      </c>
      <c r="V441" s="1377"/>
      <c r="W441" s="894"/>
      <c r="X441" s="831"/>
      <c r="Y441" s="894"/>
      <c r="Z441" s="894"/>
      <c r="AA441" s="894" t="s">
        <v>2497</v>
      </c>
    </row>
    <row r="442" spans="1:27">
      <c r="A442" s="906">
        <f>A440+1</f>
        <v>219</v>
      </c>
      <c r="B442" s="893" t="s">
        <v>2475</v>
      </c>
      <c r="C442" s="893" t="s">
        <v>1269</v>
      </c>
      <c r="D442" s="893"/>
      <c r="E442" s="1373">
        <v>515.47</v>
      </c>
      <c r="F442" s="55" t="s">
        <v>2476</v>
      </c>
      <c r="G442" s="837">
        <v>537254.97199999995</v>
      </c>
      <c r="H442" s="837">
        <v>3518479.1910000001</v>
      </c>
      <c r="I442" s="905"/>
      <c r="J442" s="906">
        <f>J440+1</f>
        <v>219</v>
      </c>
      <c r="K442" s="55" t="s">
        <v>2475</v>
      </c>
      <c r="L442" s="55" t="s">
        <v>1269</v>
      </c>
      <c r="M442" s="908"/>
      <c r="N442" s="908"/>
      <c r="O442" s="908"/>
      <c r="P442" s="908"/>
      <c r="Q442" s="908"/>
      <c r="R442" s="908"/>
      <c r="S442" s="908"/>
      <c r="T442" s="908"/>
      <c r="U442" s="914"/>
      <c r="V442" s="1377">
        <f>U443+U445</f>
        <v>515.46900000000005</v>
      </c>
      <c r="W442" s="837">
        <v>255.82599999999999</v>
      </c>
      <c r="X442" s="55" t="s">
        <v>2476</v>
      </c>
      <c r="Y442" s="837">
        <v>537254.97199999995</v>
      </c>
      <c r="Z442" s="837">
        <v>3518479.1910000001</v>
      </c>
      <c r="AA442" s="837"/>
    </row>
    <row r="443" spans="1:27">
      <c r="A443" s="908"/>
      <c r="B443" s="894"/>
      <c r="C443" s="894"/>
      <c r="D443" s="894">
        <v>283.15600000000001</v>
      </c>
      <c r="E443" s="1373"/>
      <c r="F443" s="928"/>
      <c r="G443" s="894"/>
      <c r="H443" s="894"/>
      <c r="I443" s="905"/>
      <c r="J443" s="908"/>
      <c r="K443" s="834"/>
      <c r="L443" s="894"/>
      <c r="M443" s="908"/>
      <c r="N443" s="908"/>
      <c r="O443" s="908"/>
      <c r="P443" s="908"/>
      <c r="Q443" s="908"/>
      <c r="R443" s="908"/>
      <c r="S443" s="908"/>
      <c r="T443" s="908"/>
      <c r="U443" s="929">
        <v>283.15699999999998</v>
      </c>
      <c r="V443" s="1377"/>
      <c r="W443" s="894"/>
      <c r="X443" s="928"/>
      <c r="Y443" s="894"/>
      <c r="Z443" s="894"/>
      <c r="AA443" s="894" t="s">
        <v>2498</v>
      </c>
    </row>
    <row r="444" spans="1:27">
      <c r="A444" s="906">
        <f>A442+1</f>
        <v>220</v>
      </c>
      <c r="B444" s="894" t="s">
        <v>2477</v>
      </c>
      <c r="C444" s="894" t="s">
        <v>76</v>
      </c>
      <c r="D444" s="894"/>
      <c r="E444" s="1373"/>
      <c r="F444" s="928"/>
      <c r="G444" s="838">
        <v>537244.53099999996</v>
      </c>
      <c r="H444" s="838">
        <v>3518196.227</v>
      </c>
      <c r="I444" s="905"/>
      <c r="J444" s="906">
        <f>J442+1</f>
        <v>220</v>
      </c>
      <c r="K444" s="834" t="s">
        <v>2477</v>
      </c>
      <c r="L444" s="834" t="s">
        <v>1277</v>
      </c>
      <c r="M444" s="908"/>
      <c r="N444" s="908"/>
      <c r="O444" s="908"/>
      <c r="P444" s="908"/>
      <c r="Q444" s="908"/>
      <c r="R444" s="908"/>
      <c r="S444" s="908"/>
      <c r="T444" s="908"/>
      <c r="U444" s="929"/>
      <c r="V444" s="1377"/>
      <c r="W444" s="838">
        <v>254.81</v>
      </c>
      <c r="X444" s="928"/>
      <c r="Y444" s="838">
        <v>537244.53099999996</v>
      </c>
      <c r="Z444" s="838">
        <v>3518196.227</v>
      </c>
      <c r="AA444" s="909" t="s">
        <v>2499</v>
      </c>
    </row>
    <row r="445" spans="1:27">
      <c r="A445" s="908"/>
      <c r="B445" s="894"/>
      <c r="C445" s="894"/>
      <c r="D445" s="894">
        <v>232.31200000000001</v>
      </c>
      <c r="E445" s="1373"/>
      <c r="F445" s="928"/>
      <c r="G445" s="894"/>
      <c r="H445" s="894"/>
      <c r="I445" s="905"/>
      <c r="J445" s="908"/>
      <c r="K445" s="834"/>
      <c r="L445" s="894"/>
      <c r="M445" s="908"/>
      <c r="N445" s="908"/>
      <c r="O445" s="908"/>
      <c r="P445" s="908"/>
      <c r="Q445" s="908"/>
      <c r="R445" s="908"/>
      <c r="S445" s="908"/>
      <c r="T445" s="908"/>
      <c r="U445" s="929">
        <v>232.31200000000001</v>
      </c>
      <c r="V445" s="1377"/>
      <c r="W445" s="894"/>
      <c r="X445" s="928"/>
      <c r="Y445" s="894"/>
      <c r="Z445" s="894"/>
      <c r="AA445" s="894"/>
    </row>
    <row r="446" spans="1:27">
      <c r="A446" s="906">
        <f>A444+1</f>
        <v>221</v>
      </c>
      <c r="B446" s="893" t="s">
        <v>2478</v>
      </c>
      <c r="C446" s="893" t="s">
        <v>1269</v>
      </c>
      <c r="D446" s="893"/>
      <c r="E446" s="893"/>
      <c r="F446" s="930" t="s">
        <v>2479</v>
      </c>
      <c r="G446" s="837">
        <v>537235.96499999997</v>
      </c>
      <c r="H446" s="837">
        <v>3517964.0729999999</v>
      </c>
      <c r="I446" s="905"/>
      <c r="J446" s="906">
        <f>J444+1</f>
        <v>221</v>
      </c>
      <c r="K446" s="55" t="s">
        <v>2478</v>
      </c>
      <c r="L446" s="55" t="s">
        <v>1269</v>
      </c>
      <c r="M446" s="908"/>
      <c r="N446" s="908"/>
      <c r="O446" s="908"/>
      <c r="P446" s="908"/>
      <c r="Q446" s="908"/>
      <c r="R446" s="908"/>
      <c r="S446" s="908"/>
      <c r="T446" s="908"/>
      <c r="U446" s="914"/>
      <c r="V446" s="832"/>
      <c r="W446" s="837">
        <v>254.46100000000001</v>
      </c>
      <c r="X446" s="55" t="s">
        <v>2479</v>
      </c>
      <c r="Y446" s="837">
        <v>537235.96499999997</v>
      </c>
      <c r="Z446" s="837">
        <v>3517964.0729999999</v>
      </c>
      <c r="AA446" s="837"/>
    </row>
    <row r="447" spans="1:27">
      <c r="A447" s="908"/>
      <c r="B447" s="894"/>
      <c r="C447" s="894"/>
      <c r="D447" s="894">
        <v>323.18599999999998</v>
      </c>
      <c r="E447" s="1373">
        <v>1409.68</v>
      </c>
      <c r="F447" s="928"/>
      <c r="G447" s="894"/>
      <c r="H447" s="894"/>
      <c r="I447" s="905"/>
      <c r="J447" s="908"/>
      <c r="K447" s="834"/>
      <c r="L447" s="894"/>
      <c r="M447" s="908"/>
      <c r="N447" s="908"/>
      <c r="O447" s="908"/>
      <c r="P447" s="908"/>
      <c r="Q447" s="908"/>
      <c r="R447" s="908"/>
      <c r="S447" s="908"/>
      <c r="T447" s="908"/>
      <c r="U447" s="929">
        <v>323.18599999999998</v>
      </c>
      <c r="V447" s="1377">
        <f>U447+U449+U451+U453</f>
        <v>1409.681</v>
      </c>
      <c r="W447" s="894"/>
      <c r="X447" s="928"/>
      <c r="Y447" s="894"/>
      <c r="Z447" s="894"/>
      <c r="AA447" s="894" t="s">
        <v>2500</v>
      </c>
    </row>
    <row r="448" spans="1:27">
      <c r="A448" s="906">
        <f>A446+1</f>
        <v>222</v>
      </c>
      <c r="B448" s="894" t="s">
        <v>2402</v>
      </c>
      <c r="C448" s="894" t="s">
        <v>76</v>
      </c>
      <c r="D448" s="894"/>
      <c r="E448" s="1373"/>
      <c r="F448" s="928"/>
      <c r="G448" s="838">
        <v>537189.43799999997</v>
      </c>
      <c r="H448" s="838">
        <v>3517644.2540000002</v>
      </c>
      <c r="I448" s="905"/>
      <c r="J448" s="906">
        <f>J446+1</f>
        <v>222</v>
      </c>
      <c r="K448" s="834" t="s">
        <v>2402</v>
      </c>
      <c r="L448" s="834" t="s">
        <v>76</v>
      </c>
      <c r="M448" s="908"/>
      <c r="N448" s="908"/>
      <c r="O448" s="908"/>
      <c r="P448" s="908"/>
      <c r="Q448" s="908"/>
      <c r="R448" s="908"/>
      <c r="S448" s="908"/>
      <c r="T448" s="908"/>
      <c r="U448" s="929"/>
      <c r="V448" s="1377"/>
      <c r="W448" s="838">
        <v>254.09100000000001</v>
      </c>
      <c r="X448" s="928"/>
      <c r="Y448" s="838">
        <v>537189.43799999997</v>
      </c>
      <c r="Z448" s="838">
        <v>3517644.2540000002</v>
      </c>
      <c r="AA448" s="838"/>
    </row>
    <row r="449" spans="1:27">
      <c r="A449" s="908"/>
      <c r="B449" s="894"/>
      <c r="C449" s="894"/>
      <c r="D449" s="894">
        <v>351.47500000000002</v>
      </c>
      <c r="E449" s="1373"/>
      <c r="F449" s="928"/>
      <c r="G449" s="894"/>
      <c r="H449" s="894"/>
      <c r="I449" s="905"/>
      <c r="J449" s="908"/>
      <c r="K449" s="834"/>
      <c r="L449" s="894"/>
      <c r="M449" s="908"/>
      <c r="N449" s="908"/>
      <c r="O449" s="908"/>
      <c r="P449" s="908"/>
      <c r="Q449" s="908"/>
      <c r="R449" s="908"/>
      <c r="S449" s="908"/>
      <c r="T449" s="908"/>
      <c r="U449" s="929">
        <v>351.47500000000002</v>
      </c>
      <c r="V449" s="1377"/>
      <c r="W449" s="894"/>
      <c r="X449" s="928"/>
      <c r="Y449" s="894"/>
      <c r="Z449" s="894"/>
      <c r="AA449" s="894" t="s">
        <v>2501</v>
      </c>
    </row>
    <row r="450" spans="1:27">
      <c r="A450" s="906">
        <f>A448+1</f>
        <v>223</v>
      </c>
      <c r="B450" s="894" t="s">
        <v>2480</v>
      </c>
      <c r="C450" s="894" t="s">
        <v>62</v>
      </c>
      <c r="D450" s="894"/>
      <c r="E450" s="1373"/>
      <c r="F450" s="928"/>
      <c r="G450" s="838">
        <v>537138.83900000004</v>
      </c>
      <c r="H450" s="838">
        <v>3517296.44</v>
      </c>
      <c r="I450" s="905"/>
      <c r="J450" s="906">
        <f>J448+1</f>
        <v>223</v>
      </c>
      <c r="K450" s="834" t="s">
        <v>2480</v>
      </c>
      <c r="L450" s="834" t="s">
        <v>62</v>
      </c>
      <c r="M450" s="908"/>
      <c r="N450" s="908"/>
      <c r="O450" s="908"/>
      <c r="P450" s="908"/>
      <c r="Q450" s="908"/>
      <c r="R450" s="908"/>
      <c r="S450" s="908"/>
      <c r="T450" s="908"/>
      <c r="U450" s="929"/>
      <c r="V450" s="1377"/>
      <c r="W450" s="838">
        <v>253.624</v>
      </c>
      <c r="X450" s="928"/>
      <c r="Y450" s="838">
        <v>537138.83900000004</v>
      </c>
      <c r="Z450" s="838">
        <v>3517296.44</v>
      </c>
      <c r="AA450" s="838"/>
    </row>
    <row r="451" spans="1:27">
      <c r="A451" s="908"/>
      <c r="B451" s="894"/>
      <c r="C451" s="894"/>
      <c r="D451" s="894">
        <v>368.87400000000002</v>
      </c>
      <c r="E451" s="1373"/>
      <c r="F451" s="928"/>
      <c r="G451" s="894"/>
      <c r="H451" s="894"/>
      <c r="I451" s="905"/>
      <c r="J451" s="908"/>
      <c r="K451" s="834"/>
      <c r="L451" s="894"/>
      <c r="M451" s="908"/>
      <c r="N451" s="908"/>
      <c r="O451" s="908"/>
      <c r="P451" s="908"/>
      <c r="Q451" s="908"/>
      <c r="R451" s="908"/>
      <c r="S451" s="908"/>
      <c r="T451" s="908"/>
      <c r="U451" s="929">
        <v>368.87400000000002</v>
      </c>
      <c r="V451" s="1377"/>
      <c r="W451" s="894"/>
      <c r="X451" s="928"/>
      <c r="Y451" s="894"/>
      <c r="Z451" s="894"/>
      <c r="AA451" s="894" t="s">
        <v>2502</v>
      </c>
    </row>
    <row r="452" spans="1:27">
      <c r="A452" s="906">
        <f>A450+1</f>
        <v>224</v>
      </c>
      <c r="B452" s="894" t="s">
        <v>2403</v>
      </c>
      <c r="C452" s="894" t="s">
        <v>76</v>
      </c>
      <c r="D452" s="894"/>
      <c r="E452" s="1373"/>
      <c r="F452" s="928"/>
      <c r="G452" s="838">
        <v>537085.73400000005</v>
      </c>
      <c r="H452" s="838">
        <v>3516931.409</v>
      </c>
      <c r="I452" s="905"/>
      <c r="J452" s="906">
        <f>J450+1</f>
        <v>224</v>
      </c>
      <c r="K452" s="834" t="s">
        <v>2403</v>
      </c>
      <c r="L452" s="834" t="s">
        <v>76</v>
      </c>
      <c r="M452" s="908"/>
      <c r="N452" s="908"/>
      <c r="O452" s="908"/>
      <c r="P452" s="908"/>
      <c r="Q452" s="908"/>
      <c r="R452" s="908"/>
      <c r="S452" s="908"/>
      <c r="T452" s="908"/>
      <c r="U452" s="929"/>
      <c r="V452" s="1377"/>
      <c r="W452" s="838">
        <v>252.684</v>
      </c>
      <c r="X452" s="928"/>
      <c r="Y452" s="838">
        <v>537085.73400000005</v>
      </c>
      <c r="Z452" s="838">
        <v>3516931.409</v>
      </c>
      <c r="AA452" s="838"/>
    </row>
    <row r="453" spans="1:27">
      <c r="A453" s="908"/>
      <c r="B453" s="894"/>
      <c r="C453" s="894"/>
      <c r="D453" s="894">
        <v>366.14699999999999</v>
      </c>
      <c r="E453" s="1373"/>
      <c r="F453" s="928"/>
      <c r="G453" s="894"/>
      <c r="H453" s="894"/>
      <c r="I453" s="905"/>
      <c r="J453" s="908"/>
      <c r="K453" s="834"/>
      <c r="L453" s="894"/>
      <c r="M453" s="908"/>
      <c r="N453" s="908"/>
      <c r="O453" s="908"/>
      <c r="P453" s="908"/>
      <c r="Q453" s="908"/>
      <c r="R453" s="908"/>
      <c r="S453" s="908"/>
      <c r="T453" s="908"/>
      <c r="U453" s="929">
        <v>366.14600000000002</v>
      </c>
      <c r="V453" s="1377"/>
      <c r="W453" s="894"/>
      <c r="X453" s="928"/>
      <c r="Y453" s="894"/>
      <c r="Z453" s="894"/>
      <c r="AA453" s="894" t="s">
        <v>2503</v>
      </c>
    </row>
    <row r="454" spans="1:27">
      <c r="A454" s="906">
        <f>A452+1</f>
        <v>225</v>
      </c>
      <c r="B454" s="893" t="s">
        <v>2481</v>
      </c>
      <c r="C454" s="893" t="s">
        <v>1277</v>
      </c>
      <c r="D454" s="893"/>
      <c r="E454" s="1373">
        <v>634.36</v>
      </c>
      <c r="F454" s="55" t="s">
        <v>2482</v>
      </c>
      <c r="G454" s="837">
        <v>537033.022</v>
      </c>
      <c r="H454" s="837">
        <v>3516569.0759999999</v>
      </c>
      <c r="I454" s="905"/>
      <c r="J454" s="906">
        <f>J452+1</f>
        <v>225</v>
      </c>
      <c r="K454" s="55" t="s">
        <v>2481</v>
      </c>
      <c r="L454" s="55" t="s">
        <v>1277</v>
      </c>
      <c r="M454" s="908"/>
      <c r="N454" s="908"/>
      <c r="O454" s="908"/>
      <c r="P454" s="908"/>
      <c r="Q454" s="908"/>
      <c r="R454" s="908"/>
      <c r="S454" s="908"/>
      <c r="T454" s="908"/>
      <c r="U454" s="914"/>
      <c r="V454" s="1377">
        <f>U455+U457</f>
        <v>634.35900000000004</v>
      </c>
      <c r="W454" s="837">
        <v>252.40199999999999</v>
      </c>
      <c r="X454" s="55" t="s">
        <v>2482</v>
      </c>
      <c r="Y454" s="837">
        <v>537033.022</v>
      </c>
      <c r="Z454" s="837">
        <v>3516569.0759999999</v>
      </c>
      <c r="AA454" s="837"/>
    </row>
    <row r="455" spans="1:27">
      <c r="A455" s="908"/>
      <c r="B455" s="894"/>
      <c r="C455" s="894"/>
      <c r="D455" s="894">
        <v>326.20999999999998</v>
      </c>
      <c r="E455" s="1373"/>
      <c r="F455" s="928"/>
      <c r="G455" s="894"/>
      <c r="H455" s="894"/>
      <c r="I455" s="905"/>
      <c r="J455" s="908"/>
      <c r="K455" s="834"/>
      <c r="L455" s="894"/>
      <c r="M455" s="908"/>
      <c r="N455" s="908"/>
      <c r="O455" s="908"/>
      <c r="P455" s="908"/>
      <c r="Q455" s="908"/>
      <c r="R455" s="908"/>
      <c r="S455" s="908"/>
      <c r="T455" s="908"/>
      <c r="U455" s="929">
        <v>326.21100000000001</v>
      </c>
      <c r="V455" s="1377"/>
      <c r="W455" s="894"/>
      <c r="X455" s="928"/>
      <c r="Y455" s="894"/>
      <c r="Z455" s="894"/>
      <c r="AA455" s="894" t="s">
        <v>2504</v>
      </c>
    </row>
    <row r="456" spans="1:27">
      <c r="A456" s="906">
        <f>A454+1</f>
        <v>226</v>
      </c>
      <c r="B456" s="894" t="s">
        <v>2401</v>
      </c>
      <c r="C456" s="894" t="s">
        <v>76</v>
      </c>
      <c r="D456" s="894"/>
      <c r="E456" s="1373"/>
      <c r="F456" s="928"/>
      <c r="G456" s="838">
        <v>537077.777</v>
      </c>
      <c r="H456" s="838">
        <v>3516245.9509999999</v>
      </c>
      <c r="I456" s="905"/>
      <c r="J456" s="906">
        <f>J454+1</f>
        <v>226</v>
      </c>
      <c r="K456" s="834" t="s">
        <v>2401</v>
      </c>
      <c r="L456" s="834" t="s">
        <v>76</v>
      </c>
      <c r="M456" s="908"/>
      <c r="N456" s="908"/>
      <c r="O456" s="908"/>
      <c r="P456" s="908"/>
      <c r="Q456" s="908"/>
      <c r="R456" s="908"/>
      <c r="S456" s="908"/>
      <c r="T456" s="908"/>
      <c r="U456" s="929"/>
      <c r="V456" s="1377"/>
      <c r="W456" s="838">
        <v>253.28100000000001</v>
      </c>
      <c r="X456" s="928"/>
      <c r="Y456" s="838">
        <v>537077.777</v>
      </c>
      <c r="Z456" s="838">
        <v>3516245.9509999999</v>
      </c>
      <c r="AA456" s="838"/>
    </row>
    <row r="457" spans="1:27">
      <c r="A457" s="908"/>
      <c r="B457" s="894"/>
      <c r="C457" s="894"/>
      <c r="D457" s="894">
        <v>308.149</v>
      </c>
      <c r="E457" s="1373"/>
      <c r="F457" s="928"/>
      <c r="G457" s="894"/>
      <c r="H457" s="894"/>
      <c r="I457" s="905"/>
      <c r="J457" s="908"/>
      <c r="K457" s="834"/>
      <c r="L457" s="894"/>
      <c r="M457" s="908"/>
      <c r="N457" s="908"/>
      <c r="O457" s="908"/>
      <c r="P457" s="908"/>
      <c r="Q457" s="908"/>
      <c r="R457" s="908"/>
      <c r="S457" s="908"/>
      <c r="T457" s="908"/>
      <c r="U457" s="929">
        <v>308.14800000000002</v>
      </c>
      <c r="V457" s="1377"/>
      <c r="W457" s="894"/>
      <c r="X457" s="928"/>
      <c r="Y457" s="894"/>
      <c r="Z457" s="894"/>
      <c r="AA457" s="894" t="s">
        <v>2505</v>
      </c>
    </row>
    <row r="458" spans="1:27">
      <c r="A458" s="906">
        <f>A456+1</f>
        <v>227</v>
      </c>
      <c r="B458" s="893" t="s">
        <v>2483</v>
      </c>
      <c r="C458" s="893" t="s">
        <v>1277</v>
      </c>
      <c r="D458" s="893"/>
      <c r="E458" s="1373">
        <v>518.17999999999995</v>
      </c>
      <c r="F458" s="55" t="s">
        <v>2484</v>
      </c>
      <c r="G458" s="837">
        <v>537120.054</v>
      </c>
      <c r="H458" s="837">
        <v>3515940.716</v>
      </c>
      <c r="I458" s="905"/>
      <c r="J458" s="906">
        <f>J456+1</f>
        <v>227</v>
      </c>
      <c r="K458" s="55" t="s">
        <v>2483</v>
      </c>
      <c r="L458" s="55" t="s">
        <v>1277</v>
      </c>
      <c r="M458" s="908"/>
      <c r="N458" s="908"/>
      <c r="O458" s="908"/>
      <c r="P458" s="908"/>
      <c r="Q458" s="908"/>
      <c r="R458" s="908"/>
      <c r="S458" s="908"/>
      <c r="T458" s="908"/>
      <c r="U458" s="914"/>
      <c r="V458" s="1377">
        <f>U459+U461</f>
        <v>518.17499999999995</v>
      </c>
      <c r="W458" s="837">
        <v>253.51</v>
      </c>
      <c r="X458" s="55" t="s">
        <v>2484</v>
      </c>
      <c r="Y458" s="837">
        <v>537120.054</v>
      </c>
      <c r="Z458" s="837">
        <v>3515940.716</v>
      </c>
      <c r="AA458" s="837"/>
    </row>
    <row r="459" spans="1:27">
      <c r="A459" s="908"/>
      <c r="B459" s="894"/>
      <c r="C459" s="894"/>
      <c r="D459" s="894">
        <v>285.935</v>
      </c>
      <c r="E459" s="1373"/>
      <c r="F459" s="928"/>
      <c r="G459" s="894"/>
      <c r="H459" s="894"/>
      <c r="I459" s="905"/>
      <c r="J459" s="908"/>
      <c r="K459" s="834"/>
      <c r="L459" s="894"/>
      <c r="M459" s="908"/>
      <c r="N459" s="908"/>
      <c r="O459" s="908"/>
      <c r="P459" s="908"/>
      <c r="Q459" s="908"/>
      <c r="R459" s="908"/>
      <c r="S459" s="908"/>
      <c r="T459" s="908"/>
      <c r="U459" s="929">
        <v>285.93599999999998</v>
      </c>
      <c r="V459" s="1377"/>
      <c r="W459" s="894"/>
      <c r="X459" s="928"/>
      <c r="Y459" s="894"/>
      <c r="Z459" s="894"/>
      <c r="AA459" s="894" t="s">
        <v>2506</v>
      </c>
    </row>
    <row r="460" spans="1:27">
      <c r="A460" s="906">
        <f>A458+1</f>
        <v>228</v>
      </c>
      <c r="B460" s="894" t="s">
        <v>2485</v>
      </c>
      <c r="C460" s="894" t="s">
        <v>76</v>
      </c>
      <c r="D460" s="894"/>
      <c r="E460" s="1373"/>
      <c r="F460" s="928"/>
      <c r="G460" s="838">
        <v>537280.62300000002</v>
      </c>
      <c r="H460" s="838">
        <v>3515704.1230000001</v>
      </c>
      <c r="I460" s="905"/>
      <c r="J460" s="906">
        <f>J458+1</f>
        <v>228</v>
      </c>
      <c r="K460" s="834" t="s">
        <v>2485</v>
      </c>
      <c r="L460" s="834" t="s">
        <v>76</v>
      </c>
      <c r="M460" s="908"/>
      <c r="N460" s="908"/>
      <c r="O460" s="908"/>
      <c r="P460" s="908"/>
      <c r="Q460" s="908"/>
      <c r="R460" s="908"/>
      <c r="S460" s="908"/>
      <c r="T460" s="908"/>
      <c r="U460" s="929"/>
      <c r="V460" s="1377"/>
      <c r="W460" s="838">
        <v>253.74799999999999</v>
      </c>
      <c r="X460" s="928"/>
      <c r="Y460" s="838">
        <v>537280.62300000002</v>
      </c>
      <c r="Z460" s="838">
        <v>3515704.1230000001</v>
      </c>
      <c r="AA460" s="838"/>
    </row>
    <row r="461" spans="1:27">
      <c r="A461" s="908"/>
      <c r="B461" s="894"/>
      <c r="C461" s="894"/>
      <c r="D461" s="894">
        <v>232.24</v>
      </c>
      <c r="E461" s="1373"/>
      <c r="F461" s="928"/>
      <c r="G461" s="894"/>
      <c r="H461" s="894"/>
      <c r="I461" s="905"/>
      <c r="J461" s="908"/>
      <c r="K461" s="834"/>
      <c r="L461" s="894"/>
      <c r="M461" s="908"/>
      <c r="N461" s="908"/>
      <c r="O461" s="908"/>
      <c r="P461" s="908"/>
      <c r="Q461" s="908"/>
      <c r="R461" s="908"/>
      <c r="S461" s="908"/>
      <c r="T461" s="908"/>
      <c r="U461" s="929">
        <v>232.239</v>
      </c>
      <c r="V461" s="1377"/>
      <c r="W461" s="894"/>
      <c r="X461" s="928"/>
      <c r="Y461" s="894"/>
      <c r="Z461" s="894"/>
      <c r="AA461" s="894" t="s">
        <v>2507</v>
      </c>
    </row>
    <row r="462" spans="1:27">
      <c r="A462" s="906">
        <f>A460+1</f>
        <v>229</v>
      </c>
      <c r="B462" s="893" t="s">
        <v>2486</v>
      </c>
      <c r="C462" s="893" t="s">
        <v>1319</v>
      </c>
      <c r="D462" s="893"/>
      <c r="E462" s="1373">
        <v>1212.3699999999999</v>
      </c>
      <c r="F462" s="830" t="s">
        <v>2487</v>
      </c>
      <c r="G462" s="837">
        <v>537411.04</v>
      </c>
      <c r="H462" s="837">
        <v>3515511.9589999998</v>
      </c>
      <c r="I462" s="905"/>
      <c r="J462" s="906">
        <f>J460+1</f>
        <v>229</v>
      </c>
      <c r="K462" s="55" t="s">
        <v>2486</v>
      </c>
      <c r="L462" s="55" t="s">
        <v>1319</v>
      </c>
      <c r="M462" s="908"/>
      <c r="N462" s="908"/>
      <c r="O462" s="908"/>
      <c r="P462" s="908"/>
      <c r="Q462" s="908"/>
      <c r="R462" s="908"/>
      <c r="S462" s="908"/>
      <c r="T462" s="908"/>
      <c r="U462" s="914"/>
      <c r="V462" s="1377">
        <f>U463+U465+U467</f>
        <v>1212.3690000000001</v>
      </c>
      <c r="W462" s="837">
        <v>254.13200000000001</v>
      </c>
      <c r="X462" s="55" t="s">
        <v>2487</v>
      </c>
      <c r="Y462" s="837">
        <v>537411.04</v>
      </c>
      <c r="Z462" s="837">
        <v>3515511.9589999998</v>
      </c>
      <c r="AA462" s="837"/>
    </row>
    <row r="463" spans="1:27">
      <c r="A463" s="908"/>
      <c r="B463" s="894"/>
      <c r="C463" s="894"/>
      <c r="D463" s="894">
        <v>396.91300000000001</v>
      </c>
      <c r="E463" s="1373"/>
      <c r="F463" s="833"/>
      <c r="G463" s="894"/>
      <c r="H463" s="894"/>
      <c r="I463" s="905"/>
      <c r="J463" s="908"/>
      <c r="K463" s="834"/>
      <c r="L463" s="894"/>
      <c r="M463" s="908"/>
      <c r="N463" s="908"/>
      <c r="O463" s="908"/>
      <c r="P463" s="908"/>
      <c r="Q463" s="908"/>
      <c r="R463" s="908"/>
      <c r="S463" s="908"/>
      <c r="T463" s="908"/>
      <c r="U463" s="929">
        <v>396.91399999999999</v>
      </c>
      <c r="V463" s="1377"/>
      <c r="W463" s="894"/>
      <c r="X463" s="834"/>
      <c r="Y463" s="894"/>
      <c r="Z463" s="894"/>
      <c r="AA463" s="894" t="s">
        <v>2508</v>
      </c>
    </row>
    <row r="464" spans="1:27">
      <c r="A464" s="906">
        <f>A462+1</f>
        <v>230</v>
      </c>
      <c r="B464" s="894" t="s">
        <v>2488</v>
      </c>
      <c r="C464" s="894" t="s">
        <v>62</v>
      </c>
      <c r="D464" s="894"/>
      <c r="E464" s="1373"/>
      <c r="F464" s="833"/>
      <c r="G464" s="838">
        <v>537356.68700000003</v>
      </c>
      <c r="H464" s="838">
        <v>3515118.7850000001</v>
      </c>
      <c r="I464" s="905"/>
      <c r="J464" s="906">
        <f>J462+1</f>
        <v>230</v>
      </c>
      <c r="K464" s="834" t="s">
        <v>2488</v>
      </c>
      <c r="L464" s="834" t="s">
        <v>62</v>
      </c>
      <c r="M464" s="908"/>
      <c r="N464" s="908"/>
      <c r="O464" s="908"/>
      <c r="P464" s="908"/>
      <c r="Q464" s="908"/>
      <c r="R464" s="908"/>
      <c r="S464" s="908"/>
      <c r="T464" s="908"/>
      <c r="U464" s="929"/>
      <c r="V464" s="1377"/>
      <c r="W464" s="838">
        <v>253.923</v>
      </c>
      <c r="X464" s="835"/>
      <c r="Y464" s="838">
        <v>537356.68700000003</v>
      </c>
      <c r="Z464" s="838">
        <v>3515118.7850000001</v>
      </c>
      <c r="AA464" s="838"/>
    </row>
    <row r="465" spans="1:27">
      <c r="A465" s="908"/>
      <c r="B465" s="894"/>
      <c r="C465" s="894"/>
      <c r="D465" s="894">
        <v>412.77600000000001</v>
      </c>
      <c r="E465" s="1373"/>
      <c r="F465" s="833"/>
      <c r="G465" s="894"/>
      <c r="H465" s="894"/>
      <c r="I465" s="905"/>
      <c r="J465" s="908"/>
      <c r="K465" s="834"/>
      <c r="L465" s="894"/>
      <c r="M465" s="908"/>
      <c r="N465" s="908"/>
      <c r="O465" s="908"/>
      <c r="P465" s="908"/>
      <c r="Q465" s="908"/>
      <c r="R465" s="908"/>
      <c r="S465" s="908"/>
      <c r="T465" s="908"/>
      <c r="U465" s="929">
        <v>412.76600000000002</v>
      </c>
      <c r="V465" s="1377"/>
      <c r="W465" s="894"/>
      <c r="X465" s="835"/>
      <c r="Y465" s="894"/>
      <c r="Z465" s="894"/>
      <c r="AA465" s="894" t="s">
        <v>2509</v>
      </c>
    </row>
    <row r="466" spans="1:27">
      <c r="A466" s="906">
        <f>A464+1</f>
        <v>231</v>
      </c>
      <c r="B466" s="894" t="s">
        <v>2489</v>
      </c>
      <c r="C466" s="894" t="s">
        <v>53</v>
      </c>
      <c r="D466" s="894"/>
      <c r="E466" s="1373"/>
      <c r="F466" s="833"/>
      <c r="G466" s="838">
        <v>537300.16299999994</v>
      </c>
      <c r="H466" s="838">
        <v>3514709.9070000001</v>
      </c>
      <c r="I466" s="905"/>
      <c r="J466" s="906">
        <f>J464+1</f>
        <v>231</v>
      </c>
      <c r="K466" s="834" t="s">
        <v>2489</v>
      </c>
      <c r="L466" s="834" t="s">
        <v>53</v>
      </c>
      <c r="M466" s="908"/>
      <c r="N466" s="908"/>
      <c r="O466" s="908"/>
      <c r="P466" s="908"/>
      <c r="Q466" s="908"/>
      <c r="R466" s="908"/>
      <c r="S466" s="908"/>
      <c r="T466" s="908"/>
      <c r="U466" s="929"/>
      <c r="V466" s="1377"/>
      <c r="W466" s="838">
        <v>253.78299999999999</v>
      </c>
      <c r="X466" s="835"/>
      <c r="Y466" s="838">
        <v>537300.16299999994</v>
      </c>
      <c r="Z466" s="838">
        <v>3514709.9070000001</v>
      </c>
      <c r="AA466" s="838"/>
    </row>
    <row r="467" spans="1:27">
      <c r="A467" s="908"/>
      <c r="B467" s="894"/>
      <c r="C467" s="894"/>
      <c r="D467" s="894">
        <v>402.69</v>
      </c>
      <c r="E467" s="1373"/>
      <c r="F467" s="833"/>
      <c r="G467" s="894"/>
      <c r="H467" s="894"/>
      <c r="I467" s="905"/>
      <c r="J467" s="908"/>
      <c r="K467" s="834"/>
      <c r="L467" s="894"/>
      <c r="M467" s="908"/>
      <c r="N467" s="908"/>
      <c r="O467" s="908"/>
      <c r="P467" s="908"/>
      <c r="Q467" s="908"/>
      <c r="R467" s="908"/>
      <c r="S467" s="908"/>
      <c r="T467" s="908"/>
      <c r="U467" s="929">
        <v>402.68900000000002</v>
      </c>
      <c r="V467" s="1377"/>
      <c r="W467" s="894"/>
      <c r="X467" s="835"/>
      <c r="Y467" s="894"/>
      <c r="Z467" s="894"/>
      <c r="AA467" s="894" t="s">
        <v>2510</v>
      </c>
    </row>
    <row r="468" spans="1:27">
      <c r="A468" s="906">
        <f>A466+1</f>
        <v>232</v>
      </c>
      <c r="B468" s="893" t="s">
        <v>2490</v>
      </c>
      <c r="C468" s="893" t="s">
        <v>1361</v>
      </c>
      <c r="D468" s="893"/>
      <c r="E468" s="1373">
        <v>1136.05</v>
      </c>
      <c r="F468" s="830" t="s">
        <v>2520</v>
      </c>
      <c r="G468" s="837">
        <v>537245.01800000004</v>
      </c>
      <c r="H468" s="837">
        <v>3514311.0109999999</v>
      </c>
      <c r="I468" s="905"/>
      <c r="J468" s="906">
        <f>J466+1</f>
        <v>232</v>
      </c>
      <c r="K468" s="55" t="s">
        <v>2490</v>
      </c>
      <c r="L468" s="55" t="s">
        <v>1361</v>
      </c>
      <c r="M468" s="908"/>
      <c r="N468" s="908"/>
      <c r="O468" s="908"/>
      <c r="P468" s="908"/>
      <c r="Q468" s="908"/>
      <c r="R468" s="908"/>
      <c r="S468" s="908"/>
      <c r="T468" s="908"/>
      <c r="U468" s="914"/>
      <c r="V468" s="1375">
        <f>U469+U471+U473</f>
        <v>1136.8589999999999</v>
      </c>
      <c r="W468" s="837">
        <v>253.607</v>
      </c>
      <c r="X468" s="55" t="s">
        <v>2511</v>
      </c>
      <c r="Y468" s="837">
        <v>537245.01800000004</v>
      </c>
      <c r="Z468" s="837">
        <v>3514311.0109999999</v>
      </c>
      <c r="AA468" s="837"/>
    </row>
    <row r="469" spans="1:27">
      <c r="A469" s="908"/>
      <c r="B469" s="894"/>
      <c r="C469" s="894"/>
      <c r="D469" s="894">
        <v>373.86599999999999</v>
      </c>
      <c r="E469" s="1373"/>
      <c r="F469" s="833"/>
      <c r="G469" s="894"/>
      <c r="H469" s="894"/>
      <c r="I469" s="905"/>
      <c r="J469" s="908"/>
      <c r="K469" s="834"/>
      <c r="L469" s="894"/>
      <c r="M469" s="908"/>
      <c r="N469" s="908"/>
      <c r="O469" s="908"/>
      <c r="P469" s="908"/>
      <c r="Q469" s="908"/>
      <c r="R469" s="908"/>
      <c r="S469" s="908"/>
      <c r="T469" s="908"/>
      <c r="U469" s="929">
        <v>374.13299999999998</v>
      </c>
      <c r="V469" s="1375"/>
      <c r="W469" s="894"/>
      <c r="X469" s="835"/>
      <c r="Y469" s="836"/>
      <c r="Z469" s="836"/>
      <c r="AA469" s="836" t="s">
        <v>2512</v>
      </c>
    </row>
    <row r="470" spans="1:27">
      <c r="A470" s="906">
        <f>A468+1</f>
        <v>233</v>
      </c>
      <c r="B470" s="894" t="s">
        <v>2491</v>
      </c>
      <c r="C470" s="894" t="s">
        <v>76</v>
      </c>
      <c r="D470" s="894"/>
      <c r="E470" s="1373"/>
      <c r="F470" s="833"/>
      <c r="G470" s="838">
        <v>537325.24399999995</v>
      </c>
      <c r="H470" s="838">
        <v>3513945.8539999998</v>
      </c>
      <c r="I470" s="905"/>
      <c r="J470" s="906">
        <f>J468+1</f>
        <v>233</v>
      </c>
      <c r="K470" s="834" t="s">
        <v>2491</v>
      </c>
      <c r="L470" s="834" t="s">
        <v>76</v>
      </c>
      <c r="M470" s="908"/>
      <c r="N470" s="908"/>
      <c r="O470" s="908"/>
      <c r="P470" s="908"/>
      <c r="Q470" s="908"/>
      <c r="R470" s="908"/>
      <c r="S470" s="908"/>
      <c r="T470" s="908"/>
      <c r="U470" s="929"/>
      <c r="V470" s="1375"/>
      <c r="W470" s="838">
        <v>253.477</v>
      </c>
      <c r="X470" s="835"/>
      <c r="Y470" s="836">
        <v>537320.478</v>
      </c>
      <c r="Z470" s="836">
        <v>3513944.5669999998</v>
      </c>
      <c r="AA470" s="836"/>
    </row>
    <row r="471" spans="1:27">
      <c r="A471" s="908"/>
      <c r="B471" s="894"/>
      <c r="C471" s="894"/>
      <c r="D471" s="894">
        <v>377.108</v>
      </c>
      <c r="E471" s="1373"/>
      <c r="F471" s="833"/>
      <c r="G471" s="894"/>
      <c r="H471" s="894"/>
      <c r="I471" s="905"/>
      <c r="J471" s="908"/>
      <c r="K471" s="834"/>
      <c r="L471" s="894"/>
      <c r="M471" s="908"/>
      <c r="N471" s="908"/>
      <c r="O471" s="908"/>
      <c r="P471" s="908"/>
      <c r="Q471" s="908"/>
      <c r="R471" s="908"/>
      <c r="S471" s="908"/>
      <c r="T471" s="908"/>
      <c r="U471" s="929">
        <v>377.37599999999998</v>
      </c>
      <c r="V471" s="1375"/>
      <c r="W471" s="894"/>
      <c r="X471" s="835"/>
      <c r="Y471" s="836"/>
      <c r="Z471" s="836" t="s">
        <v>1543</v>
      </c>
      <c r="AA471" s="836" t="s">
        <v>2513</v>
      </c>
    </row>
    <row r="472" spans="1:27">
      <c r="A472" s="906">
        <f>A470+1</f>
        <v>234</v>
      </c>
      <c r="B472" s="894" t="s">
        <v>2492</v>
      </c>
      <c r="C472" s="894" t="s">
        <v>76</v>
      </c>
      <c r="D472" s="894"/>
      <c r="E472" s="1373"/>
      <c r="F472" s="833"/>
      <c r="G472" s="838">
        <v>537406.16399999999</v>
      </c>
      <c r="H472" s="838">
        <v>3513577.53</v>
      </c>
      <c r="I472" s="905"/>
      <c r="J472" s="906">
        <f>J470+1</f>
        <v>234</v>
      </c>
      <c r="K472" s="834" t="s">
        <v>2492</v>
      </c>
      <c r="L472" s="834" t="s">
        <v>76</v>
      </c>
      <c r="M472" s="908"/>
      <c r="N472" s="908"/>
      <c r="O472" s="908"/>
      <c r="P472" s="908"/>
      <c r="Q472" s="908"/>
      <c r="R472" s="908"/>
      <c r="S472" s="908"/>
      <c r="T472" s="908"/>
      <c r="U472" s="929"/>
      <c r="V472" s="1375"/>
      <c r="W472" s="838">
        <v>253.35400000000001</v>
      </c>
      <c r="X472" s="835"/>
      <c r="Y472" s="836">
        <v>537396.59100000001</v>
      </c>
      <c r="Z472" s="836">
        <v>3513574.946</v>
      </c>
      <c r="AA472" s="836"/>
    </row>
    <row r="473" spans="1:27">
      <c r="A473" s="908"/>
      <c r="B473" s="894"/>
      <c r="C473" s="894"/>
      <c r="D473" s="894">
        <v>385.07600000000002</v>
      </c>
      <c r="E473" s="1373"/>
      <c r="F473" s="833"/>
      <c r="G473" s="894"/>
      <c r="H473" s="894"/>
      <c r="I473" s="905"/>
      <c r="J473" s="908"/>
      <c r="K473" s="834"/>
      <c r="L473" s="894"/>
      <c r="M473" s="908"/>
      <c r="N473" s="908"/>
      <c r="O473" s="908"/>
      <c r="P473" s="908"/>
      <c r="Q473" s="908"/>
      <c r="R473" s="908"/>
      <c r="S473" s="908"/>
      <c r="T473" s="908"/>
      <c r="U473" s="929">
        <v>385.35</v>
      </c>
      <c r="V473" s="1375"/>
      <c r="W473" s="894"/>
      <c r="X473" s="835"/>
      <c r="Y473" s="836"/>
      <c r="Z473" s="836"/>
      <c r="AA473" s="836" t="s">
        <v>2514</v>
      </c>
    </row>
    <row r="474" spans="1:27" ht="29">
      <c r="A474" s="906">
        <f>A472+1</f>
        <v>235</v>
      </c>
      <c r="B474" s="893" t="s">
        <v>2521</v>
      </c>
      <c r="C474" s="893" t="s">
        <v>1269</v>
      </c>
      <c r="D474" s="893"/>
      <c r="E474" s="1376">
        <v>753.4</v>
      </c>
      <c r="F474" s="830" t="s">
        <v>2522</v>
      </c>
      <c r="G474" s="893">
        <v>537488.79500000004</v>
      </c>
      <c r="H474" s="893">
        <v>3513201.4240000001</v>
      </c>
      <c r="I474" s="905"/>
      <c r="J474" s="906">
        <f>J472+1</f>
        <v>235</v>
      </c>
      <c r="K474" s="55" t="s">
        <v>2493</v>
      </c>
      <c r="L474" s="893" t="s">
        <v>1269</v>
      </c>
      <c r="M474" s="908"/>
      <c r="N474" s="908"/>
      <c r="O474" s="908"/>
      <c r="P474" s="908"/>
      <c r="Q474" s="908"/>
      <c r="R474" s="908"/>
      <c r="S474" s="908"/>
      <c r="T474" s="908"/>
      <c r="U474" s="914"/>
      <c r="V474" s="1375">
        <f>U475+U477</f>
        <v>753.54600000000005</v>
      </c>
      <c r="W474" s="893">
        <v>253.22900000000001</v>
      </c>
      <c r="X474" s="55" t="s">
        <v>2515</v>
      </c>
      <c r="Y474" s="761">
        <v>537474.31299999997</v>
      </c>
      <c r="Z474" s="761">
        <v>3513197.5159999998</v>
      </c>
      <c r="AA474" s="836" t="s">
        <v>2516</v>
      </c>
    </row>
    <row r="475" spans="1:27">
      <c r="A475" s="908"/>
      <c r="B475" s="894"/>
      <c r="C475" s="894"/>
      <c r="D475" s="894">
        <v>395.17200000000003</v>
      </c>
      <c r="E475" s="1376"/>
      <c r="F475" s="833"/>
      <c r="G475" s="894"/>
      <c r="H475" s="894"/>
      <c r="I475" s="905"/>
      <c r="J475" s="908"/>
      <c r="K475" s="834"/>
      <c r="L475" s="894"/>
      <c r="M475" s="908"/>
      <c r="N475" s="908"/>
      <c r="O475" s="908"/>
      <c r="P475" s="908"/>
      <c r="Q475" s="908"/>
      <c r="R475" s="908"/>
      <c r="S475" s="908"/>
      <c r="T475" s="908"/>
      <c r="U475" s="929">
        <v>395.25</v>
      </c>
      <c r="V475" s="1375"/>
      <c r="W475" s="894"/>
      <c r="X475" s="835"/>
      <c r="Y475" s="836"/>
      <c r="Z475" s="836"/>
      <c r="AA475" s="836" t="s">
        <v>2517</v>
      </c>
    </row>
    <row r="476" spans="1:27">
      <c r="A476" s="906">
        <f>A474+1</f>
        <v>236</v>
      </c>
      <c r="B476" s="894" t="s">
        <v>2494</v>
      </c>
      <c r="C476" s="894" t="s">
        <v>62</v>
      </c>
      <c r="D476" s="894"/>
      <c r="E476" s="1376"/>
      <c r="F476" s="833"/>
      <c r="G476" s="894">
        <v>537591.74800000002</v>
      </c>
      <c r="H476" s="894">
        <v>3512819.8990000002</v>
      </c>
      <c r="I476" s="905"/>
      <c r="J476" s="906">
        <f>J474+1</f>
        <v>236</v>
      </c>
      <c r="K476" s="834" t="s">
        <v>2494</v>
      </c>
      <c r="L476" s="894" t="s">
        <v>62</v>
      </c>
      <c r="M476" s="908"/>
      <c r="N476" s="908"/>
      <c r="O476" s="908"/>
      <c r="P476" s="908"/>
      <c r="Q476" s="908"/>
      <c r="R476" s="908"/>
      <c r="S476" s="908"/>
      <c r="T476" s="908"/>
      <c r="U476" s="929"/>
      <c r="V476" s="1375"/>
      <c r="W476" s="894">
        <v>254.136</v>
      </c>
      <c r="X476" s="835"/>
      <c r="Y476" s="836">
        <v>537584.94099999999</v>
      </c>
      <c r="Z476" s="836">
        <v>3512817.7719999999</v>
      </c>
      <c r="AA476" s="836"/>
    </row>
    <row r="477" spans="1:27">
      <c r="A477" s="908"/>
      <c r="B477" s="894"/>
      <c r="C477" s="894"/>
      <c r="D477" s="894">
        <v>358.22500000000002</v>
      </c>
      <c r="E477" s="1376"/>
      <c r="F477" s="765"/>
      <c r="G477" s="838"/>
      <c r="H477" s="838"/>
      <c r="I477" s="905"/>
      <c r="J477" s="908"/>
      <c r="K477" s="834"/>
      <c r="L477" s="834"/>
      <c r="M477" s="908"/>
      <c r="N477" s="908"/>
      <c r="O477" s="908"/>
      <c r="P477" s="908"/>
      <c r="Q477" s="908"/>
      <c r="R477" s="908"/>
      <c r="S477" s="908"/>
      <c r="T477" s="908"/>
      <c r="U477" s="929">
        <v>358.29599999999999</v>
      </c>
      <c r="V477" s="1375"/>
      <c r="W477" s="838"/>
      <c r="X477" s="835"/>
      <c r="Y477" s="836"/>
      <c r="Z477" s="836"/>
      <c r="AA477" s="836" t="s">
        <v>2518</v>
      </c>
    </row>
    <row r="478" spans="1:27">
      <c r="A478" s="906">
        <f>A476+1</f>
        <v>237</v>
      </c>
      <c r="B478" s="894" t="s">
        <v>2523</v>
      </c>
      <c r="C478" s="894" t="s">
        <v>1319</v>
      </c>
      <c r="D478" s="894"/>
      <c r="E478" s="1376"/>
      <c r="F478" s="830" t="s">
        <v>2524</v>
      </c>
      <c r="G478" s="834">
        <v>537685.70600000001</v>
      </c>
      <c r="H478" s="835">
        <v>3512474.0449999999</v>
      </c>
      <c r="I478" s="905"/>
      <c r="J478" s="906">
        <f>J476+1</f>
        <v>237</v>
      </c>
      <c r="K478" s="834" t="s">
        <v>2495</v>
      </c>
      <c r="L478" s="834" t="s">
        <v>1319</v>
      </c>
      <c r="M478" s="908"/>
      <c r="N478" s="908"/>
      <c r="O478" s="908"/>
      <c r="P478" s="908"/>
      <c r="Q478" s="908"/>
      <c r="R478" s="908"/>
      <c r="S478" s="908"/>
      <c r="T478" s="908"/>
      <c r="U478" s="836"/>
      <c r="V478" s="836"/>
      <c r="W478" s="834">
        <v>253.947</v>
      </c>
      <c r="X478" s="55" t="s">
        <v>2519</v>
      </c>
      <c r="Y478" s="836">
        <v>537685.076</v>
      </c>
      <c r="Z478" s="836">
        <v>3512474.0449999999</v>
      </c>
      <c r="AA478" s="836"/>
    </row>
    <row r="479" spans="1:27" ht="8" customHeight="1">
      <c r="A479" s="924" t="s">
        <v>2654</v>
      </c>
      <c r="B479" s="924"/>
      <c r="C479" s="925"/>
      <c r="D479" s="925"/>
      <c r="E479" s="924"/>
      <c r="F479" s="924"/>
      <c r="G479" s="924"/>
      <c r="H479" s="924"/>
      <c r="I479" s="924"/>
      <c r="J479" s="924"/>
      <c r="K479" s="924"/>
      <c r="L479" s="924"/>
      <c r="M479" s="924"/>
      <c r="N479" s="924"/>
      <c r="O479" s="924"/>
      <c r="P479" s="924"/>
      <c r="Q479" s="924"/>
      <c r="R479" s="924"/>
      <c r="S479" s="924"/>
      <c r="T479" s="924"/>
      <c r="U479" s="926"/>
      <c r="V479" s="924"/>
      <c r="W479" s="924"/>
      <c r="X479" s="924"/>
      <c r="Y479" s="924"/>
      <c r="Z479" s="924"/>
      <c r="AA479" s="927"/>
    </row>
    <row r="480" spans="1:27" s="903" customFormat="1">
      <c r="A480" s="931">
        <f>A478+1</f>
        <v>238</v>
      </c>
      <c r="B480" s="834" t="s">
        <v>2525</v>
      </c>
      <c r="C480" s="834" t="s">
        <v>1277</v>
      </c>
      <c r="D480" s="838"/>
      <c r="E480" s="1372">
        <f>D481+D483+D485+D487+D489+D491+D493</f>
        <v>2841.9870000000001</v>
      </c>
      <c r="F480" s="845" t="s">
        <v>2526</v>
      </c>
      <c r="G480" s="838">
        <v>538168.00899999996</v>
      </c>
      <c r="H480" s="838">
        <v>3509218.148</v>
      </c>
      <c r="I480" s="843"/>
      <c r="J480" s="931">
        <f>J478+1</f>
        <v>238</v>
      </c>
      <c r="K480" s="834" t="s">
        <v>2525</v>
      </c>
      <c r="L480" s="834" t="s">
        <v>1277</v>
      </c>
      <c r="M480" s="910"/>
      <c r="N480" s="910"/>
      <c r="O480" s="910"/>
      <c r="P480" s="910"/>
      <c r="Q480" s="910"/>
      <c r="R480" s="910"/>
      <c r="S480" s="910"/>
      <c r="T480" s="910"/>
      <c r="U480" s="929"/>
      <c r="V480" s="1374">
        <f>U481+U483+U485+U487+U489+U491+U493</f>
        <v>2841.9879999999998</v>
      </c>
      <c r="W480" s="838">
        <v>252.715</v>
      </c>
      <c r="X480" s="765" t="s">
        <v>2526</v>
      </c>
      <c r="Y480" s="838">
        <v>538168.00899999996</v>
      </c>
      <c r="Z480" s="838">
        <v>3509218.148</v>
      </c>
      <c r="AA480" s="838"/>
    </row>
    <row r="481" spans="1:27" s="903" customFormat="1">
      <c r="A481" s="910"/>
      <c r="B481" s="897"/>
      <c r="C481" s="893"/>
      <c r="D481" s="897">
        <v>407.94499999999999</v>
      </c>
      <c r="E481" s="1372"/>
      <c r="F481" s="845"/>
      <c r="G481" s="893"/>
      <c r="H481" s="893"/>
      <c r="I481" s="932"/>
      <c r="J481" s="910"/>
      <c r="K481" s="897"/>
      <c r="L481" s="893"/>
      <c r="M481" s="910"/>
      <c r="N481" s="910"/>
      <c r="O481" s="910"/>
      <c r="P481" s="910"/>
      <c r="Q481" s="910"/>
      <c r="R481" s="910"/>
      <c r="S481" s="910"/>
      <c r="T481" s="910"/>
      <c r="U481" s="914">
        <v>407.94600000000003</v>
      </c>
      <c r="V481" s="1374"/>
      <c r="W481" s="894"/>
      <c r="X481" s="928"/>
      <c r="Y481" s="893"/>
      <c r="Z481" s="893"/>
      <c r="AA481" s="834" t="s">
        <v>2554</v>
      </c>
    </row>
    <row r="482" spans="1:27" s="903" customFormat="1">
      <c r="A482" s="931">
        <f>A480+1</f>
        <v>239</v>
      </c>
      <c r="B482" s="834" t="s">
        <v>2527</v>
      </c>
      <c r="C482" s="834" t="s">
        <v>62</v>
      </c>
      <c r="D482" s="840"/>
      <c r="E482" s="1372"/>
      <c r="F482" s="845"/>
      <c r="G482" s="837">
        <v>538287.402</v>
      </c>
      <c r="H482" s="837">
        <v>3508828.0649999999</v>
      </c>
      <c r="I482" s="844"/>
      <c r="J482" s="931">
        <f>J480+1</f>
        <v>239</v>
      </c>
      <c r="K482" s="834" t="s">
        <v>2527</v>
      </c>
      <c r="L482" s="834" t="s">
        <v>62</v>
      </c>
      <c r="M482" s="910"/>
      <c r="N482" s="910"/>
      <c r="O482" s="910"/>
      <c r="P482" s="910"/>
      <c r="Q482" s="910"/>
      <c r="R482" s="910"/>
      <c r="S482" s="910"/>
      <c r="T482" s="910"/>
      <c r="U482" s="837"/>
      <c r="V482" s="1374"/>
      <c r="W482" s="838">
        <v>253.285</v>
      </c>
      <c r="X482" s="928"/>
      <c r="Y482" s="837">
        <v>538287.402</v>
      </c>
      <c r="Z482" s="837">
        <v>3508828.0649999999</v>
      </c>
      <c r="AA482" s="838"/>
    </row>
    <row r="483" spans="1:27" s="903" customFormat="1">
      <c r="A483" s="910"/>
      <c r="B483" s="897"/>
      <c r="C483" s="893"/>
      <c r="D483" s="897">
        <v>429.84699999999998</v>
      </c>
      <c r="E483" s="1372"/>
      <c r="F483" s="845"/>
      <c r="G483" s="893"/>
      <c r="H483" s="893"/>
      <c r="I483" s="932"/>
      <c r="J483" s="910"/>
      <c r="K483" s="897"/>
      <c r="L483" s="893"/>
      <c r="M483" s="910"/>
      <c r="N483" s="910"/>
      <c r="O483" s="910"/>
      <c r="P483" s="910"/>
      <c r="Q483" s="910"/>
      <c r="R483" s="910"/>
      <c r="S483" s="910"/>
      <c r="T483" s="910"/>
      <c r="U483" s="914">
        <v>429.84699999999998</v>
      </c>
      <c r="V483" s="1374"/>
      <c r="W483" s="894"/>
      <c r="X483" s="928"/>
      <c r="Y483" s="893"/>
      <c r="Z483" s="893"/>
      <c r="AA483" s="894" t="s">
        <v>2504</v>
      </c>
    </row>
    <row r="484" spans="1:27" s="903" customFormat="1">
      <c r="A484" s="931">
        <f>A482+1</f>
        <v>240</v>
      </c>
      <c r="B484" s="834" t="s">
        <v>2528</v>
      </c>
      <c r="C484" s="834" t="s">
        <v>62</v>
      </c>
      <c r="D484" s="837"/>
      <c r="E484" s="1372"/>
      <c r="F484" s="845"/>
      <c r="G484" s="837">
        <v>538413.20499999996</v>
      </c>
      <c r="H484" s="837">
        <v>3508417.0389999999</v>
      </c>
      <c r="I484" s="844"/>
      <c r="J484" s="931">
        <f>J482+1</f>
        <v>240</v>
      </c>
      <c r="K484" s="834" t="s">
        <v>2528</v>
      </c>
      <c r="L484" s="834" t="s">
        <v>62</v>
      </c>
      <c r="M484" s="910"/>
      <c r="N484" s="910"/>
      <c r="O484" s="910"/>
      <c r="P484" s="910"/>
      <c r="Q484" s="910"/>
      <c r="R484" s="910"/>
      <c r="S484" s="910"/>
      <c r="T484" s="910"/>
      <c r="U484" s="837"/>
      <c r="V484" s="1374"/>
      <c r="W484" s="837">
        <v>252.58099999999999</v>
      </c>
      <c r="X484" s="830"/>
      <c r="Y484" s="837">
        <v>538413.20499999996</v>
      </c>
      <c r="Z484" s="837">
        <v>3508417.0389999999</v>
      </c>
      <c r="AA484" s="837"/>
    </row>
    <row r="485" spans="1:27" s="903" customFormat="1">
      <c r="A485" s="910"/>
      <c r="B485" s="897"/>
      <c r="C485" s="893"/>
      <c r="D485" s="897">
        <v>407.77800000000002</v>
      </c>
      <c r="E485" s="1372"/>
      <c r="F485" s="845"/>
      <c r="G485" s="893"/>
      <c r="H485" s="893"/>
      <c r="I485" s="932"/>
      <c r="J485" s="910"/>
      <c r="K485" s="897"/>
      <c r="L485" s="893"/>
      <c r="M485" s="910"/>
      <c r="N485" s="910"/>
      <c r="O485" s="910"/>
      <c r="P485" s="910"/>
      <c r="Q485" s="910"/>
      <c r="R485" s="910"/>
      <c r="S485" s="910"/>
      <c r="T485" s="910"/>
      <c r="U485" s="914">
        <v>407.77800000000002</v>
      </c>
      <c r="V485" s="1374"/>
      <c r="W485" s="894"/>
      <c r="X485" s="928"/>
      <c r="Y485" s="893"/>
      <c r="Z485" s="893"/>
      <c r="AA485" s="894" t="s">
        <v>2502</v>
      </c>
    </row>
    <row r="486" spans="1:27" s="903" customFormat="1">
      <c r="A486" s="931">
        <f>A484+1</f>
        <v>241</v>
      </c>
      <c r="B486" s="834" t="s">
        <v>2529</v>
      </c>
      <c r="C486" s="834" t="s">
        <v>62</v>
      </c>
      <c r="D486" s="837"/>
      <c r="E486" s="1372"/>
      <c r="F486" s="845"/>
      <c r="G486" s="837">
        <v>538532.549</v>
      </c>
      <c r="H486" s="837">
        <v>3508027.1159999999</v>
      </c>
      <c r="I486" s="844"/>
      <c r="J486" s="931">
        <f>J484+1</f>
        <v>241</v>
      </c>
      <c r="K486" s="834" t="s">
        <v>2529</v>
      </c>
      <c r="L486" s="834" t="s">
        <v>62</v>
      </c>
      <c r="M486" s="910"/>
      <c r="N486" s="910"/>
      <c r="O486" s="910"/>
      <c r="P486" s="910"/>
      <c r="Q486" s="910"/>
      <c r="R486" s="910"/>
      <c r="S486" s="910"/>
      <c r="T486" s="910"/>
      <c r="U486" s="837"/>
      <c r="V486" s="1374"/>
      <c r="W486" s="838">
        <v>253.64099999999999</v>
      </c>
      <c r="X486" s="928"/>
      <c r="Y486" s="837">
        <v>538532.549</v>
      </c>
      <c r="Z486" s="837">
        <v>3508027.1159999999</v>
      </c>
      <c r="AA486" s="838"/>
    </row>
    <row r="487" spans="1:27" s="903" customFormat="1">
      <c r="A487" s="910"/>
      <c r="B487" s="897"/>
      <c r="C487" s="893"/>
      <c r="D487" s="897">
        <v>416.733</v>
      </c>
      <c r="E487" s="1372"/>
      <c r="F487" s="845"/>
      <c r="G487" s="893"/>
      <c r="H487" s="893"/>
      <c r="I487" s="932"/>
      <c r="J487" s="910"/>
      <c r="K487" s="897"/>
      <c r="L487" s="893"/>
      <c r="M487" s="910"/>
      <c r="N487" s="910"/>
      <c r="O487" s="910"/>
      <c r="P487" s="910"/>
      <c r="Q487" s="910"/>
      <c r="R487" s="910"/>
      <c r="S487" s="910"/>
      <c r="T487" s="910"/>
      <c r="U487" s="914">
        <v>416.733</v>
      </c>
      <c r="V487" s="1374"/>
      <c r="W487" s="894"/>
      <c r="X487" s="928"/>
      <c r="Y487" s="893"/>
      <c r="Z487" s="893"/>
      <c r="AA487" s="894" t="s">
        <v>2555</v>
      </c>
    </row>
    <row r="488" spans="1:27" s="903" customFormat="1">
      <c r="A488" s="931">
        <f>A486+1</f>
        <v>242</v>
      </c>
      <c r="B488" s="834" t="s">
        <v>2530</v>
      </c>
      <c r="C488" s="834" t="s">
        <v>76</v>
      </c>
      <c r="D488" s="837"/>
      <c r="E488" s="1372"/>
      <c r="F488" s="845"/>
      <c r="G488" s="837">
        <v>538654.51300000004</v>
      </c>
      <c r="H488" s="837">
        <v>3507628.63</v>
      </c>
      <c r="I488" s="844"/>
      <c r="J488" s="931">
        <f>J486+1</f>
        <v>242</v>
      </c>
      <c r="K488" s="834" t="s">
        <v>2530</v>
      </c>
      <c r="L488" s="834" t="s">
        <v>76</v>
      </c>
      <c r="M488" s="910"/>
      <c r="N488" s="910"/>
      <c r="O488" s="910"/>
      <c r="P488" s="910"/>
      <c r="Q488" s="910"/>
      <c r="R488" s="910"/>
      <c r="S488" s="910"/>
      <c r="T488" s="910"/>
      <c r="U488" s="837"/>
      <c r="V488" s="1374"/>
      <c r="W488" s="837">
        <v>251.63800000000001</v>
      </c>
      <c r="X488" s="830"/>
      <c r="Y488" s="837">
        <v>538654.51300000004</v>
      </c>
      <c r="Z488" s="837">
        <v>3507628.63</v>
      </c>
      <c r="AA488" s="837"/>
    </row>
    <row r="489" spans="1:27" s="903" customFormat="1">
      <c r="A489" s="910"/>
      <c r="B489" s="897"/>
      <c r="C489" s="893"/>
      <c r="D489" s="897">
        <v>421.34500000000003</v>
      </c>
      <c r="E489" s="1372"/>
      <c r="F489" s="845"/>
      <c r="G489" s="893"/>
      <c r="H489" s="893"/>
      <c r="I489" s="932"/>
      <c r="J489" s="910"/>
      <c r="K489" s="897"/>
      <c r="L489" s="893"/>
      <c r="M489" s="910"/>
      <c r="N489" s="910"/>
      <c r="O489" s="910"/>
      <c r="P489" s="910"/>
      <c r="Q489" s="910"/>
      <c r="R489" s="910"/>
      <c r="S489" s="910"/>
      <c r="T489" s="910"/>
      <c r="U489" s="914">
        <v>421.34500000000003</v>
      </c>
      <c r="V489" s="1374"/>
      <c r="W489" s="894"/>
      <c r="X489" s="928"/>
      <c r="Y489" s="893"/>
      <c r="Z489" s="893"/>
      <c r="AA489" s="894" t="s">
        <v>2556</v>
      </c>
    </row>
    <row r="490" spans="1:27" s="903" customFormat="1">
      <c r="A490" s="931">
        <f>A488+1</f>
        <v>243</v>
      </c>
      <c r="B490" s="834" t="s">
        <v>2531</v>
      </c>
      <c r="C490" s="834" t="s">
        <v>62</v>
      </c>
      <c r="D490" s="837"/>
      <c r="E490" s="1372"/>
      <c r="F490" s="845"/>
      <c r="G490" s="837">
        <v>538777.82799999998</v>
      </c>
      <c r="H490" s="837">
        <v>3507225.7340000002</v>
      </c>
      <c r="I490" s="844"/>
      <c r="J490" s="931">
        <f>J488+1</f>
        <v>243</v>
      </c>
      <c r="K490" s="834" t="s">
        <v>2531</v>
      </c>
      <c r="L490" s="834" t="s">
        <v>62</v>
      </c>
      <c r="M490" s="910"/>
      <c r="N490" s="910"/>
      <c r="O490" s="910"/>
      <c r="P490" s="910"/>
      <c r="Q490" s="910"/>
      <c r="R490" s="910"/>
      <c r="S490" s="910"/>
      <c r="T490" s="910"/>
      <c r="U490" s="837"/>
      <c r="V490" s="1374"/>
      <c r="W490" s="838">
        <v>250.84899999999999</v>
      </c>
      <c r="X490" s="928"/>
      <c r="Y490" s="837">
        <v>538777.82799999998</v>
      </c>
      <c r="Z490" s="837">
        <v>3507225.7340000002</v>
      </c>
      <c r="AA490" s="838"/>
    </row>
    <row r="491" spans="1:27" s="903" customFormat="1">
      <c r="A491" s="910"/>
      <c r="B491" s="897"/>
      <c r="C491" s="893"/>
      <c r="D491" s="897">
        <v>385.64</v>
      </c>
      <c r="E491" s="1372"/>
      <c r="F491" s="845"/>
      <c r="G491" s="893"/>
      <c r="H491" s="893"/>
      <c r="I491" s="932"/>
      <c r="J491" s="910"/>
      <c r="K491" s="897"/>
      <c r="L491" s="893"/>
      <c r="M491" s="910"/>
      <c r="N491" s="910"/>
      <c r="O491" s="910"/>
      <c r="P491" s="910"/>
      <c r="Q491" s="910"/>
      <c r="R491" s="910"/>
      <c r="S491" s="910"/>
      <c r="T491" s="910"/>
      <c r="U491" s="914">
        <v>385.64</v>
      </c>
      <c r="V491" s="1374"/>
      <c r="W491" s="894"/>
      <c r="X491" s="928"/>
      <c r="Y491" s="893"/>
      <c r="Z491" s="893"/>
      <c r="AA491" s="894" t="s">
        <v>2501</v>
      </c>
    </row>
    <row r="492" spans="1:27" s="903" customFormat="1">
      <c r="A492" s="931">
        <f>A490+1</f>
        <v>244</v>
      </c>
      <c r="B492" s="834" t="s">
        <v>2532</v>
      </c>
      <c r="C492" s="834" t="s">
        <v>76</v>
      </c>
      <c r="D492" s="837"/>
      <c r="E492" s="1372"/>
      <c r="F492" s="845"/>
      <c r="G492" s="838">
        <v>538890.69299999997</v>
      </c>
      <c r="H492" s="838">
        <v>3506856.98</v>
      </c>
      <c r="I492" s="843"/>
      <c r="J492" s="931">
        <f>J490+1</f>
        <v>244</v>
      </c>
      <c r="K492" s="834" t="s">
        <v>2532</v>
      </c>
      <c r="L492" s="834" t="s">
        <v>76</v>
      </c>
      <c r="M492" s="910"/>
      <c r="N492" s="910"/>
      <c r="O492" s="910"/>
      <c r="P492" s="910"/>
      <c r="Q492" s="910"/>
      <c r="R492" s="910"/>
      <c r="S492" s="910"/>
      <c r="T492" s="910"/>
      <c r="U492" s="837"/>
      <c r="V492" s="1374"/>
      <c r="W492" s="838">
        <v>249.36</v>
      </c>
      <c r="X492" s="928"/>
      <c r="Y492" s="838">
        <v>538890.69299999997</v>
      </c>
      <c r="Z492" s="838">
        <v>3506856.98</v>
      </c>
      <c r="AA492" s="838"/>
    </row>
    <row r="493" spans="1:27" s="903" customFormat="1">
      <c r="A493" s="910"/>
      <c r="B493" s="897"/>
      <c r="C493" s="893"/>
      <c r="D493" s="897">
        <v>372.69900000000001</v>
      </c>
      <c r="E493" s="1372"/>
      <c r="F493" s="845"/>
      <c r="G493" s="893"/>
      <c r="H493" s="893"/>
      <c r="I493" s="932"/>
      <c r="J493" s="910"/>
      <c r="K493" s="897"/>
      <c r="L493" s="893"/>
      <c r="M493" s="910"/>
      <c r="N493" s="910"/>
      <c r="O493" s="910"/>
      <c r="P493" s="910"/>
      <c r="Q493" s="910"/>
      <c r="R493" s="910"/>
      <c r="S493" s="910"/>
      <c r="T493" s="910"/>
      <c r="U493" s="914">
        <v>372.69900000000001</v>
      </c>
      <c r="V493" s="1374"/>
      <c r="W493" s="894"/>
      <c r="X493" s="928"/>
      <c r="Y493" s="893"/>
      <c r="Z493" s="893"/>
      <c r="AA493" s="894" t="s">
        <v>2497</v>
      </c>
    </row>
    <row r="494" spans="1:27" s="903" customFormat="1" ht="43.5">
      <c r="A494" s="931">
        <f>A492+1</f>
        <v>245</v>
      </c>
      <c r="B494" s="55" t="s">
        <v>2533</v>
      </c>
      <c r="C494" s="834" t="s">
        <v>2610</v>
      </c>
      <c r="D494" s="840"/>
      <c r="E494" s="933"/>
      <c r="F494" s="846" t="s">
        <v>2534</v>
      </c>
      <c r="G494" s="837">
        <v>538999.77</v>
      </c>
      <c r="H494" s="837">
        <v>3506500.6</v>
      </c>
      <c r="I494" s="934"/>
      <c r="J494" s="931">
        <f>J492+1</f>
        <v>245</v>
      </c>
      <c r="K494" s="55" t="s">
        <v>2533</v>
      </c>
      <c r="L494" s="55" t="s">
        <v>1402</v>
      </c>
      <c r="M494" s="931">
        <v>1.5</v>
      </c>
      <c r="N494" s="931">
        <v>1.5</v>
      </c>
      <c r="O494" s="931">
        <v>1.5</v>
      </c>
      <c r="P494" s="931">
        <v>1.5</v>
      </c>
      <c r="Q494" s="910"/>
      <c r="R494" s="910"/>
      <c r="S494" s="910"/>
      <c r="T494" s="910"/>
      <c r="U494" s="837"/>
      <c r="V494" s="839"/>
      <c r="W494" s="837">
        <v>250.43</v>
      </c>
      <c r="X494" s="830" t="s">
        <v>2534</v>
      </c>
      <c r="Y494" s="837">
        <v>538999.77</v>
      </c>
      <c r="Z494" s="837">
        <v>3506500.6</v>
      </c>
      <c r="AA494" s="837"/>
    </row>
    <row r="495" spans="1:27" s="903" customFormat="1">
      <c r="A495" s="910"/>
      <c r="B495" s="897"/>
      <c r="C495" s="893"/>
      <c r="D495" s="897">
        <v>407.91199999999998</v>
      </c>
      <c r="E495" s="1372">
        <v>816.077</v>
      </c>
      <c r="F495" s="846"/>
      <c r="G495" s="893"/>
      <c r="H495" s="893"/>
      <c r="I495" s="934"/>
      <c r="J495" s="910"/>
      <c r="K495" s="897"/>
      <c r="L495" s="893"/>
      <c r="M495" s="910"/>
      <c r="N495" s="910"/>
      <c r="O495" s="910"/>
      <c r="P495" s="910"/>
      <c r="Q495" s="910"/>
      <c r="R495" s="910"/>
      <c r="S495" s="910"/>
      <c r="T495" s="910"/>
      <c r="U495" s="914">
        <v>407.91199999999998</v>
      </c>
      <c r="V495" s="1374">
        <v>816.077</v>
      </c>
      <c r="W495" s="894"/>
      <c r="X495" s="928"/>
      <c r="Y495" s="893"/>
      <c r="Z495" s="893"/>
      <c r="AA495" s="894" t="s">
        <v>2566</v>
      </c>
    </row>
    <row r="496" spans="1:27" s="903" customFormat="1">
      <c r="A496" s="931">
        <f>A494+1</f>
        <v>246</v>
      </c>
      <c r="B496" s="834" t="s">
        <v>2535</v>
      </c>
      <c r="C496" s="834" t="s">
        <v>62</v>
      </c>
      <c r="D496" s="838"/>
      <c r="E496" s="1372"/>
      <c r="F496" s="846"/>
      <c r="G496" s="837">
        <v>538919.42500000005</v>
      </c>
      <c r="H496" s="837">
        <v>3506100.679</v>
      </c>
      <c r="I496" s="934"/>
      <c r="J496" s="931">
        <f>J494+1</f>
        <v>246</v>
      </c>
      <c r="K496" s="834" t="s">
        <v>2535</v>
      </c>
      <c r="L496" s="834" t="s">
        <v>62</v>
      </c>
      <c r="M496" s="910"/>
      <c r="N496" s="910"/>
      <c r="O496" s="910"/>
      <c r="P496" s="910"/>
      <c r="Q496" s="910"/>
      <c r="R496" s="910"/>
      <c r="S496" s="910"/>
      <c r="T496" s="910"/>
      <c r="U496" s="838"/>
      <c r="V496" s="1374"/>
      <c r="W496" s="837">
        <v>250.22</v>
      </c>
      <c r="X496" s="830"/>
      <c r="Y496" s="837">
        <v>538919.42500000005</v>
      </c>
      <c r="Z496" s="837">
        <v>3506100.679</v>
      </c>
      <c r="AA496" s="837"/>
    </row>
    <row r="497" spans="1:27" s="903" customFormat="1">
      <c r="A497" s="910"/>
      <c r="B497" s="897"/>
      <c r="C497" s="893"/>
      <c r="D497" s="897">
        <v>408.16500000000002</v>
      </c>
      <c r="E497" s="1372"/>
      <c r="F497" s="846"/>
      <c r="G497" s="893"/>
      <c r="H497" s="893"/>
      <c r="I497" s="934"/>
      <c r="J497" s="910"/>
      <c r="K497" s="897"/>
      <c r="L497" s="893"/>
      <c r="M497" s="910"/>
      <c r="N497" s="910"/>
      <c r="O497" s="910"/>
      <c r="P497" s="910"/>
      <c r="Q497" s="910"/>
      <c r="R497" s="910"/>
      <c r="S497" s="910"/>
      <c r="T497" s="910"/>
      <c r="U497" s="914">
        <v>408.16500000000002</v>
      </c>
      <c r="V497" s="1374"/>
      <c r="W497" s="894"/>
      <c r="X497" s="928"/>
      <c r="Y497" s="893"/>
      <c r="Z497" s="893"/>
      <c r="AA497" s="894" t="s">
        <v>2567</v>
      </c>
    </row>
    <row r="498" spans="1:27" s="903" customFormat="1">
      <c r="A498" s="931">
        <f>A496+1</f>
        <v>247</v>
      </c>
      <c r="B498" s="55" t="s">
        <v>2536</v>
      </c>
      <c r="C498" s="55" t="s">
        <v>1402</v>
      </c>
      <c r="D498" s="837"/>
      <c r="E498" s="1372">
        <f>D499</f>
        <v>227.36600000000001</v>
      </c>
      <c r="F498" s="830" t="s">
        <v>2537</v>
      </c>
      <c r="G498" s="837">
        <v>538839.02899999998</v>
      </c>
      <c r="H498" s="837">
        <v>3505700.51</v>
      </c>
      <c r="I498" s="934"/>
      <c r="J498" s="931">
        <f>J496+1</f>
        <v>247</v>
      </c>
      <c r="K498" s="55" t="s">
        <v>2536</v>
      </c>
      <c r="L498" s="55" t="s">
        <v>1939</v>
      </c>
      <c r="M498" s="910"/>
      <c r="N498" s="910"/>
      <c r="O498" s="910"/>
      <c r="P498" s="910"/>
      <c r="Q498" s="910"/>
      <c r="R498" s="910"/>
      <c r="S498" s="910"/>
      <c r="T498" s="910"/>
      <c r="U498" s="837"/>
      <c r="V498" s="1374"/>
      <c r="W498" s="837">
        <v>249.72</v>
      </c>
      <c r="X498" s="830" t="s">
        <v>2537</v>
      </c>
      <c r="Y498" s="837">
        <v>538839.02899999998</v>
      </c>
      <c r="Z498" s="837">
        <v>3505700.51</v>
      </c>
      <c r="AA498" s="837"/>
    </row>
    <row r="499" spans="1:27" s="903" customFormat="1">
      <c r="A499" s="910"/>
      <c r="B499" s="897"/>
      <c r="C499" s="893"/>
      <c r="D499" s="897">
        <v>227.36600000000001</v>
      </c>
      <c r="E499" s="1372"/>
      <c r="F499" s="928"/>
      <c r="G499" s="893"/>
      <c r="H499" s="893"/>
      <c r="I499" s="934"/>
      <c r="J499" s="910"/>
      <c r="K499" s="897"/>
      <c r="L499" s="893"/>
      <c r="M499" s="910"/>
      <c r="N499" s="910"/>
      <c r="O499" s="910"/>
      <c r="P499" s="910"/>
      <c r="Q499" s="910"/>
      <c r="R499" s="910"/>
      <c r="S499" s="910"/>
      <c r="T499" s="910"/>
      <c r="U499" s="914">
        <v>227.36600000000001</v>
      </c>
      <c r="V499" s="1374">
        <f>U499</f>
        <v>227.36600000000001</v>
      </c>
      <c r="W499" s="894"/>
      <c r="X499" s="928"/>
      <c r="Y499" s="893"/>
      <c r="Z499" s="893"/>
      <c r="AA499" s="894" t="s">
        <v>2568</v>
      </c>
    </row>
    <row r="500" spans="1:27" s="903" customFormat="1">
      <c r="A500" s="931">
        <f>A498+1</f>
        <v>248</v>
      </c>
      <c r="B500" s="834" t="s">
        <v>2538</v>
      </c>
      <c r="C500" s="834" t="s">
        <v>90</v>
      </c>
      <c r="D500" s="838"/>
      <c r="E500" s="1373">
        <f>D501</f>
        <v>401.36599999999999</v>
      </c>
      <c r="F500" s="765" t="s">
        <v>2539</v>
      </c>
      <c r="G500" s="838">
        <v>538867.96900000004</v>
      </c>
      <c r="H500" s="838">
        <v>3505474.9929999998</v>
      </c>
      <c r="I500" s="934"/>
      <c r="J500" s="931">
        <f>J498+1</f>
        <v>248</v>
      </c>
      <c r="K500" s="834" t="s">
        <v>2538</v>
      </c>
      <c r="L500" s="834" t="s">
        <v>1999</v>
      </c>
      <c r="M500" s="910"/>
      <c r="N500" s="910"/>
      <c r="O500" s="910"/>
      <c r="P500" s="910"/>
      <c r="Q500" s="910"/>
      <c r="R500" s="910"/>
      <c r="S500" s="910"/>
      <c r="T500" s="910"/>
      <c r="U500" s="838"/>
      <c r="V500" s="1374"/>
      <c r="W500" s="838">
        <v>248.90199999999999</v>
      </c>
      <c r="X500" s="765" t="s">
        <v>2539</v>
      </c>
      <c r="Y500" s="838">
        <v>538867.96900000004</v>
      </c>
      <c r="Z500" s="838">
        <v>3505474.9929999998</v>
      </c>
      <c r="AA500" s="838"/>
    </row>
    <row r="501" spans="1:27" s="903" customFormat="1">
      <c r="A501" s="910"/>
      <c r="B501" s="897"/>
      <c r="C501" s="893"/>
      <c r="D501" s="897">
        <v>401.36599999999999</v>
      </c>
      <c r="E501" s="1373"/>
      <c r="F501" s="928"/>
      <c r="G501" s="893"/>
      <c r="H501" s="893"/>
      <c r="I501" s="934"/>
      <c r="J501" s="910"/>
      <c r="K501" s="897"/>
      <c r="L501" s="893"/>
      <c r="M501" s="910"/>
      <c r="N501" s="910"/>
      <c r="O501" s="910"/>
      <c r="P501" s="910"/>
      <c r="Q501" s="910"/>
      <c r="R501" s="910"/>
      <c r="S501" s="910"/>
      <c r="T501" s="910"/>
      <c r="U501" s="914">
        <v>401.36599999999999</v>
      </c>
      <c r="V501" s="1374">
        <f>U501</f>
        <v>401.36599999999999</v>
      </c>
      <c r="W501" s="894"/>
      <c r="X501" s="928"/>
      <c r="Y501" s="893"/>
      <c r="Z501" s="893"/>
      <c r="AA501" s="894" t="s">
        <v>2569</v>
      </c>
    </row>
    <row r="502" spans="1:27" s="903" customFormat="1">
      <c r="A502" s="931">
        <f>A500+1</f>
        <v>249</v>
      </c>
      <c r="B502" s="55" t="s">
        <v>2540</v>
      </c>
      <c r="C502" s="55" t="s">
        <v>90</v>
      </c>
      <c r="D502" s="837"/>
      <c r="E502" s="1373">
        <f>D503+D505+D507</f>
        <v>1221.902</v>
      </c>
      <c r="F502" s="830" t="s">
        <v>2541</v>
      </c>
      <c r="G502" s="837">
        <v>538901.55599999998</v>
      </c>
      <c r="H502" s="837">
        <v>3505075.0350000001</v>
      </c>
      <c r="I502" s="934"/>
      <c r="J502" s="931">
        <f>J500+1</f>
        <v>249</v>
      </c>
      <c r="K502" s="55" t="s">
        <v>2540</v>
      </c>
      <c r="L502" s="55" t="s">
        <v>90</v>
      </c>
      <c r="M502" s="910"/>
      <c r="N502" s="910"/>
      <c r="O502" s="910"/>
      <c r="P502" s="910"/>
      <c r="Q502" s="910"/>
      <c r="R502" s="910"/>
      <c r="S502" s="910"/>
      <c r="T502" s="910"/>
      <c r="U502" s="837"/>
      <c r="V502" s="1374"/>
      <c r="W502" s="837">
        <v>249.03899999999999</v>
      </c>
      <c r="X502" s="830" t="s">
        <v>2541</v>
      </c>
      <c r="Y502" s="837">
        <v>538901.55599999998</v>
      </c>
      <c r="Z502" s="837">
        <v>3505075.0350000001</v>
      </c>
      <c r="AA502" s="837"/>
    </row>
    <row r="503" spans="1:27" s="903" customFormat="1">
      <c r="A503" s="910"/>
      <c r="B503" s="897"/>
      <c r="C503" s="893"/>
      <c r="D503" s="897">
        <v>403.06400000000002</v>
      </c>
      <c r="E503" s="1373"/>
      <c r="F503" s="928"/>
      <c r="G503" s="893"/>
      <c r="H503" s="893"/>
      <c r="I503" s="934"/>
      <c r="J503" s="910"/>
      <c r="K503" s="897"/>
      <c r="L503" s="893"/>
      <c r="M503" s="910"/>
      <c r="N503" s="910"/>
      <c r="O503" s="910"/>
      <c r="P503" s="910"/>
      <c r="Q503" s="910"/>
      <c r="R503" s="910"/>
      <c r="S503" s="910"/>
      <c r="T503" s="910"/>
      <c r="U503" s="914">
        <v>403.06400000000002</v>
      </c>
      <c r="V503" s="1374">
        <f>U503+U505+U507</f>
        <v>1221.902</v>
      </c>
      <c r="W503" s="894"/>
      <c r="X503" s="928"/>
      <c r="Y503" s="893"/>
      <c r="Z503" s="893"/>
      <c r="AA503" s="894" t="s">
        <v>2570</v>
      </c>
    </row>
    <row r="504" spans="1:27" s="903" customFormat="1">
      <c r="A504" s="931">
        <f>A502+1</f>
        <v>250</v>
      </c>
      <c r="B504" s="834" t="s">
        <v>2542</v>
      </c>
      <c r="C504" s="834" t="s">
        <v>53</v>
      </c>
      <c r="D504" s="837"/>
      <c r="E504" s="1373"/>
      <c r="F504" s="830"/>
      <c r="G504" s="837">
        <v>538846.11899999995</v>
      </c>
      <c r="H504" s="837">
        <v>3504675.8020000001</v>
      </c>
      <c r="I504" s="934"/>
      <c r="J504" s="931">
        <f>J502+1</f>
        <v>250</v>
      </c>
      <c r="K504" s="834" t="s">
        <v>2542</v>
      </c>
      <c r="L504" s="834" t="s">
        <v>53</v>
      </c>
      <c r="M504" s="910"/>
      <c r="N504" s="910"/>
      <c r="O504" s="910"/>
      <c r="P504" s="910"/>
      <c r="Q504" s="910"/>
      <c r="R504" s="910"/>
      <c r="S504" s="910"/>
      <c r="T504" s="910"/>
      <c r="U504" s="837"/>
      <c r="V504" s="1374"/>
      <c r="W504" s="837">
        <v>248.761</v>
      </c>
      <c r="X504" s="830"/>
      <c r="Y504" s="837">
        <v>538846.11899999995</v>
      </c>
      <c r="Z504" s="837">
        <v>3504675.8020000001</v>
      </c>
      <c r="AA504" s="837"/>
    </row>
    <row r="505" spans="1:27" s="903" customFormat="1">
      <c r="A505" s="910"/>
      <c r="B505" s="897"/>
      <c r="C505" s="893"/>
      <c r="D505" s="897">
        <v>398.93299999999999</v>
      </c>
      <c r="E505" s="1373"/>
      <c r="F505" s="833"/>
      <c r="G505" s="893"/>
      <c r="H505" s="893"/>
      <c r="I505" s="934"/>
      <c r="J505" s="910"/>
      <c r="K505" s="897"/>
      <c r="L505" s="893"/>
      <c r="M505" s="910"/>
      <c r="N505" s="910"/>
      <c r="O505" s="910"/>
      <c r="P505" s="910"/>
      <c r="Q505" s="910"/>
      <c r="R505" s="910"/>
      <c r="S505" s="910"/>
      <c r="T505" s="910"/>
      <c r="U505" s="914">
        <v>398.93299999999999</v>
      </c>
      <c r="V505" s="1374"/>
      <c r="W505" s="894"/>
      <c r="X505" s="833"/>
      <c r="Y505" s="893"/>
      <c r="Z505" s="893"/>
      <c r="AA505" s="894" t="s">
        <v>2571</v>
      </c>
    </row>
    <row r="506" spans="1:27" s="903" customFormat="1">
      <c r="A506" s="931">
        <f>A504+1</f>
        <v>251</v>
      </c>
      <c r="B506" s="834" t="s">
        <v>2543</v>
      </c>
      <c r="C506" s="834" t="s">
        <v>62</v>
      </c>
      <c r="D506" s="837"/>
      <c r="E506" s="1373"/>
      <c r="F506" s="833"/>
      <c r="G506" s="837">
        <v>538791.24899999995</v>
      </c>
      <c r="H506" s="837">
        <v>3504280.66</v>
      </c>
      <c r="I506" s="934"/>
      <c r="J506" s="931">
        <f>J504+1</f>
        <v>251</v>
      </c>
      <c r="K506" s="834" t="s">
        <v>2543</v>
      </c>
      <c r="L506" s="834" t="s">
        <v>62</v>
      </c>
      <c r="M506" s="910"/>
      <c r="N506" s="910"/>
      <c r="O506" s="910"/>
      <c r="P506" s="910"/>
      <c r="Q506" s="910"/>
      <c r="R506" s="910"/>
      <c r="S506" s="910"/>
      <c r="T506" s="910"/>
      <c r="U506" s="837"/>
      <c r="V506" s="1374"/>
      <c r="W506" s="838">
        <v>248.54300000000001</v>
      </c>
      <c r="X506" s="833"/>
      <c r="Y506" s="837">
        <v>538791.24899999995</v>
      </c>
      <c r="Z506" s="837">
        <v>3504280.66</v>
      </c>
      <c r="AA506" s="838"/>
    </row>
    <row r="507" spans="1:27" s="903" customFormat="1">
      <c r="A507" s="910"/>
      <c r="B507" s="897"/>
      <c r="C507" s="893"/>
      <c r="D507" s="897">
        <v>419.90499999999997</v>
      </c>
      <c r="E507" s="1373"/>
      <c r="F507" s="833"/>
      <c r="G507" s="893"/>
      <c r="H507" s="893"/>
      <c r="I507" s="934"/>
      <c r="J507" s="910"/>
      <c r="K507" s="897"/>
      <c r="L507" s="893"/>
      <c r="M507" s="910"/>
      <c r="N507" s="910"/>
      <c r="O507" s="910"/>
      <c r="P507" s="910"/>
      <c r="Q507" s="910"/>
      <c r="R507" s="910"/>
      <c r="S507" s="910"/>
      <c r="T507" s="910"/>
      <c r="U507" s="914">
        <v>419.90499999999997</v>
      </c>
      <c r="V507" s="1374"/>
      <c r="W507" s="894"/>
      <c r="X507" s="833"/>
      <c r="Y507" s="893"/>
      <c r="Z507" s="893"/>
      <c r="AA507" s="894" t="s">
        <v>2572</v>
      </c>
    </row>
    <row r="508" spans="1:27" s="903" customFormat="1">
      <c r="A508" s="931">
        <f>A506+1</f>
        <v>252</v>
      </c>
      <c r="B508" s="55" t="s">
        <v>2544</v>
      </c>
      <c r="C508" s="55" t="s">
        <v>1361</v>
      </c>
      <c r="D508" s="837"/>
      <c r="E508" s="1373"/>
      <c r="F508" s="830" t="s">
        <v>2545</v>
      </c>
      <c r="G508" s="837">
        <v>538733.495</v>
      </c>
      <c r="H508" s="837">
        <v>3503864.7459999998</v>
      </c>
      <c r="I508" s="934"/>
      <c r="J508" s="931">
        <f>J506+1</f>
        <v>252</v>
      </c>
      <c r="K508" s="55" t="s">
        <v>2544</v>
      </c>
      <c r="L508" s="55" t="s">
        <v>1361</v>
      </c>
      <c r="M508" s="910"/>
      <c r="N508" s="910"/>
      <c r="O508" s="910"/>
      <c r="P508" s="910"/>
      <c r="Q508" s="910"/>
      <c r="R508" s="910"/>
      <c r="S508" s="910"/>
      <c r="T508" s="910"/>
      <c r="U508" s="837"/>
      <c r="V508" s="1374"/>
      <c r="W508" s="837">
        <v>248.35400000000001</v>
      </c>
      <c r="X508" s="830" t="s">
        <v>2573</v>
      </c>
      <c r="Y508" s="837">
        <v>538733.495</v>
      </c>
      <c r="Z508" s="837">
        <v>3503864.7459999998</v>
      </c>
      <c r="AA508" s="837"/>
    </row>
    <row r="509" spans="1:27" s="903" customFormat="1">
      <c r="A509" s="910"/>
      <c r="B509" s="897"/>
      <c r="C509" s="893"/>
      <c r="D509" s="897">
        <v>373.38900000000001</v>
      </c>
      <c r="E509" s="1373">
        <v>2000.393</v>
      </c>
      <c r="F509" s="833"/>
      <c r="G509" s="893"/>
      <c r="H509" s="893"/>
      <c r="I509" s="934"/>
      <c r="J509" s="910"/>
      <c r="K509" s="897"/>
      <c r="L509" s="893"/>
      <c r="M509" s="910"/>
      <c r="N509" s="910"/>
      <c r="O509" s="910"/>
      <c r="P509" s="910"/>
      <c r="Q509" s="910"/>
      <c r="R509" s="910"/>
      <c r="S509" s="910"/>
      <c r="T509" s="910"/>
      <c r="U509" s="914">
        <v>373.38900000000001</v>
      </c>
      <c r="V509" s="1374">
        <f>U509+U511+U513+U515+U517</f>
        <v>2000.393</v>
      </c>
      <c r="W509" s="894"/>
      <c r="X509" s="833"/>
      <c r="Y509" s="893"/>
      <c r="Z509" s="893"/>
      <c r="AA509" s="894" t="s">
        <v>2574</v>
      </c>
    </row>
    <row r="510" spans="1:27" s="903" customFormat="1">
      <c r="A510" s="931">
        <f>A508+1</f>
        <v>253</v>
      </c>
      <c r="B510" s="834" t="s">
        <v>2546</v>
      </c>
      <c r="C510" s="834" t="s">
        <v>62</v>
      </c>
      <c r="D510" s="837"/>
      <c r="E510" s="1373"/>
      <c r="F510" s="830"/>
      <c r="G510" s="837">
        <v>538799.77500000002</v>
      </c>
      <c r="H510" s="837">
        <v>3503497.287</v>
      </c>
      <c r="I510" s="934"/>
      <c r="J510" s="931">
        <f>J508+1</f>
        <v>253</v>
      </c>
      <c r="K510" s="834" t="s">
        <v>2546</v>
      </c>
      <c r="L510" s="834" t="s">
        <v>62</v>
      </c>
      <c r="M510" s="910"/>
      <c r="N510" s="910"/>
      <c r="O510" s="910"/>
      <c r="P510" s="910"/>
      <c r="Q510" s="910"/>
      <c r="R510" s="910"/>
      <c r="S510" s="910"/>
      <c r="T510" s="910"/>
      <c r="U510" s="837"/>
      <c r="V510" s="1374"/>
      <c r="W510" s="837">
        <v>248.31100000000001</v>
      </c>
      <c r="X510" s="830"/>
      <c r="Y510" s="837">
        <v>538799.77500000002</v>
      </c>
      <c r="Z510" s="837">
        <v>3503497.287</v>
      </c>
      <c r="AA510" s="837"/>
    </row>
    <row r="511" spans="1:27" s="903" customFormat="1">
      <c r="A511" s="910"/>
      <c r="B511" s="897"/>
      <c r="C511" s="893"/>
      <c r="D511" s="897">
        <v>419.81299999999999</v>
      </c>
      <c r="E511" s="1373"/>
      <c r="F511" s="833"/>
      <c r="G511" s="893"/>
      <c r="H511" s="893"/>
      <c r="I511" s="934"/>
      <c r="J511" s="910"/>
      <c r="K511" s="897"/>
      <c r="L511" s="893"/>
      <c r="M511" s="910"/>
      <c r="N511" s="910"/>
      <c r="O511" s="910"/>
      <c r="P511" s="910"/>
      <c r="Q511" s="910"/>
      <c r="R511" s="910"/>
      <c r="S511" s="910"/>
      <c r="T511" s="910"/>
      <c r="U511" s="914">
        <v>419.81299999999999</v>
      </c>
      <c r="V511" s="1374"/>
      <c r="W511" s="894"/>
      <c r="X511" s="833"/>
      <c r="Y511" s="893"/>
      <c r="Z511" s="893"/>
      <c r="AA511" s="836" t="s">
        <v>2502</v>
      </c>
    </row>
    <row r="512" spans="1:27" s="903" customFormat="1">
      <c r="A512" s="931">
        <f>A510+1</f>
        <v>254</v>
      </c>
      <c r="B512" s="834" t="s">
        <v>2547</v>
      </c>
      <c r="C512" s="834" t="s">
        <v>62</v>
      </c>
      <c r="D512" s="837"/>
      <c r="E512" s="1373"/>
      <c r="F512" s="833"/>
      <c r="G512" s="837">
        <v>538874.29500000004</v>
      </c>
      <c r="H512" s="837">
        <v>3503084.14</v>
      </c>
      <c r="I512" s="934"/>
      <c r="J512" s="931">
        <f>J510+1</f>
        <v>254</v>
      </c>
      <c r="K512" s="834" t="s">
        <v>2547</v>
      </c>
      <c r="L512" s="834" t="s">
        <v>62</v>
      </c>
      <c r="M512" s="910"/>
      <c r="N512" s="910"/>
      <c r="O512" s="910"/>
      <c r="P512" s="910"/>
      <c r="Q512" s="910"/>
      <c r="R512" s="910"/>
      <c r="S512" s="910"/>
      <c r="T512" s="910"/>
      <c r="U512" s="837"/>
      <c r="V512" s="1374"/>
      <c r="W512" s="838">
        <v>248.22399999999999</v>
      </c>
      <c r="X512" s="833"/>
      <c r="Y512" s="837">
        <v>538874.29500000004</v>
      </c>
      <c r="Z512" s="837">
        <v>3503084.14</v>
      </c>
      <c r="AA512" s="836"/>
    </row>
    <row r="513" spans="1:27" s="903" customFormat="1">
      <c r="A513" s="910"/>
      <c r="B513" s="897"/>
      <c r="C513" s="893"/>
      <c r="D513" s="897">
        <v>410.04899999999998</v>
      </c>
      <c r="E513" s="1373"/>
      <c r="F513" s="833"/>
      <c r="G513" s="893"/>
      <c r="H513" s="893"/>
      <c r="I513" s="934"/>
      <c r="J513" s="910"/>
      <c r="K513" s="897"/>
      <c r="L513" s="893"/>
      <c r="M513" s="910"/>
      <c r="N513" s="910"/>
      <c r="O513" s="910"/>
      <c r="P513" s="910"/>
      <c r="Q513" s="910"/>
      <c r="R513" s="910"/>
      <c r="S513" s="910"/>
      <c r="T513" s="910"/>
      <c r="U513" s="914">
        <v>410.04899999999998</v>
      </c>
      <c r="V513" s="1374"/>
      <c r="W513" s="894"/>
      <c r="X513" s="833"/>
      <c r="Y513" s="893"/>
      <c r="Z513" s="893"/>
      <c r="AA513" s="836" t="s">
        <v>2502</v>
      </c>
    </row>
    <row r="514" spans="1:27" s="903" customFormat="1">
      <c r="A514" s="931">
        <f>A512+1</f>
        <v>255</v>
      </c>
      <c r="B514" s="834" t="s">
        <v>2548</v>
      </c>
      <c r="C514" s="834" t="s">
        <v>76</v>
      </c>
      <c r="D514" s="837"/>
      <c r="E514" s="1373"/>
      <c r="F514" s="833"/>
      <c r="G514" s="837">
        <v>538947.08100000001</v>
      </c>
      <c r="H514" s="837">
        <v>3502680.6030000001</v>
      </c>
      <c r="I514" s="934"/>
      <c r="J514" s="931">
        <f>J512+1</f>
        <v>255</v>
      </c>
      <c r="K514" s="834" t="s">
        <v>2548</v>
      </c>
      <c r="L514" s="834" t="s">
        <v>76</v>
      </c>
      <c r="M514" s="910"/>
      <c r="N514" s="910"/>
      <c r="O514" s="910"/>
      <c r="P514" s="910"/>
      <c r="Q514" s="910"/>
      <c r="R514" s="910"/>
      <c r="S514" s="910"/>
      <c r="T514" s="910"/>
      <c r="U514" s="837"/>
      <c r="V514" s="1374"/>
      <c r="W514" s="838">
        <v>248.36600000000001</v>
      </c>
      <c r="X514" s="833"/>
      <c r="Y514" s="837">
        <v>538947.08100000001</v>
      </c>
      <c r="Z514" s="837">
        <v>3502680.6030000001</v>
      </c>
      <c r="AA514" s="836"/>
    </row>
    <row r="515" spans="1:27" s="903" customFormat="1">
      <c r="A515" s="910"/>
      <c r="B515" s="897"/>
      <c r="C515" s="893"/>
      <c r="D515" s="897">
        <v>415.17099999999999</v>
      </c>
      <c r="E515" s="1373"/>
      <c r="F515" s="833"/>
      <c r="G515" s="893"/>
      <c r="H515" s="893"/>
      <c r="I515" s="934"/>
      <c r="J515" s="910"/>
      <c r="K515" s="897"/>
      <c r="L515" s="893"/>
      <c r="M515" s="910"/>
      <c r="N515" s="910"/>
      <c r="O515" s="910"/>
      <c r="P515" s="910"/>
      <c r="Q515" s="910"/>
      <c r="R515" s="910"/>
      <c r="S515" s="910"/>
      <c r="T515" s="910"/>
      <c r="U515" s="914">
        <v>415.17099999999999</v>
      </c>
      <c r="V515" s="1374"/>
      <c r="W515" s="894"/>
      <c r="X515" s="833"/>
      <c r="Y515" s="893"/>
      <c r="Z515" s="893"/>
      <c r="AA515" s="836" t="s">
        <v>2575</v>
      </c>
    </row>
    <row r="516" spans="1:27" s="903" customFormat="1">
      <c r="A516" s="931">
        <f>A514+1</f>
        <v>256</v>
      </c>
      <c r="B516" s="834" t="s">
        <v>2549</v>
      </c>
      <c r="C516" s="834" t="s">
        <v>62</v>
      </c>
      <c r="D516" s="837"/>
      <c r="E516" s="1373"/>
      <c r="F516" s="830"/>
      <c r="G516" s="837">
        <v>539020.777</v>
      </c>
      <c r="H516" s="837">
        <v>3502272.0249999999</v>
      </c>
      <c r="I516" s="934"/>
      <c r="J516" s="931">
        <f>J514+1</f>
        <v>256</v>
      </c>
      <c r="K516" s="834" t="s">
        <v>2549</v>
      </c>
      <c r="L516" s="834" t="s">
        <v>62</v>
      </c>
      <c r="M516" s="910"/>
      <c r="N516" s="910"/>
      <c r="O516" s="910"/>
      <c r="P516" s="910"/>
      <c r="Q516" s="910"/>
      <c r="R516" s="910"/>
      <c r="S516" s="910"/>
      <c r="T516" s="910"/>
      <c r="U516" s="837"/>
      <c r="V516" s="1374"/>
      <c r="W516" s="893">
        <v>248.90100000000001</v>
      </c>
      <c r="X516" s="830"/>
      <c r="Y516" s="837">
        <v>539020.777</v>
      </c>
      <c r="Z516" s="837">
        <v>3502272.0249999999</v>
      </c>
      <c r="AA516" s="836"/>
    </row>
    <row r="517" spans="1:27" s="903" customFormat="1">
      <c r="A517" s="910"/>
      <c r="B517" s="897"/>
      <c r="C517" s="893"/>
      <c r="D517" s="897">
        <v>381.971</v>
      </c>
      <c r="E517" s="1373"/>
      <c r="F517" s="833"/>
      <c r="G517" s="893"/>
      <c r="H517" s="893"/>
      <c r="I517" s="934"/>
      <c r="J517" s="910"/>
      <c r="K517" s="897"/>
      <c r="L517" s="893"/>
      <c r="M517" s="910"/>
      <c r="N517" s="910"/>
      <c r="O517" s="910"/>
      <c r="P517" s="910"/>
      <c r="Q517" s="910"/>
      <c r="R517" s="910"/>
      <c r="S517" s="910"/>
      <c r="T517" s="910"/>
      <c r="U517" s="914">
        <v>381.971</v>
      </c>
      <c r="V517" s="1374"/>
      <c r="W517" s="894"/>
      <c r="X517" s="833"/>
      <c r="Y517" s="893"/>
      <c r="Z517" s="893"/>
      <c r="AA517" s="836"/>
    </row>
    <row r="518" spans="1:27" s="903" customFormat="1">
      <c r="A518" s="931">
        <f>A516+1</f>
        <v>257</v>
      </c>
      <c r="B518" s="55" t="s">
        <v>2550</v>
      </c>
      <c r="C518" s="55" t="s">
        <v>1361</v>
      </c>
      <c r="D518" s="837"/>
      <c r="E518" s="1376">
        <f>D519+D521+D523</f>
        <v>1037.588</v>
      </c>
      <c r="F518" s="830" t="s">
        <v>2551</v>
      </c>
      <c r="G518" s="837">
        <v>539088.57999999996</v>
      </c>
      <c r="H518" s="837">
        <v>3501896.12</v>
      </c>
      <c r="I518" s="934"/>
      <c r="J518" s="931">
        <f>J516+1</f>
        <v>257</v>
      </c>
      <c r="K518" s="55" t="s">
        <v>2550</v>
      </c>
      <c r="L518" s="55" t="s">
        <v>1361</v>
      </c>
      <c r="M518" s="910"/>
      <c r="N518" s="910"/>
      <c r="O518" s="910"/>
      <c r="P518" s="910"/>
      <c r="Q518" s="910"/>
      <c r="R518" s="910"/>
      <c r="S518" s="910"/>
      <c r="T518" s="910"/>
      <c r="U518" s="837"/>
      <c r="V518" s="1374"/>
      <c r="W518" s="893">
        <v>248.51</v>
      </c>
      <c r="X518" s="830" t="s">
        <v>2576</v>
      </c>
      <c r="Y518" s="837">
        <v>539088.57999999996</v>
      </c>
      <c r="Z518" s="837">
        <v>3501896.12</v>
      </c>
      <c r="AA518" s="761"/>
    </row>
    <row r="519" spans="1:27" s="903" customFormat="1">
      <c r="A519" s="910"/>
      <c r="B519" s="897"/>
      <c r="C519" s="893"/>
      <c r="D519" s="897">
        <v>377.62299999999999</v>
      </c>
      <c r="E519" s="1376"/>
      <c r="F519" s="765"/>
      <c r="G519" s="893"/>
      <c r="H519" s="893"/>
      <c r="I519" s="934"/>
      <c r="J519" s="910"/>
      <c r="K519" s="897"/>
      <c r="L519" s="893"/>
      <c r="M519" s="910"/>
      <c r="N519" s="910"/>
      <c r="O519" s="910"/>
      <c r="P519" s="910"/>
      <c r="Q519" s="910"/>
      <c r="R519" s="910"/>
      <c r="S519" s="910"/>
      <c r="T519" s="910"/>
      <c r="U519" s="914">
        <v>377.62299999999999</v>
      </c>
      <c r="V519" s="1375">
        <f>U519+U521+U523</f>
        <v>1037.587</v>
      </c>
      <c r="W519" s="838"/>
      <c r="X519" s="765"/>
      <c r="Y519" s="893"/>
      <c r="Z519" s="893"/>
      <c r="AA519" s="836" t="s">
        <v>2556</v>
      </c>
    </row>
    <row r="520" spans="1:27" s="903" customFormat="1">
      <c r="A520" s="931">
        <f>A518+1</f>
        <v>258</v>
      </c>
      <c r="B520" s="834" t="s">
        <v>2552</v>
      </c>
      <c r="C520" s="834" t="s">
        <v>76</v>
      </c>
      <c r="D520" s="837"/>
      <c r="E520" s="1376"/>
      <c r="F520" s="830"/>
      <c r="G520" s="837">
        <v>538967.61899999995</v>
      </c>
      <c r="H520" s="837">
        <v>3501538.395</v>
      </c>
      <c r="I520" s="934"/>
      <c r="J520" s="931">
        <f>J518+1</f>
        <v>258</v>
      </c>
      <c r="K520" s="834" t="s">
        <v>2552</v>
      </c>
      <c r="L520" s="834" t="s">
        <v>76</v>
      </c>
      <c r="M520" s="910"/>
      <c r="N520" s="910"/>
      <c r="O520" s="910"/>
      <c r="P520" s="910"/>
      <c r="Q520" s="910"/>
      <c r="R520" s="910"/>
      <c r="S520" s="910"/>
      <c r="T520" s="910"/>
      <c r="U520" s="837"/>
      <c r="V520" s="1375"/>
      <c r="W520" s="834">
        <v>248.489</v>
      </c>
      <c r="X520" s="830"/>
      <c r="Y520" s="837">
        <v>538967.61899999995</v>
      </c>
      <c r="Z520" s="837">
        <v>3501538.395</v>
      </c>
      <c r="AA520" s="836"/>
    </row>
    <row r="521" spans="1:27" s="903" customFormat="1">
      <c r="A521" s="910"/>
      <c r="B521" s="897"/>
      <c r="C521" s="893"/>
      <c r="D521" s="897">
        <v>354.13799999999998</v>
      </c>
      <c r="E521" s="1376"/>
      <c r="F521" s="893"/>
      <c r="G521" s="893"/>
      <c r="H521" s="893"/>
      <c r="I521" s="934"/>
      <c r="J521" s="910"/>
      <c r="K521" s="897"/>
      <c r="L521" s="893"/>
      <c r="M521" s="910"/>
      <c r="N521" s="910"/>
      <c r="O521" s="910"/>
      <c r="P521" s="910"/>
      <c r="Q521" s="910"/>
      <c r="R521" s="910"/>
      <c r="S521" s="910"/>
      <c r="T521" s="910"/>
      <c r="U521" s="914">
        <v>354.13799999999998</v>
      </c>
      <c r="V521" s="1375"/>
      <c r="W521" s="893"/>
      <c r="X521" s="893"/>
      <c r="Y521" s="893"/>
      <c r="Z521" s="893"/>
      <c r="AA521" s="893" t="s">
        <v>2567</v>
      </c>
    </row>
    <row r="522" spans="1:27" s="903" customFormat="1">
      <c r="A522" s="931">
        <f>A520+1</f>
        <v>259</v>
      </c>
      <c r="B522" s="834" t="s">
        <v>2553</v>
      </c>
      <c r="C522" s="834" t="s">
        <v>76</v>
      </c>
      <c r="D522" s="837"/>
      <c r="E522" s="1376"/>
      <c r="F522" s="894"/>
      <c r="G522" s="837">
        <v>538854.18000000005</v>
      </c>
      <c r="H522" s="837">
        <v>3501202.9169999999</v>
      </c>
      <c r="I522" s="934"/>
      <c r="J522" s="931">
        <f>J520+1</f>
        <v>259</v>
      </c>
      <c r="K522" s="834" t="s">
        <v>2553</v>
      </c>
      <c r="L522" s="834" t="s">
        <v>76</v>
      </c>
      <c r="M522" s="910"/>
      <c r="N522" s="910"/>
      <c r="O522" s="910"/>
      <c r="P522" s="910"/>
      <c r="Q522" s="910"/>
      <c r="R522" s="910"/>
      <c r="S522" s="910"/>
      <c r="T522" s="910"/>
      <c r="U522" s="837"/>
      <c r="V522" s="1375"/>
      <c r="W522" s="894">
        <v>248.27799999999999</v>
      </c>
      <c r="X522" s="894"/>
      <c r="Y522" s="837">
        <v>538854.18000000005</v>
      </c>
      <c r="Z522" s="837">
        <v>3501202.9169999999</v>
      </c>
      <c r="AA522" s="894"/>
    </row>
    <row r="523" spans="1:27" s="903" customFormat="1">
      <c r="A523" s="910"/>
      <c r="B523" s="897"/>
      <c r="C523" s="893"/>
      <c r="D523" s="897">
        <v>305.827</v>
      </c>
      <c r="E523" s="1376"/>
      <c r="F523" s="894"/>
      <c r="G523" s="893"/>
      <c r="H523" s="893"/>
      <c r="I523" s="934"/>
      <c r="J523" s="910"/>
      <c r="K523" s="897"/>
      <c r="L523" s="893"/>
      <c r="M523" s="910"/>
      <c r="N523" s="910"/>
      <c r="O523" s="910"/>
      <c r="P523" s="910"/>
      <c r="Q523" s="910"/>
      <c r="R523" s="910"/>
      <c r="S523" s="910"/>
      <c r="T523" s="910"/>
      <c r="U523" s="914">
        <v>305.82600000000002</v>
      </c>
      <c r="V523" s="1375"/>
      <c r="W523" s="894"/>
      <c r="X523" s="894"/>
      <c r="Y523" s="893"/>
      <c r="Z523" s="893"/>
      <c r="AA523" s="894" t="s">
        <v>2577</v>
      </c>
    </row>
    <row r="524" spans="1:27" s="903" customFormat="1">
      <c r="A524" s="931">
        <f>A522+1</f>
        <v>260</v>
      </c>
      <c r="B524" s="55" t="s">
        <v>2557</v>
      </c>
      <c r="C524" s="55" t="s">
        <v>1319</v>
      </c>
      <c r="D524" s="837"/>
      <c r="E524" s="1373">
        <f>D525+D527+D529</f>
        <v>944.97399999999993</v>
      </c>
      <c r="F524" s="830" t="s">
        <v>2563</v>
      </c>
      <c r="G524" s="837">
        <v>538756.21600000001</v>
      </c>
      <c r="H524" s="837">
        <v>3500913.2050000001</v>
      </c>
      <c r="I524" s="934"/>
      <c r="J524" s="931">
        <f>J522+1</f>
        <v>260</v>
      </c>
      <c r="K524" s="55" t="s">
        <v>2557</v>
      </c>
      <c r="L524" s="55" t="s">
        <v>1319</v>
      </c>
      <c r="M524" s="910"/>
      <c r="N524" s="910"/>
      <c r="O524" s="910"/>
      <c r="P524" s="910"/>
      <c r="Q524" s="910"/>
      <c r="R524" s="910"/>
      <c r="S524" s="910"/>
      <c r="T524" s="910"/>
      <c r="U524" s="837"/>
      <c r="V524" s="1373">
        <f>U525+U527+U529</f>
        <v>944.97399999999993</v>
      </c>
      <c r="W524" s="893">
        <v>248.041</v>
      </c>
      <c r="X524" s="830" t="s">
        <v>2563</v>
      </c>
      <c r="Y524" s="837">
        <v>538756.21600000001</v>
      </c>
      <c r="Z524" s="837">
        <v>3500913.2050000001</v>
      </c>
      <c r="AA524" s="893"/>
    </row>
    <row r="525" spans="1:27" s="903" customFormat="1">
      <c r="A525" s="910"/>
      <c r="B525" s="897"/>
      <c r="C525" s="893"/>
      <c r="D525" s="897">
        <v>320.98599999999999</v>
      </c>
      <c r="E525" s="1373"/>
      <c r="F525" s="893"/>
      <c r="G525" s="893"/>
      <c r="H525" s="893"/>
      <c r="I525" s="934"/>
      <c r="J525" s="910"/>
      <c r="K525" s="897"/>
      <c r="L525" s="893"/>
      <c r="M525" s="910"/>
      <c r="N525" s="910"/>
      <c r="O525" s="910"/>
      <c r="P525" s="910"/>
      <c r="Q525" s="910"/>
      <c r="R525" s="910"/>
      <c r="S525" s="910"/>
      <c r="T525" s="910"/>
      <c r="U525" s="914">
        <v>320.98700000000002</v>
      </c>
      <c r="V525" s="1373"/>
      <c r="W525" s="893"/>
      <c r="X525" s="893"/>
      <c r="Y525" s="893"/>
      <c r="Z525" s="893"/>
      <c r="AA525" s="893" t="s">
        <v>2506</v>
      </c>
    </row>
    <row r="526" spans="1:27" s="903" customFormat="1">
      <c r="A526" s="931">
        <f>A524+1</f>
        <v>261</v>
      </c>
      <c r="B526" s="834" t="s">
        <v>2558</v>
      </c>
      <c r="C526" s="834" t="s">
        <v>76</v>
      </c>
      <c r="D526" s="837"/>
      <c r="E526" s="1373"/>
      <c r="F526" s="894"/>
      <c r="G526" s="837">
        <v>538828.86499999999</v>
      </c>
      <c r="H526" s="837">
        <v>3500600.548</v>
      </c>
      <c r="I526" s="934"/>
      <c r="J526" s="931">
        <f>J524+1</f>
        <v>261</v>
      </c>
      <c r="K526" s="834" t="s">
        <v>2558</v>
      </c>
      <c r="L526" s="834" t="s">
        <v>76</v>
      </c>
      <c r="M526" s="910"/>
      <c r="N526" s="910"/>
      <c r="O526" s="910"/>
      <c r="P526" s="910"/>
      <c r="Q526" s="910"/>
      <c r="R526" s="910"/>
      <c r="S526" s="910"/>
      <c r="T526" s="910"/>
      <c r="U526" s="837"/>
      <c r="V526" s="1373"/>
      <c r="W526" s="894">
        <v>248.30699999999999</v>
      </c>
      <c r="X526" s="894"/>
      <c r="Y526" s="837">
        <v>538828.86499999999</v>
      </c>
      <c r="Z526" s="837">
        <v>3500600.548</v>
      </c>
      <c r="AA526" s="894"/>
    </row>
    <row r="527" spans="1:27" s="903" customFormat="1">
      <c r="A527" s="910"/>
      <c r="B527" s="897"/>
      <c r="C527" s="893"/>
      <c r="D527" s="897">
        <v>329.94600000000003</v>
      </c>
      <c r="E527" s="1373"/>
      <c r="F527" s="894"/>
      <c r="G527" s="893"/>
      <c r="H527" s="893"/>
      <c r="I527" s="934"/>
      <c r="J527" s="910"/>
      <c r="K527" s="897"/>
      <c r="L527" s="893"/>
      <c r="M527" s="910"/>
      <c r="N527" s="910"/>
      <c r="O527" s="910"/>
      <c r="P527" s="910"/>
      <c r="Q527" s="910"/>
      <c r="R527" s="910"/>
      <c r="S527" s="910"/>
      <c r="T527" s="910"/>
      <c r="U527" s="914">
        <v>329.94600000000003</v>
      </c>
      <c r="V527" s="1373"/>
      <c r="W527" s="894"/>
      <c r="X527" s="894"/>
      <c r="Y527" s="893"/>
      <c r="Z527" s="893"/>
      <c r="AA527" s="894" t="s">
        <v>2578</v>
      </c>
    </row>
    <row r="528" spans="1:27" s="903" customFormat="1">
      <c r="A528" s="931">
        <f>A526+1</f>
        <v>262</v>
      </c>
      <c r="B528" s="834" t="s">
        <v>2559</v>
      </c>
      <c r="C528" s="834" t="s">
        <v>76</v>
      </c>
      <c r="D528" s="837"/>
      <c r="E528" s="1373"/>
      <c r="F528" s="894"/>
      <c r="G528" s="837">
        <v>538903.54099999997</v>
      </c>
      <c r="H528" s="837">
        <v>3500279.1639999999</v>
      </c>
      <c r="I528" s="934"/>
      <c r="J528" s="931">
        <f>J526+1</f>
        <v>262</v>
      </c>
      <c r="K528" s="834" t="s">
        <v>2559</v>
      </c>
      <c r="L528" s="834" t="s">
        <v>76</v>
      </c>
      <c r="M528" s="910"/>
      <c r="N528" s="910"/>
      <c r="O528" s="910"/>
      <c r="P528" s="910"/>
      <c r="Q528" s="910"/>
      <c r="R528" s="910"/>
      <c r="S528" s="910"/>
      <c r="T528" s="910"/>
      <c r="U528" s="837"/>
      <c r="V528" s="1373"/>
      <c r="W528" s="894">
        <v>248.35900000000001</v>
      </c>
      <c r="X528" s="894"/>
      <c r="Y528" s="837">
        <v>538903.54099999997</v>
      </c>
      <c r="Z528" s="837">
        <v>3500279.1639999999</v>
      </c>
      <c r="AA528" s="894"/>
    </row>
    <row r="529" spans="1:27" s="903" customFormat="1" ht="29">
      <c r="A529" s="910"/>
      <c r="B529" s="897"/>
      <c r="C529" s="893"/>
      <c r="D529" s="897">
        <v>294.04199999999997</v>
      </c>
      <c r="E529" s="1373"/>
      <c r="F529" s="893"/>
      <c r="G529" s="893"/>
      <c r="H529" s="893"/>
      <c r="I529" s="934"/>
      <c r="J529" s="910"/>
      <c r="K529" s="897"/>
      <c r="L529" s="893"/>
      <c r="M529" s="910"/>
      <c r="N529" s="910"/>
      <c r="O529" s="910"/>
      <c r="P529" s="910"/>
      <c r="Q529" s="910"/>
      <c r="R529" s="910"/>
      <c r="S529" s="910"/>
      <c r="T529" s="910"/>
      <c r="U529" s="914">
        <v>294.041</v>
      </c>
      <c r="V529" s="1373"/>
      <c r="W529" s="893"/>
      <c r="X529" s="893"/>
      <c r="Y529" s="893"/>
      <c r="Z529" s="893"/>
      <c r="AA529" s="894" t="s">
        <v>2579</v>
      </c>
    </row>
    <row r="530" spans="1:27" s="903" customFormat="1">
      <c r="A530" s="931">
        <f>A528+1</f>
        <v>263</v>
      </c>
      <c r="B530" s="834" t="s">
        <v>2560</v>
      </c>
      <c r="C530" s="834" t="s">
        <v>1269</v>
      </c>
      <c r="D530" s="837"/>
      <c r="E530" s="1373">
        <f>D531+D533</f>
        <v>809.12200000000007</v>
      </c>
      <c r="F530" s="765" t="s">
        <v>2564</v>
      </c>
      <c r="G530" s="837">
        <v>538970.09199999995</v>
      </c>
      <c r="H530" s="837">
        <v>3499992.7519999999</v>
      </c>
      <c r="I530" s="934"/>
      <c r="J530" s="931">
        <f>J528+1</f>
        <v>263</v>
      </c>
      <c r="K530" s="834" t="s">
        <v>2560</v>
      </c>
      <c r="L530" s="834" t="s">
        <v>1269</v>
      </c>
      <c r="M530" s="910"/>
      <c r="N530" s="910"/>
      <c r="O530" s="910"/>
      <c r="P530" s="910"/>
      <c r="Q530" s="910"/>
      <c r="R530" s="910"/>
      <c r="S530" s="910"/>
      <c r="T530" s="910"/>
      <c r="U530" s="837"/>
      <c r="V530" s="1373">
        <f>U533+U531</f>
        <v>809.12199999999996</v>
      </c>
      <c r="W530" s="894">
        <v>246.90299999999999</v>
      </c>
      <c r="X530" s="765" t="s">
        <v>2580</v>
      </c>
      <c r="Y530" s="837">
        <v>538970.09199999995</v>
      </c>
      <c r="Z530" s="837">
        <v>3499992.7519999999</v>
      </c>
      <c r="AA530" s="894"/>
    </row>
    <row r="531" spans="1:27" s="903" customFormat="1">
      <c r="A531" s="910"/>
      <c r="B531" s="897"/>
      <c r="C531" s="893"/>
      <c r="D531" s="897">
        <v>381.66800000000001</v>
      </c>
      <c r="E531" s="1373"/>
      <c r="F531" s="894"/>
      <c r="G531" s="893"/>
      <c r="H531" s="893"/>
      <c r="I531" s="934"/>
      <c r="J531" s="910"/>
      <c r="K531" s="897"/>
      <c r="L531" s="893"/>
      <c r="M531" s="910"/>
      <c r="N531" s="910"/>
      <c r="O531" s="910"/>
      <c r="P531" s="910"/>
      <c r="Q531" s="910"/>
      <c r="R531" s="910"/>
      <c r="S531" s="910"/>
      <c r="T531" s="910"/>
      <c r="U531" s="914">
        <v>381.66899999999998</v>
      </c>
      <c r="V531" s="1373"/>
      <c r="W531" s="894"/>
      <c r="X531" s="894"/>
      <c r="Y531" s="893"/>
      <c r="Z531" s="893"/>
      <c r="AA531" s="894" t="s">
        <v>2581</v>
      </c>
    </row>
    <row r="532" spans="1:27" s="903" customFormat="1">
      <c r="A532" s="931">
        <f>A530+1</f>
        <v>264</v>
      </c>
      <c r="B532" s="834" t="s">
        <v>2561</v>
      </c>
      <c r="C532" s="834" t="s">
        <v>62</v>
      </c>
      <c r="D532" s="837"/>
      <c r="E532" s="1373"/>
      <c r="F532" s="894"/>
      <c r="G532" s="837">
        <v>539094.39</v>
      </c>
      <c r="H532" s="837">
        <v>3499631.8909999998</v>
      </c>
      <c r="I532" s="934"/>
      <c r="J532" s="931">
        <f>J530+1</f>
        <v>264</v>
      </c>
      <c r="K532" s="834" t="s">
        <v>2561</v>
      </c>
      <c r="L532" s="834" t="s">
        <v>62</v>
      </c>
      <c r="M532" s="910"/>
      <c r="N532" s="910"/>
      <c r="O532" s="910"/>
      <c r="P532" s="910"/>
      <c r="Q532" s="910"/>
      <c r="R532" s="910"/>
      <c r="S532" s="910"/>
      <c r="T532" s="910"/>
      <c r="U532" s="837"/>
      <c r="V532" s="1373"/>
      <c r="W532" s="894">
        <v>239.42400000000001</v>
      </c>
      <c r="X532" s="894"/>
      <c r="Y532" s="837">
        <v>539094.39</v>
      </c>
      <c r="Z532" s="837">
        <v>3499631.8909999998</v>
      </c>
      <c r="AA532" s="894"/>
    </row>
    <row r="533" spans="1:27" s="903" customFormat="1">
      <c r="A533" s="910"/>
      <c r="B533" s="897"/>
      <c r="C533" s="893"/>
      <c r="D533" s="897">
        <v>427.45400000000001</v>
      </c>
      <c r="E533" s="1373"/>
      <c r="F533" s="894"/>
      <c r="G533" s="893"/>
      <c r="H533" s="893"/>
      <c r="I533" s="934"/>
      <c r="J533" s="910"/>
      <c r="K533" s="897"/>
      <c r="L533" s="893"/>
      <c r="M533" s="910"/>
      <c r="N533" s="910"/>
      <c r="O533" s="910"/>
      <c r="P533" s="910"/>
      <c r="Q533" s="910"/>
      <c r="R533" s="910"/>
      <c r="S533" s="910"/>
      <c r="T533" s="910"/>
      <c r="U533" s="914">
        <v>427.45299999999997</v>
      </c>
      <c r="V533" s="1373"/>
      <c r="W533" s="894"/>
      <c r="X533" s="894"/>
      <c r="Y533" s="893"/>
      <c r="Z533" s="893"/>
      <c r="AA533" s="894" t="s">
        <v>2582</v>
      </c>
    </row>
    <row r="534" spans="1:27" s="903" customFormat="1">
      <c r="A534" s="931">
        <f>A532+1</f>
        <v>265</v>
      </c>
      <c r="B534" s="834" t="s">
        <v>2562</v>
      </c>
      <c r="C534" s="834" t="s">
        <v>2221</v>
      </c>
      <c r="D534" s="837"/>
      <c r="E534" s="1373"/>
      <c r="F534" s="765" t="s">
        <v>2565</v>
      </c>
      <c r="G534" s="837">
        <v>539233.6</v>
      </c>
      <c r="H534" s="837">
        <v>3499227.7409999999</v>
      </c>
      <c r="I534" s="934"/>
      <c r="J534" s="931">
        <f>J532+1</f>
        <v>265</v>
      </c>
      <c r="K534" s="834" t="s">
        <v>2562</v>
      </c>
      <c r="L534" s="834" t="s">
        <v>2221</v>
      </c>
      <c r="M534" s="910"/>
      <c r="N534" s="910"/>
      <c r="O534" s="910"/>
      <c r="P534" s="910"/>
      <c r="Q534" s="910"/>
      <c r="R534" s="910"/>
      <c r="S534" s="910"/>
      <c r="T534" s="910"/>
      <c r="U534" s="929"/>
      <c r="V534" s="1373"/>
      <c r="W534" s="894">
        <v>235.97300000000001</v>
      </c>
      <c r="X534" s="765" t="s">
        <v>2565</v>
      </c>
      <c r="Y534" s="837">
        <v>539233.6</v>
      </c>
      <c r="Z534" s="837">
        <v>3499227.7409999999</v>
      </c>
      <c r="AA534" s="894"/>
    </row>
    <row r="535" spans="1:27" ht="8.5" customHeight="1">
      <c r="A535" s="924"/>
      <c r="B535" s="924"/>
      <c r="C535" s="925"/>
      <c r="D535" s="925"/>
      <c r="E535" s="924"/>
      <c r="F535" s="924"/>
      <c r="G535" s="924"/>
      <c r="H535" s="924"/>
      <c r="I535" s="924"/>
      <c r="J535" s="924"/>
      <c r="K535" s="924"/>
      <c r="L535" s="924"/>
      <c r="M535" s="924"/>
      <c r="N535" s="924"/>
      <c r="O535" s="924"/>
      <c r="P535" s="924"/>
      <c r="Q535" s="924"/>
      <c r="R535" s="924"/>
      <c r="S535" s="924"/>
      <c r="T535" s="924"/>
      <c r="U535" s="926"/>
      <c r="V535" s="924"/>
      <c r="W535" s="924"/>
      <c r="X535" s="924"/>
      <c r="Y535" s="924"/>
      <c r="Z535" s="924"/>
      <c r="AA535" s="927"/>
    </row>
    <row r="536" spans="1:27">
      <c r="A536" s="931">
        <f>A534+1</f>
        <v>266</v>
      </c>
      <c r="B536" s="834" t="s">
        <v>2583</v>
      </c>
      <c r="C536" s="834" t="s">
        <v>1269</v>
      </c>
      <c r="D536" s="838"/>
      <c r="E536" s="1372">
        <f>D537+D539+D541</f>
        <v>1066.883</v>
      </c>
      <c r="F536" s="765" t="s">
        <v>2584</v>
      </c>
      <c r="G536" s="838">
        <v>539550.52</v>
      </c>
      <c r="H536" s="838">
        <v>3494836.47</v>
      </c>
      <c r="I536" s="905"/>
      <c r="J536" s="931">
        <f>J534+1</f>
        <v>266</v>
      </c>
      <c r="K536" s="834" t="s">
        <v>2583</v>
      </c>
      <c r="L536" s="915" t="s">
        <v>1269</v>
      </c>
      <c r="M536" s="908"/>
      <c r="N536" s="908"/>
      <c r="O536" s="908"/>
      <c r="P536" s="908"/>
      <c r="Q536" s="908"/>
      <c r="R536" s="908"/>
      <c r="S536" s="908"/>
      <c r="T536" s="908"/>
      <c r="U536" s="838"/>
      <c r="V536" s="1372">
        <f>U537+U539+U541</f>
        <v>1066.883</v>
      </c>
      <c r="W536" s="916">
        <v>232.37299999999999</v>
      </c>
      <c r="X536" s="765" t="s">
        <v>2584</v>
      </c>
      <c r="Y536" s="838">
        <v>539550.52</v>
      </c>
      <c r="Z536" s="838">
        <v>3494836.47</v>
      </c>
      <c r="AA536" s="838"/>
    </row>
    <row r="537" spans="1:27">
      <c r="A537" s="908"/>
      <c r="B537" s="893"/>
      <c r="C537" s="893"/>
      <c r="D537" s="893">
        <v>330.49200000000002</v>
      </c>
      <c r="E537" s="1372"/>
      <c r="F537" s="765"/>
      <c r="G537" s="893"/>
      <c r="H537" s="893"/>
      <c r="I537" s="905"/>
      <c r="J537" s="908"/>
      <c r="K537" s="893"/>
      <c r="L537" s="915"/>
      <c r="M537" s="908"/>
      <c r="N537" s="908"/>
      <c r="O537" s="908"/>
      <c r="P537" s="908"/>
      <c r="Q537" s="908"/>
      <c r="R537" s="908"/>
      <c r="S537" s="908"/>
      <c r="T537" s="908"/>
      <c r="U537" s="916">
        <v>330.49200000000002</v>
      </c>
      <c r="V537" s="1372"/>
      <c r="W537" s="916"/>
      <c r="X537" s="765"/>
      <c r="Y537" s="893"/>
      <c r="Z537" s="893"/>
      <c r="AA537" s="834" t="s">
        <v>2611</v>
      </c>
    </row>
    <row r="538" spans="1:27">
      <c r="A538" s="931">
        <f>A536+1</f>
        <v>267</v>
      </c>
      <c r="B538" s="834" t="s">
        <v>2585</v>
      </c>
      <c r="C538" s="834" t="s">
        <v>76</v>
      </c>
      <c r="D538" s="840"/>
      <c r="E538" s="1372"/>
      <c r="F538" s="765"/>
      <c r="G538" s="837">
        <v>539481.19900000002</v>
      </c>
      <c r="H538" s="837">
        <v>3494513.33</v>
      </c>
      <c r="I538" s="905"/>
      <c r="J538" s="931">
        <f>J536+1</f>
        <v>267</v>
      </c>
      <c r="K538" s="834" t="s">
        <v>2585</v>
      </c>
      <c r="L538" s="915" t="s">
        <v>76</v>
      </c>
      <c r="M538" s="908"/>
      <c r="N538" s="908"/>
      <c r="O538" s="908"/>
      <c r="P538" s="908"/>
      <c r="Q538" s="908"/>
      <c r="R538" s="908"/>
      <c r="S538" s="908"/>
      <c r="T538" s="908"/>
      <c r="U538" s="842"/>
      <c r="V538" s="1372"/>
      <c r="W538" s="916">
        <v>232.053</v>
      </c>
      <c r="X538" s="765"/>
      <c r="Y538" s="837">
        <v>539481.19900000002</v>
      </c>
      <c r="Z538" s="837">
        <v>3494513.33</v>
      </c>
      <c r="AA538" s="838"/>
    </row>
    <row r="539" spans="1:27">
      <c r="A539" s="908"/>
      <c r="B539" s="893"/>
      <c r="C539" s="893"/>
      <c r="D539" s="893">
        <v>342.10599999999999</v>
      </c>
      <c r="E539" s="1372"/>
      <c r="F539" s="765"/>
      <c r="G539" s="893"/>
      <c r="H539" s="893"/>
      <c r="I539" s="905"/>
      <c r="J539" s="908"/>
      <c r="K539" s="893"/>
      <c r="L539" s="915"/>
      <c r="M539" s="908"/>
      <c r="N539" s="908"/>
      <c r="O539" s="908"/>
      <c r="P539" s="908"/>
      <c r="Q539" s="908"/>
      <c r="R539" s="908"/>
      <c r="S539" s="908"/>
      <c r="T539" s="908"/>
      <c r="U539" s="916">
        <v>342.10599999999999</v>
      </c>
      <c r="V539" s="1372"/>
      <c r="W539" s="916"/>
      <c r="X539" s="765"/>
      <c r="Y539" s="893"/>
      <c r="Z539" s="893"/>
      <c r="AA539" s="894" t="s">
        <v>2612</v>
      </c>
    </row>
    <row r="540" spans="1:27">
      <c r="A540" s="931">
        <f>A538+1</f>
        <v>268</v>
      </c>
      <c r="B540" s="834" t="s">
        <v>2586</v>
      </c>
      <c r="C540" s="834" t="s">
        <v>62</v>
      </c>
      <c r="D540" s="837"/>
      <c r="E540" s="1372"/>
      <c r="F540" s="765"/>
      <c r="G540" s="837">
        <v>539409.44200000004</v>
      </c>
      <c r="H540" s="837">
        <v>3494178.8339999998</v>
      </c>
      <c r="I540" s="905"/>
      <c r="J540" s="931">
        <f>J538+1</f>
        <v>268</v>
      </c>
      <c r="K540" s="834" t="s">
        <v>2586</v>
      </c>
      <c r="L540" s="915" t="s">
        <v>62</v>
      </c>
      <c r="M540" s="908"/>
      <c r="N540" s="908"/>
      <c r="O540" s="908"/>
      <c r="P540" s="908"/>
      <c r="Q540" s="908"/>
      <c r="R540" s="908"/>
      <c r="S540" s="908"/>
      <c r="T540" s="908"/>
      <c r="U540" s="842"/>
      <c r="V540" s="1372"/>
      <c r="W540" s="916">
        <v>232.07400000000001</v>
      </c>
      <c r="X540" s="765"/>
      <c r="Y540" s="837">
        <v>539409.44200000004</v>
      </c>
      <c r="Z540" s="837">
        <v>3494178.8339999998</v>
      </c>
      <c r="AA540" s="837"/>
    </row>
    <row r="541" spans="1:27">
      <c r="A541" s="908"/>
      <c r="B541" s="893"/>
      <c r="C541" s="893"/>
      <c r="D541" s="893">
        <v>394.28500000000003</v>
      </c>
      <c r="E541" s="1372"/>
      <c r="F541" s="765"/>
      <c r="G541" s="893"/>
      <c r="H541" s="893"/>
      <c r="I541" s="905"/>
      <c r="J541" s="908"/>
      <c r="K541" s="893"/>
      <c r="L541" s="915"/>
      <c r="M541" s="908"/>
      <c r="N541" s="908"/>
      <c r="O541" s="908"/>
      <c r="P541" s="908"/>
      <c r="Q541" s="908"/>
      <c r="R541" s="908"/>
      <c r="S541" s="908"/>
      <c r="T541" s="908"/>
      <c r="U541" s="916">
        <v>394.28500000000003</v>
      </c>
      <c r="V541" s="1372"/>
      <c r="W541" s="916"/>
      <c r="X541" s="765"/>
      <c r="Y541" s="893"/>
      <c r="Z541" s="893"/>
      <c r="AA541" s="894" t="s">
        <v>2613</v>
      </c>
    </row>
    <row r="542" spans="1:27">
      <c r="A542" s="931">
        <f>A540+1</f>
        <v>269</v>
      </c>
      <c r="B542" s="834" t="s">
        <v>2587</v>
      </c>
      <c r="C542" s="834" t="s">
        <v>1277</v>
      </c>
      <c r="D542" s="837"/>
      <c r="E542" s="1372"/>
      <c r="F542" s="765" t="s">
        <v>2588</v>
      </c>
      <c r="G542" s="837">
        <v>539326.74</v>
      </c>
      <c r="H542" s="837">
        <v>3493793.32</v>
      </c>
      <c r="I542" s="905"/>
      <c r="J542" s="931">
        <f>J540+1</f>
        <v>269</v>
      </c>
      <c r="K542" s="834" t="s">
        <v>2587</v>
      </c>
      <c r="L542" s="915" t="s">
        <v>1277</v>
      </c>
      <c r="M542" s="908"/>
      <c r="N542" s="908"/>
      <c r="O542" s="908"/>
      <c r="P542" s="908"/>
      <c r="Q542" s="908"/>
      <c r="R542" s="908"/>
      <c r="S542" s="908"/>
      <c r="T542" s="908"/>
      <c r="U542" s="842"/>
      <c r="V542" s="1372"/>
      <c r="W542" s="916">
        <v>232.34700000000001</v>
      </c>
      <c r="X542" s="765" t="s">
        <v>2588</v>
      </c>
      <c r="Y542" s="837">
        <v>539326.74</v>
      </c>
      <c r="Z542" s="837">
        <v>3493793.32</v>
      </c>
      <c r="AA542" s="838"/>
    </row>
    <row r="543" spans="1:27">
      <c r="A543" s="908"/>
      <c r="B543" s="893"/>
      <c r="C543" s="893"/>
      <c r="D543" s="893">
        <v>245.679</v>
      </c>
      <c r="E543" s="1372">
        <f>D543</f>
        <v>245.679</v>
      </c>
      <c r="F543" s="765"/>
      <c r="G543" s="893"/>
      <c r="H543" s="893"/>
      <c r="I543" s="905"/>
      <c r="J543" s="908"/>
      <c r="K543" s="893"/>
      <c r="L543" s="915"/>
      <c r="M543" s="908"/>
      <c r="N543" s="908"/>
      <c r="O543" s="908"/>
      <c r="P543" s="908"/>
      <c r="Q543" s="908"/>
      <c r="R543" s="908"/>
      <c r="S543" s="908"/>
      <c r="T543" s="908"/>
      <c r="U543" s="916">
        <v>245.679</v>
      </c>
      <c r="V543" s="1372">
        <f>U543</f>
        <v>245.679</v>
      </c>
      <c r="W543" s="916"/>
      <c r="X543" s="765"/>
      <c r="Y543" s="893"/>
      <c r="Z543" s="893"/>
      <c r="AA543" s="894"/>
    </row>
    <row r="544" spans="1:27">
      <c r="A544" s="931">
        <f>A542+1</f>
        <v>270</v>
      </c>
      <c r="B544" s="834" t="s">
        <v>2589</v>
      </c>
      <c r="C544" s="834" t="s">
        <v>1269</v>
      </c>
      <c r="D544" s="837"/>
      <c r="E544" s="1372"/>
      <c r="F544" s="765"/>
      <c r="G544" s="837">
        <v>539401.05200000003</v>
      </c>
      <c r="H544" s="837">
        <v>3493559.1490000002</v>
      </c>
      <c r="I544" s="905"/>
      <c r="J544" s="931">
        <f>J542+1</f>
        <v>270</v>
      </c>
      <c r="K544" s="834" t="s">
        <v>2589</v>
      </c>
      <c r="L544" s="915" t="s">
        <v>1269</v>
      </c>
      <c r="M544" s="908"/>
      <c r="N544" s="908"/>
      <c r="O544" s="908"/>
      <c r="P544" s="908"/>
      <c r="Q544" s="908"/>
      <c r="R544" s="908"/>
      <c r="S544" s="908"/>
      <c r="T544" s="908"/>
      <c r="U544" s="842"/>
      <c r="V544" s="1372"/>
      <c r="W544" s="916">
        <v>231.946</v>
      </c>
      <c r="X544" s="765"/>
      <c r="Y544" s="837">
        <v>539401.05200000003</v>
      </c>
      <c r="Z544" s="837">
        <v>3493559.1490000002</v>
      </c>
      <c r="AA544" s="837"/>
    </row>
    <row r="545" spans="1:27">
      <c r="A545" s="908"/>
      <c r="B545" s="893"/>
      <c r="C545" s="893"/>
      <c r="D545" s="914">
        <v>352.93</v>
      </c>
      <c r="E545" s="1372">
        <f>D545</f>
        <v>352.93</v>
      </c>
      <c r="F545" s="765"/>
      <c r="G545" s="893"/>
      <c r="H545" s="893"/>
      <c r="I545" s="905"/>
      <c r="J545" s="908"/>
      <c r="K545" s="893"/>
      <c r="L545" s="915"/>
      <c r="M545" s="908"/>
      <c r="N545" s="908"/>
      <c r="O545" s="908"/>
      <c r="P545" s="908"/>
      <c r="Q545" s="908"/>
      <c r="R545" s="908"/>
      <c r="S545" s="908"/>
      <c r="T545" s="908"/>
      <c r="U545" s="916">
        <v>352.93</v>
      </c>
      <c r="V545" s="1372">
        <f>U545</f>
        <v>352.93</v>
      </c>
      <c r="W545" s="916"/>
      <c r="X545" s="765"/>
      <c r="Y545" s="893"/>
      <c r="Z545" s="893"/>
      <c r="AA545" s="894" t="s">
        <v>2614</v>
      </c>
    </row>
    <row r="546" spans="1:27">
      <c r="A546" s="931">
        <f>A544+1</f>
        <v>271</v>
      </c>
      <c r="B546" s="834" t="s">
        <v>2590</v>
      </c>
      <c r="C546" s="834" t="s">
        <v>1992</v>
      </c>
      <c r="D546" s="837"/>
      <c r="E546" s="1372"/>
      <c r="F546" s="765" t="s">
        <v>2591</v>
      </c>
      <c r="G546" s="837">
        <v>539507.80500000005</v>
      </c>
      <c r="H546" s="837">
        <v>3493222.7510000002</v>
      </c>
      <c r="I546" s="905"/>
      <c r="J546" s="931">
        <f>J544+1</f>
        <v>271</v>
      </c>
      <c r="K546" s="834" t="s">
        <v>2590</v>
      </c>
      <c r="L546" s="915" t="s">
        <v>1992</v>
      </c>
      <c r="M546" s="908"/>
      <c r="N546" s="908"/>
      <c r="O546" s="908"/>
      <c r="P546" s="908"/>
      <c r="Q546" s="908"/>
      <c r="R546" s="908"/>
      <c r="S546" s="908"/>
      <c r="T546" s="908"/>
      <c r="U546" s="842"/>
      <c r="V546" s="1372"/>
      <c r="W546" s="916">
        <v>232.34399999999999</v>
      </c>
      <c r="X546" s="765" t="s">
        <v>2591</v>
      </c>
      <c r="Y546" s="837">
        <v>539507.80500000005</v>
      </c>
      <c r="Z546" s="837">
        <v>3493222.7510000002</v>
      </c>
      <c r="AA546" s="838"/>
    </row>
    <row r="547" spans="1:27">
      <c r="A547" s="908"/>
      <c r="B547" s="893"/>
      <c r="C547" s="893"/>
      <c r="D547" s="893">
        <v>232.30099999999999</v>
      </c>
      <c r="E547" s="1372">
        <f>D547</f>
        <v>232.30099999999999</v>
      </c>
      <c r="F547" s="765"/>
      <c r="G547" s="893"/>
      <c r="H547" s="893"/>
      <c r="I547" s="905"/>
      <c r="J547" s="908"/>
      <c r="K547" s="893"/>
      <c r="L547" s="915"/>
      <c r="M547" s="908"/>
      <c r="N547" s="908"/>
      <c r="O547" s="908"/>
      <c r="P547" s="908"/>
      <c r="Q547" s="908"/>
      <c r="R547" s="908"/>
      <c r="S547" s="908"/>
      <c r="T547" s="908"/>
      <c r="U547" s="916">
        <v>232.30099999999999</v>
      </c>
      <c r="V547" s="1372">
        <f>U547</f>
        <v>232.30099999999999</v>
      </c>
      <c r="W547" s="916"/>
      <c r="X547" s="765"/>
      <c r="Y547" s="893"/>
      <c r="Z547" s="893"/>
      <c r="AA547" s="894" t="s">
        <v>2615</v>
      </c>
    </row>
    <row r="548" spans="1:27">
      <c r="A548" s="931">
        <f>A546+1</f>
        <v>272</v>
      </c>
      <c r="B548" s="834" t="s">
        <v>2592</v>
      </c>
      <c r="C548" s="834" t="s">
        <v>1992</v>
      </c>
      <c r="D548" s="837"/>
      <c r="E548" s="1372"/>
      <c r="F548" s="765" t="s">
        <v>2593</v>
      </c>
      <c r="G548" s="838">
        <v>539379.397</v>
      </c>
      <c r="H548" s="838">
        <v>3493029.1660000002</v>
      </c>
      <c r="I548" s="905"/>
      <c r="J548" s="931">
        <f>J546+1</f>
        <v>272</v>
      </c>
      <c r="K548" s="834" t="s">
        <v>2592</v>
      </c>
      <c r="L548" s="915" t="s">
        <v>1992</v>
      </c>
      <c r="M548" s="908"/>
      <c r="N548" s="908"/>
      <c r="O548" s="908"/>
      <c r="P548" s="908"/>
      <c r="Q548" s="908"/>
      <c r="R548" s="908"/>
      <c r="S548" s="908"/>
      <c r="T548" s="908"/>
      <c r="U548" s="842"/>
      <c r="V548" s="1372"/>
      <c r="W548" s="916">
        <v>232.15799999999999</v>
      </c>
      <c r="X548" s="765" t="s">
        <v>2593</v>
      </c>
      <c r="Y548" s="838">
        <v>539379.397</v>
      </c>
      <c r="Z548" s="838">
        <v>3493029.1660000002</v>
      </c>
      <c r="AA548" s="838"/>
    </row>
    <row r="549" spans="1:27">
      <c r="A549" s="908"/>
      <c r="B549" s="893"/>
      <c r="C549" s="893"/>
      <c r="D549" s="893">
        <v>474.983</v>
      </c>
      <c r="E549" s="1372">
        <f>D549</f>
        <v>474.983</v>
      </c>
      <c r="F549" s="765"/>
      <c r="G549" s="893"/>
      <c r="H549" s="893"/>
      <c r="I549" s="905"/>
      <c r="J549" s="908"/>
      <c r="K549" s="893"/>
      <c r="L549" s="915"/>
      <c r="M549" s="908"/>
      <c r="N549" s="908"/>
      <c r="O549" s="908"/>
      <c r="P549" s="908"/>
      <c r="Q549" s="908"/>
      <c r="R549" s="908"/>
      <c r="S549" s="908"/>
      <c r="T549" s="908"/>
      <c r="U549" s="916">
        <v>474.983</v>
      </c>
      <c r="V549" s="1372">
        <f>U549</f>
        <v>474.983</v>
      </c>
      <c r="W549" s="916"/>
      <c r="X549" s="765"/>
      <c r="Y549" s="893"/>
      <c r="Z549" s="893"/>
      <c r="AA549" s="894" t="s">
        <v>2616</v>
      </c>
    </row>
    <row r="550" spans="1:27">
      <c r="A550" s="931">
        <f>A548+1</f>
        <v>273</v>
      </c>
      <c r="B550" s="55" t="s">
        <v>2594</v>
      </c>
      <c r="C550" s="55" t="s">
        <v>1277</v>
      </c>
      <c r="D550" s="840"/>
      <c r="E550" s="1372"/>
      <c r="F550" s="830" t="s">
        <v>2595</v>
      </c>
      <c r="G550" s="837">
        <v>539289.54</v>
      </c>
      <c r="H550" s="837">
        <v>3492562.76</v>
      </c>
      <c r="I550" s="905"/>
      <c r="J550" s="931">
        <f>J548+1</f>
        <v>273</v>
      </c>
      <c r="K550" s="55" t="s">
        <v>2594</v>
      </c>
      <c r="L550" s="915" t="s">
        <v>1277</v>
      </c>
      <c r="M550" s="908"/>
      <c r="N550" s="908"/>
      <c r="O550" s="908"/>
      <c r="P550" s="908"/>
      <c r="Q550" s="908"/>
      <c r="R550" s="908"/>
      <c r="S550" s="908"/>
      <c r="T550" s="908"/>
      <c r="U550" s="842"/>
      <c r="V550" s="1372"/>
      <c r="W550" s="916">
        <v>232.18700000000001</v>
      </c>
      <c r="X550" s="830" t="s">
        <v>2595</v>
      </c>
      <c r="Y550" s="837">
        <v>539289.54</v>
      </c>
      <c r="Z550" s="837">
        <v>3492562.76</v>
      </c>
      <c r="AA550" s="837"/>
    </row>
    <row r="551" spans="1:27">
      <c r="A551" s="908"/>
      <c r="B551" s="893"/>
      <c r="C551" s="893"/>
      <c r="D551" s="914">
        <v>322.58800000000002</v>
      </c>
      <c r="E551" s="1372">
        <f>D551+D553+D555</f>
        <v>938.20699999999999</v>
      </c>
      <c r="F551" s="830"/>
      <c r="G551" s="893"/>
      <c r="H551" s="893"/>
      <c r="I551" s="905"/>
      <c r="J551" s="908"/>
      <c r="K551" s="893"/>
      <c r="L551" s="915"/>
      <c r="M551" s="908"/>
      <c r="N551" s="908"/>
      <c r="O551" s="908"/>
      <c r="P551" s="908"/>
      <c r="Q551" s="908"/>
      <c r="R551" s="908"/>
      <c r="S551" s="908"/>
      <c r="T551" s="908"/>
      <c r="U551" s="916">
        <v>322.58800000000002</v>
      </c>
      <c r="V551" s="1372">
        <f>U551+U553+U555</f>
        <v>938.20699999999999</v>
      </c>
      <c r="W551" s="916"/>
      <c r="X551" s="830"/>
      <c r="Y551" s="893"/>
      <c r="Z551" s="893"/>
      <c r="AA551" s="894" t="s">
        <v>2617</v>
      </c>
    </row>
    <row r="552" spans="1:27">
      <c r="A552" s="931">
        <f>A550+1</f>
        <v>274</v>
      </c>
      <c r="B552" s="834" t="s">
        <v>2596</v>
      </c>
      <c r="C552" s="834" t="s">
        <v>76</v>
      </c>
      <c r="D552" s="838"/>
      <c r="E552" s="1372"/>
      <c r="F552" s="830"/>
      <c r="G552" s="837">
        <v>539364.16200000001</v>
      </c>
      <c r="H552" s="837">
        <v>3492248.9219999998</v>
      </c>
      <c r="I552" s="905"/>
      <c r="J552" s="931">
        <f>J550+1</f>
        <v>274</v>
      </c>
      <c r="K552" s="834" t="s">
        <v>2596</v>
      </c>
      <c r="L552" s="915" t="s">
        <v>76</v>
      </c>
      <c r="M552" s="908"/>
      <c r="N552" s="908"/>
      <c r="O552" s="908"/>
      <c r="P552" s="908"/>
      <c r="Q552" s="908"/>
      <c r="R552" s="908"/>
      <c r="S552" s="908"/>
      <c r="T552" s="908"/>
      <c r="U552" s="841"/>
      <c r="V552" s="1372"/>
      <c r="W552" s="916">
        <v>231.72900000000001</v>
      </c>
      <c r="X552" s="830"/>
      <c r="Y552" s="837">
        <v>539364.16200000001</v>
      </c>
      <c r="Z552" s="837">
        <v>3492248.9219999998</v>
      </c>
      <c r="AA552" s="837"/>
    </row>
    <row r="553" spans="1:27">
      <c r="A553" s="908"/>
      <c r="B553" s="893"/>
      <c r="C553" s="893"/>
      <c r="D553" s="893">
        <v>317.88400000000001</v>
      </c>
      <c r="E553" s="1372"/>
      <c r="F553" s="830"/>
      <c r="G553" s="893"/>
      <c r="H553" s="893"/>
      <c r="I553" s="905"/>
      <c r="J553" s="908"/>
      <c r="K553" s="893"/>
      <c r="L553" s="915"/>
      <c r="M553" s="908"/>
      <c r="N553" s="908"/>
      <c r="O553" s="908"/>
      <c r="P553" s="908"/>
      <c r="Q553" s="908"/>
      <c r="R553" s="908"/>
      <c r="S553" s="908"/>
      <c r="T553" s="908"/>
      <c r="U553" s="916">
        <v>317.88400000000001</v>
      </c>
      <c r="V553" s="1372"/>
      <c r="W553" s="916"/>
      <c r="X553" s="830"/>
      <c r="Y553" s="893"/>
      <c r="Z553" s="893"/>
      <c r="AA553" s="894"/>
    </row>
    <row r="554" spans="1:27">
      <c r="A554" s="931">
        <f>A552+1</f>
        <v>275</v>
      </c>
      <c r="B554" s="55" t="s">
        <v>2597</v>
      </c>
      <c r="C554" s="55" t="s">
        <v>76</v>
      </c>
      <c r="D554" s="837"/>
      <c r="E554" s="1372"/>
      <c r="F554" s="830"/>
      <c r="G554" s="837">
        <v>539437.69700000004</v>
      </c>
      <c r="H554" s="837">
        <v>3491939.66</v>
      </c>
      <c r="I554" s="905"/>
      <c r="J554" s="931">
        <f>J552+1</f>
        <v>275</v>
      </c>
      <c r="K554" s="55" t="s">
        <v>2597</v>
      </c>
      <c r="L554" s="915" t="s">
        <v>76</v>
      </c>
      <c r="M554" s="908"/>
      <c r="N554" s="908"/>
      <c r="O554" s="908"/>
      <c r="P554" s="908"/>
      <c r="Q554" s="908"/>
      <c r="R554" s="908"/>
      <c r="S554" s="908"/>
      <c r="T554" s="908"/>
      <c r="U554" s="842"/>
      <c r="V554" s="1372"/>
      <c r="W554" s="916">
        <v>232.06700000000001</v>
      </c>
      <c r="X554" s="830"/>
      <c r="Y554" s="837">
        <v>539437.69700000004</v>
      </c>
      <c r="Z554" s="837">
        <v>3491939.66</v>
      </c>
      <c r="AA554" s="837"/>
    </row>
    <row r="555" spans="1:27">
      <c r="A555" s="908"/>
      <c r="B555" s="893"/>
      <c r="C555" s="893"/>
      <c r="D555" s="893">
        <v>297.73500000000001</v>
      </c>
      <c r="E555" s="1372"/>
      <c r="F555" s="928"/>
      <c r="G555" s="893"/>
      <c r="H555" s="893"/>
      <c r="I555" s="905"/>
      <c r="J555" s="908"/>
      <c r="K555" s="893"/>
      <c r="L555" s="915"/>
      <c r="M555" s="908"/>
      <c r="N555" s="908"/>
      <c r="O555" s="908"/>
      <c r="P555" s="908"/>
      <c r="Q555" s="908"/>
      <c r="R555" s="908"/>
      <c r="S555" s="908"/>
      <c r="T555" s="908"/>
      <c r="U555" s="916">
        <v>297.73500000000001</v>
      </c>
      <c r="V555" s="1372"/>
      <c r="W555" s="916"/>
      <c r="X555" s="928"/>
      <c r="Y555" s="893"/>
      <c r="Z555" s="893"/>
      <c r="AA555" s="894"/>
    </row>
    <row r="556" spans="1:27">
      <c r="A556" s="931">
        <f>A554+1</f>
        <v>276</v>
      </c>
      <c r="B556" s="834" t="s">
        <v>2598</v>
      </c>
      <c r="C556" s="834" t="s">
        <v>1277</v>
      </c>
      <c r="D556" s="838"/>
      <c r="E556" s="1372"/>
      <c r="F556" s="765" t="s">
        <v>2599</v>
      </c>
      <c r="G556" s="838">
        <v>539506.56999999995</v>
      </c>
      <c r="H556" s="838">
        <v>3491650</v>
      </c>
      <c r="I556" s="905"/>
      <c r="J556" s="931">
        <f>J554+1</f>
        <v>276</v>
      </c>
      <c r="K556" s="834" t="s">
        <v>2598</v>
      </c>
      <c r="L556" s="915" t="s">
        <v>1277</v>
      </c>
      <c r="M556" s="908"/>
      <c r="N556" s="908"/>
      <c r="O556" s="908"/>
      <c r="P556" s="908"/>
      <c r="Q556" s="908"/>
      <c r="R556" s="908"/>
      <c r="S556" s="908"/>
      <c r="T556" s="908"/>
      <c r="U556" s="841"/>
      <c r="V556" s="1372"/>
      <c r="W556" s="916">
        <v>231.965</v>
      </c>
      <c r="X556" s="765" t="s">
        <v>2599</v>
      </c>
      <c r="Y556" s="838">
        <v>539506.56999999995</v>
      </c>
      <c r="Z556" s="838">
        <v>3491650</v>
      </c>
      <c r="AA556" s="838"/>
    </row>
    <row r="557" spans="1:27">
      <c r="A557" s="908"/>
      <c r="B557" s="893"/>
      <c r="C557" s="893"/>
      <c r="D557" s="893">
        <v>357.24900000000002</v>
      </c>
      <c r="E557" s="1373">
        <f>D557+D559+D561</f>
        <v>1117.048</v>
      </c>
      <c r="F557" s="928"/>
      <c r="G557" s="893"/>
      <c r="H557" s="893"/>
      <c r="I557" s="905"/>
      <c r="J557" s="908"/>
      <c r="K557" s="893"/>
      <c r="L557" s="915"/>
      <c r="M557" s="908"/>
      <c r="N557" s="908"/>
      <c r="O557" s="908"/>
      <c r="P557" s="908"/>
      <c r="Q557" s="908"/>
      <c r="R557" s="908"/>
      <c r="S557" s="908"/>
      <c r="T557" s="908"/>
      <c r="U557" s="916">
        <v>357.24900000000002</v>
      </c>
      <c r="V557" s="1373">
        <f>U557+U559+U561</f>
        <v>1117.048</v>
      </c>
      <c r="W557" s="916"/>
      <c r="X557" s="928"/>
      <c r="Y557" s="893"/>
      <c r="Z557" s="893"/>
      <c r="AA557" s="894"/>
    </row>
    <row r="558" spans="1:27">
      <c r="A558" s="931">
        <f>A556+1</f>
        <v>277</v>
      </c>
      <c r="B558" s="55" t="s">
        <v>2600</v>
      </c>
      <c r="C558" s="55" t="s">
        <v>76</v>
      </c>
      <c r="D558" s="837"/>
      <c r="E558" s="1373"/>
      <c r="F558" s="830"/>
      <c r="G558" s="837">
        <v>539434.77899999998</v>
      </c>
      <c r="H558" s="837">
        <v>3491300.0389999999</v>
      </c>
      <c r="I558" s="905"/>
      <c r="J558" s="931">
        <f>J556+1</f>
        <v>277</v>
      </c>
      <c r="K558" s="55" t="s">
        <v>2600</v>
      </c>
      <c r="L558" s="915" t="s">
        <v>76</v>
      </c>
      <c r="M558" s="908"/>
      <c r="N558" s="908"/>
      <c r="O558" s="908"/>
      <c r="P558" s="908"/>
      <c r="Q558" s="908"/>
      <c r="R558" s="908"/>
      <c r="S558" s="908"/>
      <c r="T558" s="908"/>
      <c r="U558" s="842"/>
      <c r="V558" s="1373"/>
      <c r="W558" s="916">
        <v>231.64500000000001</v>
      </c>
      <c r="X558" s="830"/>
      <c r="Y558" s="837">
        <v>539434.77899999998</v>
      </c>
      <c r="Z558" s="837">
        <v>3491300.0389999999</v>
      </c>
      <c r="AA558" s="837"/>
    </row>
    <row r="559" spans="1:27">
      <c r="A559" s="908"/>
      <c r="B559" s="893"/>
      <c r="C559" s="893"/>
      <c r="D559" s="893">
        <v>353.03199999999998</v>
      </c>
      <c r="E559" s="1373"/>
      <c r="F559" s="928"/>
      <c r="G559" s="893"/>
      <c r="H559" s="893"/>
      <c r="I559" s="905"/>
      <c r="J559" s="908"/>
      <c r="K559" s="893"/>
      <c r="L559" s="915"/>
      <c r="M559" s="908"/>
      <c r="N559" s="908"/>
      <c r="O559" s="908"/>
      <c r="P559" s="908"/>
      <c r="Q559" s="908"/>
      <c r="R559" s="908"/>
      <c r="S559" s="908"/>
      <c r="T559" s="908"/>
      <c r="U559" s="916">
        <v>353.03199999999998</v>
      </c>
      <c r="V559" s="1373"/>
      <c r="W559" s="916"/>
      <c r="X559" s="928"/>
      <c r="Y559" s="893"/>
      <c r="Z559" s="893"/>
      <c r="AA559" s="894" t="s">
        <v>2618</v>
      </c>
    </row>
    <row r="560" spans="1:27">
      <c r="A560" s="931">
        <f>A558+1</f>
        <v>278</v>
      </c>
      <c r="B560" s="834" t="s">
        <v>2601</v>
      </c>
      <c r="C560" s="834" t="s">
        <v>62</v>
      </c>
      <c r="D560" s="837"/>
      <c r="E560" s="1373"/>
      <c r="F560" s="830"/>
      <c r="G560" s="837">
        <v>539363.83499999996</v>
      </c>
      <c r="H560" s="837">
        <v>3490954.2089999998</v>
      </c>
      <c r="I560" s="905"/>
      <c r="J560" s="931">
        <f>J558+1</f>
        <v>278</v>
      </c>
      <c r="K560" s="834" t="s">
        <v>2601</v>
      </c>
      <c r="L560" s="915" t="s">
        <v>62</v>
      </c>
      <c r="M560" s="908"/>
      <c r="N560" s="908"/>
      <c r="O560" s="908"/>
      <c r="P560" s="908"/>
      <c r="Q560" s="908"/>
      <c r="R560" s="908"/>
      <c r="S560" s="908"/>
      <c r="T560" s="908"/>
      <c r="U560" s="842"/>
      <c r="V560" s="1373"/>
      <c r="W560" s="916">
        <v>231.55600000000001</v>
      </c>
      <c r="X560" s="830"/>
      <c r="Y560" s="837">
        <v>539363.83499999996</v>
      </c>
      <c r="Z560" s="837">
        <v>3490954.2089999998</v>
      </c>
      <c r="AA560" s="837"/>
    </row>
    <row r="561" spans="1:27">
      <c r="A561" s="908"/>
      <c r="B561" s="893"/>
      <c r="C561" s="893"/>
      <c r="D561" s="893">
        <v>406.767</v>
      </c>
      <c r="E561" s="1373"/>
      <c r="F561" s="833"/>
      <c r="G561" s="893"/>
      <c r="H561" s="893"/>
      <c r="I561" s="905"/>
      <c r="J561" s="908"/>
      <c r="K561" s="893"/>
      <c r="L561" s="915"/>
      <c r="M561" s="908"/>
      <c r="N561" s="908"/>
      <c r="O561" s="908"/>
      <c r="P561" s="908"/>
      <c r="Q561" s="908"/>
      <c r="R561" s="908"/>
      <c r="S561" s="908"/>
      <c r="T561" s="908"/>
      <c r="U561" s="916">
        <v>406.767</v>
      </c>
      <c r="V561" s="1373"/>
      <c r="W561" s="916"/>
      <c r="X561" s="833"/>
      <c r="Y561" s="893"/>
      <c r="Z561" s="893"/>
      <c r="AA561" s="894" t="s">
        <v>2569</v>
      </c>
    </row>
    <row r="562" spans="1:27">
      <c r="A562" s="931">
        <f>A560+1</f>
        <v>279</v>
      </c>
      <c r="B562" s="834" t="s">
        <v>2602</v>
      </c>
      <c r="C562" s="834" t="s">
        <v>1319</v>
      </c>
      <c r="D562" s="837"/>
      <c r="E562" s="1373"/>
      <c r="F562" s="833" t="s">
        <v>2603</v>
      </c>
      <c r="G562" s="837">
        <v>539282.09199999995</v>
      </c>
      <c r="H562" s="837">
        <v>3490555.74</v>
      </c>
      <c r="I562" s="905"/>
      <c r="J562" s="931">
        <f>J560+1</f>
        <v>279</v>
      </c>
      <c r="K562" s="834" t="s">
        <v>2602</v>
      </c>
      <c r="L562" s="915" t="s">
        <v>1319</v>
      </c>
      <c r="M562" s="908"/>
      <c r="N562" s="908"/>
      <c r="O562" s="908"/>
      <c r="P562" s="908"/>
      <c r="Q562" s="908"/>
      <c r="R562" s="908"/>
      <c r="S562" s="908"/>
      <c r="T562" s="908"/>
      <c r="U562" s="842"/>
      <c r="V562" s="1373"/>
      <c r="W562" s="916">
        <v>231.49100000000001</v>
      </c>
      <c r="X562" s="833" t="s">
        <v>2619</v>
      </c>
      <c r="Y562" s="837">
        <v>539282.09199999995</v>
      </c>
      <c r="Z562" s="837">
        <v>3490555.74</v>
      </c>
      <c r="AA562" s="838"/>
    </row>
    <row r="563" spans="1:27">
      <c r="A563" s="908"/>
      <c r="B563" s="893"/>
      <c r="C563" s="893"/>
      <c r="D563" s="893">
        <v>392.39400000000001</v>
      </c>
      <c r="E563" s="1373">
        <f>D563+D565+D567+D569+D571</f>
        <v>1861.6020000000001</v>
      </c>
      <c r="F563" s="833"/>
      <c r="G563" s="893"/>
      <c r="H563" s="893"/>
      <c r="I563" s="905"/>
      <c r="J563" s="908"/>
      <c r="K563" s="893"/>
      <c r="L563" s="915"/>
      <c r="M563" s="908"/>
      <c r="N563" s="908"/>
      <c r="O563" s="908"/>
      <c r="P563" s="908"/>
      <c r="Q563" s="908"/>
      <c r="R563" s="908"/>
      <c r="S563" s="908"/>
      <c r="T563" s="908"/>
      <c r="U563" s="916">
        <v>392.39400000000001</v>
      </c>
      <c r="V563" s="1373">
        <f>U563+U565+U567+U569+U571</f>
        <v>1861.6020000000001</v>
      </c>
      <c r="W563" s="916"/>
      <c r="X563" s="833"/>
      <c r="Y563" s="893"/>
      <c r="Z563" s="893"/>
      <c r="AA563" s="894" t="s">
        <v>2620</v>
      </c>
    </row>
    <row r="564" spans="1:27">
      <c r="A564" s="931">
        <f>A562+1</f>
        <v>280</v>
      </c>
      <c r="B564" s="55" t="s">
        <v>2604</v>
      </c>
      <c r="C564" s="55" t="s">
        <v>62</v>
      </c>
      <c r="D564" s="837"/>
      <c r="E564" s="1373"/>
      <c r="F564" s="830"/>
      <c r="G564" s="837">
        <v>539466.61699999997</v>
      </c>
      <c r="H564" s="837">
        <v>3490209.44</v>
      </c>
      <c r="I564" s="905"/>
      <c r="J564" s="931">
        <f>J562+1</f>
        <v>280</v>
      </c>
      <c r="K564" s="55" t="s">
        <v>2604</v>
      </c>
      <c r="L564" s="915" t="s">
        <v>62</v>
      </c>
      <c r="M564" s="908"/>
      <c r="N564" s="908"/>
      <c r="O564" s="908"/>
      <c r="P564" s="908"/>
      <c r="Q564" s="908"/>
      <c r="R564" s="908"/>
      <c r="S564" s="908"/>
      <c r="T564" s="908"/>
      <c r="U564" s="842"/>
      <c r="V564" s="1373"/>
      <c r="W564" s="916">
        <v>231.32400000000001</v>
      </c>
      <c r="X564" s="830"/>
      <c r="Y564" s="837">
        <v>539466.61699999997</v>
      </c>
      <c r="Z564" s="837">
        <v>3490209.44</v>
      </c>
      <c r="AA564" s="837"/>
    </row>
    <row r="565" spans="1:27">
      <c r="A565" s="908"/>
      <c r="B565" s="893"/>
      <c r="C565" s="893"/>
      <c r="D565" s="893">
        <v>408.83499999999998</v>
      </c>
      <c r="E565" s="1373"/>
      <c r="F565" s="833"/>
      <c r="G565" s="893"/>
      <c r="H565" s="893"/>
      <c r="I565" s="905"/>
      <c r="J565" s="908"/>
      <c r="K565" s="893"/>
      <c r="L565" s="915"/>
      <c r="M565" s="908"/>
      <c r="N565" s="908"/>
      <c r="O565" s="908"/>
      <c r="P565" s="908"/>
      <c r="Q565" s="908"/>
      <c r="R565" s="908"/>
      <c r="S565" s="908"/>
      <c r="T565" s="908"/>
      <c r="U565" s="916">
        <v>408.83499999999998</v>
      </c>
      <c r="V565" s="1373"/>
      <c r="W565" s="916"/>
      <c r="X565" s="833"/>
      <c r="Y565" s="893"/>
      <c r="Z565" s="893"/>
      <c r="AA565" s="894" t="s">
        <v>2502</v>
      </c>
    </row>
    <row r="566" spans="1:27">
      <c r="A566" s="931">
        <f>A564+1</f>
        <v>281</v>
      </c>
      <c r="B566" s="834" t="s">
        <v>2605</v>
      </c>
      <c r="C566" s="834" t="s">
        <v>76</v>
      </c>
      <c r="D566" s="837"/>
      <c r="E566" s="1373"/>
      <c r="F566" s="830"/>
      <c r="G566" s="837">
        <v>538658.87399999995</v>
      </c>
      <c r="H566" s="837">
        <v>3489848.6310000001</v>
      </c>
      <c r="I566" s="905"/>
      <c r="J566" s="931">
        <f>J564+1</f>
        <v>281</v>
      </c>
      <c r="K566" s="834" t="s">
        <v>2605</v>
      </c>
      <c r="L566" s="915" t="s">
        <v>76</v>
      </c>
      <c r="M566" s="908"/>
      <c r="N566" s="908"/>
      <c r="O566" s="908"/>
      <c r="P566" s="908"/>
      <c r="Q566" s="908"/>
      <c r="R566" s="908"/>
      <c r="S566" s="908"/>
      <c r="T566" s="908"/>
      <c r="U566" s="842"/>
      <c r="V566" s="1373"/>
      <c r="W566" s="916">
        <v>230.851</v>
      </c>
      <c r="X566" s="830"/>
      <c r="Y566" s="837">
        <v>538658.87399999995</v>
      </c>
      <c r="Z566" s="837">
        <v>3489848.6310000001</v>
      </c>
      <c r="AA566" s="837"/>
    </row>
    <row r="567" spans="1:27">
      <c r="A567" s="908"/>
      <c r="B567" s="893"/>
      <c r="C567" s="893"/>
      <c r="D567" s="893">
        <v>343.09100000000001</v>
      </c>
      <c r="E567" s="1373"/>
      <c r="F567" s="833"/>
      <c r="G567" s="893"/>
      <c r="H567" s="893"/>
      <c r="I567" s="905"/>
      <c r="J567" s="908"/>
      <c r="K567" s="893"/>
      <c r="L567" s="915"/>
      <c r="M567" s="908"/>
      <c r="N567" s="908"/>
      <c r="O567" s="908"/>
      <c r="P567" s="908"/>
      <c r="Q567" s="908"/>
      <c r="R567" s="908"/>
      <c r="S567" s="908"/>
      <c r="T567" s="908"/>
      <c r="U567" s="916">
        <v>333.09100000000001</v>
      </c>
      <c r="V567" s="1373"/>
      <c r="W567" s="916"/>
      <c r="X567" s="833"/>
      <c r="Y567" s="893"/>
      <c r="Z567" s="893"/>
      <c r="AA567" s="836" t="s">
        <v>2621</v>
      </c>
    </row>
    <row r="568" spans="1:27" ht="29">
      <c r="A568" s="931">
        <f>A566+1</f>
        <v>282</v>
      </c>
      <c r="B568" s="834" t="s">
        <v>2606</v>
      </c>
      <c r="C568" s="834" t="s">
        <v>76</v>
      </c>
      <c r="D568" s="837"/>
      <c r="E568" s="1373"/>
      <c r="F568" s="833"/>
      <c r="G568" s="837">
        <v>539820.245</v>
      </c>
      <c r="H568" s="837">
        <v>3489545.8429999999</v>
      </c>
      <c r="I568" s="905"/>
      <c r="J568" s="931">
        <f>J566+1</f>
        <v>282</v>
      </c>
      <c r="K568" s="834" t="s">
        <v>2606</v>
      </c>
      <c r="L568" s="893" t="s">
        <v>76</v>
      </c>
      <c r="M568" s="908">
        <v>1</v>
      </c>
      <c r="N568" s="908">
        <v>1</v>
      </c>
      <c r="O568" s="908">
        <v>1</v>
      </c>
      <c r="P568" s="908">
        <v>1</v>
      </c>
      <c r="Q568" s="908"/>
      <c r="R568" s="908"/>
      <c r="S568" s="908"/>
      <c r="T568" s="908"/>
      <c r="U568" s="842"/>
      <c r="V568" s="1373"/>
      <c r="W568" s="916">
        <v>230.40700000000001</v>
      </c>
      <c r="X568" s="833"/>
      <c r="Y568" s="935">
        <v>539815.51199999999</v>
      </c>
      <c r="Z568" s="935">
        <v>3489554.6680000001</v>
      </c>
      <c r="AA568" s="847" t="s">
        <v>2622</v>
      </c>
    </row>
    <row r="569" spans="1:27">
      <c r="A569" s="908"/>
      <c r="B569" s="893"/>
      <c r="C569" s="893"/>
      <c r="D569" s="893">
        <v>333.68299999999999</v>
      </c>
      <c r="E569" s="1373"/>
      <c r="F569" s="833"/>
      <c r="G569" s="893"/>
      <c r="H569" s="893"/>
      <c r="I569" s="905"/>
      <c r="J569" s="908"/>
      <c r="K569" s="893"/>
      <c r="L569" s="915"/>
      <c r="M569" s="908"/>
      <c r="N569" s="908"/>
      <c r="O569" s="908"/>
      <c r="P569" s="908"/>
      <c r="Q569" s="908"/>
      <c r="R569" s="908"/>
      <c r="S569" s="908"/>
      <c r="T569" s="908"/>
      <c r="U569" s="916">
        <v>343.68299999999999</v>
      </c>
      <c r="V569" s="1373"/>
      <c r="W569" s="916"/>
      <c r="X569" s="833"/>
      <c r="Y569" s="893"/>
      <c r="Z569" s="893"/>
      <c r="AA569" s="836" t="s">
        <v>2623</v>
      </c>
    </row>
    <row r="570" spans="1:27">
      <c r="A570" s="931">
        <f>A568+1</f>
        <v>283</v>
      </c>
      <c r="B570" s="834" t="s">
        <v>2607</v>
      </c>
      <c r="C570" s="834" t="s">
        <v>76</v>
      </c>
      <c r="D570" s="837"/>
      <c r="E570" s="1373"/>
      <c r="F570" s="833"/>
      <c r="G570" s="837">
        <v>539977.13100000005</v>
      </c>
      <c r="H570" s="837">
        <v>3489251.3569999998</v>
      </c>
      <c r="I570" s="905"/>
      <c r="J570" s="931">
        <f>J568+1</f>
        <v>283</v>
      </c>
      <c r="K570" s="834" t="s">
        <v>2607</v>
      </c>
      <c r="L570" s="915" t="s">
        <v>76</v>
      </c>
      <c r="M570" s="908"/>
      <c r="N570" s="908"/>
      <c r="O570" s="908"/>
      <c r="P570" s="908"/>
      <c r="Q570" s="908"/>
      <c r="R570" s="908"/>
      <c r="S570" s="908"/>
      <c r="T570" s="908"/>
      <c r="U570" s="842"/>
      <c r="V570" s="1373"/>
      <c r="W570" s="916">
        <v>230.11500000000001</v>
      </c>
      <c r="X570" s="833"/>
      <c r="Y570" s="837">
        <v>539977.13100000005</v>
      </c>
      <c r="Z570" s="837">
        <v>3489251.3569999998</v>
      </c>
      <c r="AA570" s="836"/>
    </row>
    <row r="571" spans="1:27">
      <c r="A571" s="908"/>
      <c r="B571" s="893"/>
      <c r="C571" s="893"/>
      <c r="D571" s="893">
        <v>383.59899999999999</v>
      </c>
      <c r="E571" s="1373"/>
      <c r="F571" s="833"/>
      <c r="G571" s="893"/>
      <c r="H571" s="893"/>
      <c r="I571" s="905"/>
      <c r="J571" s="908"/>
      <c r="K571" s="893"/>
      <c r="L571" s="915"/>
      <c r="M571" s="908"/>
      <c r="N571" s="908"/>
      <c r="O571" s="908"/>
      <c r="P571" s="908"/>
      <c r="Q571" s="908"/>
      <c r="R571" s="908"/>
      <c r="S571" s="908"/>
      <c r="T571" s="908"/>
      <c r="U571" s="916">
        <v>383.59899999999999</v>
      </c>
      <c r="V571" s="1373"/>
      <c r="W571" s="916"/>
      <c r="X571" s="833"/>
      <c r="Y571" s="893"/>
      <c r="Z571" s="893"/>
      <c r="AA571" s="836"/>
    </row>
    <row r="572" spans="1:27">
      <c r="A572" s="931">
        <f>A570+1</f>
        <v>284</v>
      </c>
      <c r="B572" s="834" t="s">
        <v>2608</v>
      </c>
      <c r="C572" s="834" t="s">
        <v>1277</v>
      </c>
      <c r="D572" s="837"/>
      <c r="E572" s="1373"/>
      <c r="F572" s="830" t="s">
        <v>2609</v>
      </c>
      <c r="G572" s="837">
        <v>540157.52</v>
      </c>
      <c r="H572" s="837">
        <v>3488912.82</v>
      </c>
      <c r="I572" s="905"/>
      <c r="J572" s="931">
        <f>J570+1</f>
        <v>284</v>
      </c>
      <c r="K572" s="834" t="s">
        <v>2608</v>
      </c>
      <c r="L572" s="915" t="s">
        <v>1277</v>
      </c>
      <c r="M572" s="908"/>
      <c r="N572" s="908"/>
      <c r="O572" s="908"/>
      <c r="P572" s="908"/>
      <c r="Q572" s="908"/>
      <c r="R572" s="908"/>
      <c r="S572" s="908"/>
      <c r="T572" s="908"/>
      <c r="U572" s="837"/>
      <c r="V572" s="1373"/>
      <c r="W572" s="916">
        <v>230.15</v>
      </c>
      <c r="X572" s="830" t="s">
        <v>2609</v>
      </c>
      <c r="Y572" s="837">
        <v>540157.52</v>
      </c>
      <c r="Z572" s="837">
        <v>3488912.82</v>
      </c>
      <c r="AA572" s="836"/>
    </row>
    <row r="576" spans="1:27">
      <c r="Z576" s="902">
        <f>101-20</f>
        <v>81</v>
      </c>
    </row>
    <row r="577" spans="26:26">
      <c r="Z577" s="902">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9.26953125" style="903" customWidth="1"/>
    <col min="4" max="4" width="9.9062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2658</v>
      </c>
    </row>
    <row r="2" spans="1:27">
      <c r="A2" s="786" t="s">
        <v>2408</v>
      </c>
    </row>
    <row r="3" spans="1:27" s="789" customFormat="1" ht="27.75" customHeight="1">
      <c r="A3" s="1384" t="s">
        <v>1920</v>
      </c>
      <c r="B3" s="1384"/>
      <c r="C3" s="1384"/>
      <c r="D3" s="1384"/>
      <c r="E3" s="1384"/>
      <c r="F3" s="1384"/>
      <c r="G3" s="1384"/>
      <c r="H3" s="1384"/>
      <c r="I3" s="905"/>
      <c r="J3" s="1384" t="s">
        <v>1921</v>
      </c>
      <c r="K3" s="1384"/>
      <c r="L3" s="1384"/>
      <c r="M3" s="1384"/>
      <c r="N3" s="1384"/>
      <c r="O3" s="1384"/>
      <c r="P3" s="1384"/>
      <c r="Q3" s="1384"/>
      <c r="R3" s="1384"/>
      <c r="S3" s="1384"/>
      <c r="T3" s="1384"/>
      <c r="U3" s="1384"/>
      <c r="V3" s="1384"/>
      <c r="W3" s="1384"/>
      <c r="X3" s="1384"/>
      <c r="Y3" s="1384"/>
      <c r="Z3" s="1384"/>
      <c r="AA3" s="1384"/>
    </row>
    <row r="4" spans="1:27" s="791" customFormat="1" ht="20" customHeight="1">
      <c r="A4" s="1382" t="s">
        <v>1922</v>
      </c>
      <c r="B4" s="1382" t="s">
        <v>1923</v>
      </c>
      <c r="C4" s="1382" t="s">
        <v>1924</v>
      </c>
      <c r="D4" s="1382" t="s">
        <v>1925</v>
      </c>
      <c r="E4" s="1382" t="s">
        <v>1926</v>
      </c>
      <c r="F4" s="1382" t="s">
        <v>1927</v>
      </c>
      <c r="G4" s="1382" t="s">
        <v>1928</v>
      </c>
      <c r="H4" s="1382"/>
      <c r="I4" s="905"/>
      <c r="J4" s="1382" t="s">
        <v>1922</v>
      </c>
      <c r="K4" s="1382" t="s">
        <v>1923</v>
      </c>
      <c r="L4" s="1382" t="s">
        <v>1924</v>
      </c>
      <c r="M4" s="1382" t="s">
        <v>1000</v>
      </c>
      <c r="N4" s="1382"/>
      <c r="O4" s="1382"/>
      <c r="P4" s="1382"/>
      <c r="Q4" s="1382" t="s">
        <v>1929</v>
      </c>
      <c r="R4" s="1382"/>
      <c r="S4" s="1382"/>
      <c r="T4" s="1382"/>
      <c r="U4" s="1383" t="s">
        <v>1925</v>
      </c>
      <c r="V4" s="1383" t="s">
        <v>1926</v>
      </c>
      <c r="W4" s="1385" t="s">
        <v>1930</v>
      </c>
      <c r="X4" s="1382" t="s">
        <v>1927</v>
      </c>
      <c r="Y4" s="1382" t="s">
        <v>1928</v>
      </c>
      <c r="Z4" s="1382"/>
      <c r="AA4" s="1382" t="s">
        <v>1931</v>
      </c>
    </row>
    <row r="5" spans="1:27" s="791" customFormat="1" ht="12" customHeight="1">
      <c r="A5" s="1382"/>
      <c r="B5" s="1382"/>
      <c r="C5" s="1382"/>
      <c r="D5" s="1382"/>
      <c r="E5" s="1382"/>
      <c r="F5" s="1382"/>
      <c r="G5" s="792" t="s">
        <v>1932</v>
      </c>
      <c r="H5" s="792" t="s">
        <v>1933</v>
      </c>
      <c r="I5" s="905"/>
      <c r="J5" s="1382"/>
      <c r="K5" s="1382"/>
      <c r="L5" s="1382"/>
      <c r="M5" s="790" t="s">
        <v>1934</v>
      </c>
      <c r="N5" s="790" t="s">
        <v>1935</v>
      </c>
      <c r="O5" s="790" t="s">
        <v>1936</v>
      </c>
      <c r="P5" s="790" t="s">
        <v>1937</v>
      </c>
      <c r="Q5" s="790" t="s">
        <v>1934</v>
      </c>
      <c r="R5" s="790" t="s">
        <v>1935</v>
      </c>
      <c r="S5" s="790" t="s">
        <v>1936</v>
      </c>
      <c r="T5" s="790" t="s">
        <v>1937</v>
      </c>
      <c r="U5" s="1383"/>
      <c r="V5" s="1383"/>
      <c r="W5" s="1385"/>
      <c r="X5" s="1382"/>
      <c r="Y5" s="792" t="s">
        <v>1932</v>
      </c>
      <c r="Z5" s="792" t="s">
        <v>1933</v>
      </c>
      <c r="AA5" s="1382"/>
    </row>
    <row r="6" spans="1:27" s="791" customFormat="1" ht="12" customHeight="1">
      <c r="A6" s="906">
        <v>1</v>
      </c>
      <c r="B6" s="55" t="s">
        <v>2822</v>
      </c>
      <c r="C6" s="55" t="s">
        <v>1957</v>
      </c>
      <c r="D6" s="55"/>
      <c r="E6" s="55">
        <v>0</v>
      </c>
      <c r="F6" s="55" t="s">
        <v>2823</v>
      </c>
      <c r="G6" s="55">
        <v>515334.46600000001</v>
      </c>
      <c r="H6" s="55">
        <v>3621567.1529999999</v>
      </c>
      <c r="I6" s="905"/>
      <c r="J6" s="906">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2"/>
    </row>
    <row r="7" spans="1:27" s="791" customFormat="1" ht="12" customHeight="1">
      <c r="A7" s="906"/>
      <c r="B7" s="55"/>
      <c r="C7" s="55"/>
      <c r="D7" s="55">
        <v>361.04399999999998</v>
      </c>
      <c r="E7" s="55"/>
      <c r="F7" s="55"/>
      <c r="G7" s="55"/>
      <c r="H7" s="55"/>
      <c r="I7" s="905"/>
      <c r="J7" s="906"/>
      <c r="K7" s="55"/>
      <c r="L7" s="55"/>
      <c r="M7" s="55"/>
      <c r="N7" s="55"/>
      <c r="O7" s="55"/>
      <c r="P7" s="55"/>
      <c r="Q7" s="55"/>
      <c r="R7" s="55"/>
      <c r="S7" s="55"/>
      <c r="T7" s="55"/>
      <c r="U7" s="55">
        <v>340.27699999999999</v>
      </c>
      <c r="V7" s="55"/>
      <c r="W7" s="55"/>
      <c r="X7" s="55"/>
      <c r="Y7" s="55"/>
      <c r="Z7" s="55"/>
      <c r="AA7" s="852"/>
    </row>
    <row r="8" spans="1:27" s="791" customFormat="1" ht="12" customHeight="1">
      <c r="A8" s="906">
        <v>2</v>
      </c>
      <c r="B8" s="55" t="s">
        <v>2824</v>
      </c>
      <c r="C8" s="55" t="s">
        <v>2236</v>
      </c>
      <c r="D8" s="55"/>
      <c r="E8" s="55">
        <f t="shared" ref="E8" si="0">E6+D7</f>
        <v>361.04399999999998</v>
      </c>
      <c r="F8" s="55" t="s">
        <v>2825</v>
      </c>
      <c r="G8" s="55">
        <v>515034.27100000001</v>
      </c>
      <c r="H8" s="55">
        <v>3621767.7420000001</v>
      </c>
      <c r="I8" s="905"/>
      <c r="J8" s="906">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2" t="s">
        <v>2842</v>
      </c>
    </row>
    <row r="9" spans="1:27" s="791" customFormat="1" ht="12" customHeight="1">
      <c r="A9" s="906"/>
      <c r="B9" s="55"/>
      <c r="C9" s="55"/>
      <c r="D9" s="55">
        <v>374.11399999999998</v>
      </c>
      <c r="E9" s="55"/>
      <c r="F9" s="55"/>
      <c r="G9" s="55"/>
      <c r="H9" s="55"/>
      <c r="I9" s="905"/>
      <c r="J9" s="906"/>
      <c r="K9" s="55"/>
      <c r="L9" s="55"/>
      <c r="M9" s="55"/>
      <c r="N9" s="55"/>
      <c r="O9" s="55"/>
      <c r="P9" s="55"/>
      <c r="Q9" s="55"/>
      <c r="R9" s="55"/>
      <c r="S9" s="55"/>
      <c r="T9" s="55"/>
      <c r="U9" s="55">
        <v>392.25099999999998</v>
      </c>
      <c r="V9" s="55"/>
      <c r="W9" s="55"/>
      <c r="X9" s="55"/>
      <c r="Y9" s="55"/>
      <c r="Z9" s="55"/>
      <c r="AA9" s="852" t="s">
        <v>2843</v>
      </c>
    </row>
    <row r="10" spans="1:27" s="791" customFormat="1" ht="12" customHeight="1">
      <c r="A10" s="906">
        <v>3</v>
      </c>
      <c r="B10" s="55" t="s">
        <v>2826</v>
      </c>
      <c r="C10" s="55" t="s">
        <v>1999</v>
      </c>
      <c r="D10" s="55"/>
      <c r="E10" s="55">
        <f t="shared" ref="E10" si="2">E8+D9</f>
        <v>735.1579999999999</v>
      </c>
      <c r="F10" s="55" t="s">
        <v>2827</v>
      </c>
      <c r="G10" s="55">
        <v>514878.54399999999</v>
      </c>
      <c r="H10" s="55">
        <v>3622107.9040000001</v>
      </c>
      <c r="I10" s="905"/>
      <c r="J10" s="906">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2"/>
    </row>
    <row r="11" spans="1:27" s="791" customFormat="1" ht="12" customHeight="1">
      <c r="A11" s="906"/>
      <c r="B11" s="55"/>
      <c r="C11" s="55"/>
      <c r="D11" s="55">
        <v>148.51</v>
      </c>
      <c r="E11" s="55"/>
      <c r="F11" s="55"/>
      <c r="G11" s="55"/>
      <c r="H11" s="55"/>
      <c r="I11" s="905"/>
      <c r="J11" s="906"/>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6">
        <v>4</v>
      </c>
      <c r="B12" s="55" t="s">
        <v>2828</v>
      </c>
      <c r="C12" s="55" t="s">
        <v>2221</v>
      </c>
      <c r="D12" s="55"/>
      <c r="E12" s="55">
        <f t="shared" ref="E12" si="4">E10+D11</f>
        <v>883.66799999999989</v>
      </c>
      <c r="F12" s="55" t="s">
        <v>2829</v>
      </c>
      <c r="G12" s="55">
        <v>514747.98300000001</v>
      </c>
      <c r="H12" s="55">
        <v>3622178.679</v>
      </c>
      <c r="I12" s="905"/>
      <c r="J12" s="906">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2"/>
    </row>
    <row r="13" spans="1:27" s="791" customFormat="1" ht="12" customHeight="1">
      <c r="A13" s="906"/>
      <c r="B13" s="55"/>
      <c r="C13" s="55"/>
      <c r="D13" s="55">
        <v>195.92599999999999</v>
      </c>
      <c r="E13" s="55"/>
      <c r="F13" s="55"/>
      <c r="G13" s="55"/>
      <c r="H13" s="55"/>
      <c r="I13" s="905"/>
      <c r="J13" s="906"/>
      <c r="K13" s="55"/>
      <c r="L13" s="55"/>
      <c r="M13" s="55"/>
      <c r="N13" s="55"/>
      <c r="O13" s="55"/>
      <c r="P13" s="55"/>
      <c r="Q13" s="55"/>
      <c r="R13" s="55"/>
      <c r="S13" s="55"/>
      <c r="T13" s="55"/>
      <c r="U13" s="55">
        <v>195.92599999999999</v>
      </c>
      <c r="V13" s="55"/>
      <c r="W13" s="55"/>
      <c r="X13" s="55"/>
      <c r="Y13" s="55"/>
      <c r="Z13" s="55"/>
      <c r="AA13" s="852" t="s">
        <v>2846</v>
      </c>
    </row>
    <row r="14" spans="1:27" s="791" customFormat="1" ht="12" customHeight="1">
      <c r="A14" s="906">
        <v>5</v>
      </c>
      <c r="B14" s="55" t="s">
        <v>2830</v>
      </c>
      <c r="C14" s="55" t="s">
        <v>2221</v>
      </c>
      <c r="D14" s="55"/>
      <c r="E14" s="55">
        <f t="shared" ref="E14" si="6">E12+D13</f>
        <v>1079.5939999999998</v>
      </c>
      <c r="F14" s="55" t="s">
        <v>2831</v>
      </c>
      <c r="G14" s="55">
        <v>514564.89199999999</v>
      </c>
      <c r="H14" s="55">
        <v>3622108.932</v>
      </c>
      <c r="I14" s="905"/>
      <c r="J14" s="906">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2"/>
    </row>
    <row r="15" spans="1:27" s="791" customFormat="1" ht="12" customHeight="1">
      <c r="A15" s="906"/>
      <c r="B15" s="55"/>
      <c r="C15" s="55"/>
      <c r="D15" s="55">
        <v>194.62700000000001</v>
      </c>
      <c r="E15" s="55"/>
      <c r="F15" s="55"/>
      <c r="G15" s="55"/>
      <c r="H15" s="55"/>
      <c r="I15" s="905"/>
      <c r="J15" s="906"/>
      <c r="K15" s="55"/>
      <c r="L15" s="55"/>
      <c r="M15" s="55"/>
      <c r="N15" s="55"/>
      <c r="O15" s="55"/>
      <c r="P15" s="55"/>
      <c r="Q15" s="55"/>
      <c r="R15" s="55"/>
      <c r="S15" s="55"/>
      <c r="T15" s="55"/>
      <c r="U15" s="55">
        <v>194.62299999999999</v>
      </c>
      <c r="V15" s="55"/>
      <c r="W15" s="55"/>
      <c r="X15" s="55"/>
      <c r="Y15" s="55"/>
      <c r="Z15" s="55"/>
      <c r="AA15" s="852" t="s">
        <v>2848</v>
      </c>
    </row>
    <row r="16" spans="1:27" s="791" customFormat="1" ht="12" customHeight="1">
      <c r="A16" s="906">
        <v>6</v>
      </c>
      <c r="B16" s="55" t="s">
        <v>2832</v>
      </c>
      <c r="C16" s="55" t="s">
        <v>1992</v>
      </c>
      <c r="D16" s="55"/>
      <c r="E16" s="55">
        <f t="shared" ref="E16" si="8">E14+D15</f>
        <v>1274.2209999999998</v>
      </c>
      <c r="F16" s="55" t="s">
        <v>2833</v>
      </c>
      <c r="G16" s="55">
        <v>514377.08899999998</v>
      </c>
      <c r="H16" s="55">
        <v>3622057.8459999999</v>
      </c>
      <c r="I16" s="905"/>
      <c r="J16" s="906">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2"/>
    </row>
    <row r="17" spans="1:27" s="791" customFormat="1" ht="12" customHeight="1">
      <c r="A17" s="906"/>
      <c r="B17" s="55"/>
      <c r="C17" s="55"/>
      <c r="D17" s="55">
        <v>123.47799999999999</v>
      </c>
      <c r="E17" s="55"/>
      <c r="F17" s="55"/>
      <c r="G17" s="55"/>
      <c r="H17" s="55"/>
      <c r="I17" s="905"/>
      <c r="J17" s="906"/>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6">
        <v>7</v>
      </c>
      <c r="B18" s="55" t="s">
        <v>2834</v>
      </c>
      <c r="C18" s="55" t="s">
        <v>1957</v>
      </c>
      <c r="D18" s="55"/>
      <c r="E18" s="55">
        <f t="shared" ref="E18" si="10">E16+D17</f>
        <v>1397.6989999999998</v>
      </c>
      <c r="F18" s="55" t="s">
        <v>2835</v>
      </c>
      <c r="G18" s="55">
        <v>514271.75900000002</v>
      </c>
      <c r="H18" s="55">
        <v>3622122.2850000001</v>
      </c>
      <c r="I18" s="905"/>
      <c r="J18" s="906">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2" t="s">
        <v>2850</v>
      </c>
    </row>
    <row r="19" spans="1:27" s="791" customFormat="1" ht="12" customHeight="1">
      <c r="A19" s="906"/>
      <c r="B19" s="55"/>
      <c r="C19" s="55"/>
      <c r="D19" s="55">
        <v>358.13799999999998</v>
      </c>
      <c r="E19" s="55"/>
      <c r="F19" s="55"/>
      <c r="G19" s="55"/>
      <c r="H19" s="55"/>
      <c r="I19" s="905"/>
      <c r="J19" s="906"/>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6">
        <v>8</v>
      </c>
      <c r="B20" s="55" t="s">
        <v>2836</v>
      </c>
      <c r="C20" s="55" t="s">
        <v>1277</v>
      </c>
      <c r="D20" s="55"/>
      <c r="E20" s="55">
        <f t="shared" ref="E20" si="12">E18+D19</f>
        <v>1755.8369999999998</v>
      </c>
      <c r="F20" s="55" t="s">
        <v>2837</v>
      </c>
      <c r="G20" s="55">
        <v>514083.57699999999</v>
      </c>
      <c r="H20" s="55">
        <v>3622426.9989999998</v>
      </c>
      <c r="I20" s="905"/>
      <c r="J20" s="906">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2"/>
    </row>
    <row r="21" spans="1:27" s="791" customFormat="1" ht="12" customHeight="1">
      <c r="A21" s="906"/>
      <c r="B21" s="55"/>
      <c r="C21" s="55"/>
      <c r="D21" s="55">
        <v>195.995</v>
      </c>
      <c r="E21" s="55"/>
      <c r="F21" s="55"/>
      <c r="G21" s="55"/>
      <c r="H21" s="55"/>
      <c r="I21" s="905"/>
      <c r="J21" s="906"/>
      <c r="K21" s="55"/>
      <c r="L21" s="55"/>
      <c r="M21" s="55"/>
      <c r="N21" s="55"/>
      <c r="O21" s="55"/>
      <c r="P21" s="55"/>
      <c r="Q21" s="55"/>
      <c r="R21" s="55"/>
      <c r="S21" s="55"/>
      <c r="T21" s="55"/>
      <c r="U21" s="55">
        <v>195.99</v>
      </c>
      <c r="V21" s="55"/>
      <c r="W21" s="55"/>
      <c r="X21" s="55"/>
      <c r="Y21" s="55"/>
      <c r="Z21" s="55"/>
      <c r="AA21" s="852" t="s">
        <v>2852</v>
      </c>
    </row>
    <row r="22" spans="1:27" s="791" customFormat="1" ht="12" customHeight="1">
      <c r="A22" s="906">
        <v>9</v>
      </c>
      <c r="B22" s="55" t="s">
        <v>2838</v>
      </c>
      <c r="C22" s="55" t="s">
        <v>1319</v>
      </c>
      <c r="D22" s="55"/>
      <c r="E22" s="55">
        <f t="shared" ref="E22" si="14">E20+D21</f>
        <v>1951.8319999999999</v>
      </c>
      <c r="F22" s="55" t="s">
        <v>2839</v>
      </c>
      <c r="G22" s="55">
        <v>514039.03</v>
      </c>
      <c r="H22" s="55">
        <v>3622617.8640000001</v>
      </c>
      <c r="I22" s="905"/>
      <c r="J22" s="906">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6"/>
      <c r="B23" s="790"/>
      <c r="C23" s="790"/>
      <c r="D23" s="790"/>
      <c r="E23" s="790"/>
      <c r="F23" s="790"/>
      <c r="G23" s="792"/>
      <c r="H23" s="792"/>
      <c r="I23" s="905"/>
      <c r="J23" s="906"/>
      <c r="K23" s="790"/>
      <c r="L23" s="790"/>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6"/>
      <c r="B24" s="790"/>
      <c r="C24" s="790"/>
      <c r="D24" s="790"/>
      <c r="E24" s="790"/>
      <c r="F24" s="790"/>
      <c r="G24" s="792"/>
      <c r="H24" s="792"/>
      <c r="I24" s="905"/>
      <c r="J24" s="906"/>
      <c r="K24" s="790"/>
      <c r="L24" s="790"/>
      <c r="M24" s="790"/>
      <c r="N24" s="790"/>
      <c r="O24" s="790"/>
      <c r="P24" s="790"/>
      <c r="Q24" s="790"/>
      <c r="R24" s="790"/>
      <c r="S24" s="790"/>
      <c r="T24" s="790"/>
      <c r="U24" s="886"/>
      <c r="V24" s="886"/>
      <c r="W24" s="887"/>
      <c r="X24" s="790"/>
      <c r="Y24" s="792"/>
      <c r="Z24" s="792"/>
      <c r="AA24" s="900"/>
    </row>
    <row r="25" spans="1:27" s="791" customFormat="1" ht="12" customHeight="1">
      <c r="A25" s="906">
        <f>A22+1</f>
        <v>10</v>
      </c>
      <c r="B25" s="55" t="s">
        <v>2659</v>
      </c>
      <c r="C25" s="55" t="s">
        <v>1319</v>
      </c>
      <c r="D25" s="55"/>
      <c r="E25" s="55">
        <v>0</v>
      </c>
      <c r="F25" s="55" t="s">
        <v>2660</v>
      </c>
      <c r="G25" s="55">
        <v>511950.66600000003</v>
      </c>
      <c r="H25" s="55">
        <v>3623917.5189999999</v>
      </c>
      <c r="I25" s="905"/>
      <c r="J25" s="906">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5"/>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901">
        <f>A25+1</f>
        <v>11</v>
      </c>
      <c r="B27" s="55" t="s">
        <v>2661</v>
      </c>
      <c r="C27" s="55" t="s">
        <v>1277</v>
      </c>
      <c r="D27" s="55"/>
      <c r="E27" s="55">
        <f>E25+D26</f>
        <v>216.941</v>
      </c>
      <c r="F27" s="55" t="s">
        <v>2662</v>
      </c>
      <c r="G27" s="55">
        <v>511872.02100000001</v>
      </c>
      <c r="H27" s="55">
        <v>3624119.7030000002</v>
      </c>
      <c r="I27" s="905"/>
      <c r="J27" s="901">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5"/>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901">
        <f>A27+1</f>
        <v>12</v>
      </c>
      <c r="B29" s="55" t="s">
        <v>2663</v>
      </c>
      <c r="C29" s="55" t="s">
        <v>1277</v>
      </c>
      <c r="D29" s="55"/>
      <c r="E29" s="55">
        <f>E27+D28</f>
        <v>382.95</v>
      </c>
      <c r="F29" s="55" t="s">
        <v>2664</v>
      </c>
      <c r="G29" s="55">
        <v>511877.62</v>
      </c>
      <c r="H29" s="55">
        <v>3624285.6179999998</v>
      </c>
      <c r="I29" s="905"/>
      <c r="J29" s="901">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5"/>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901">
        <f>A29+1</f>
        <v>13</v>
      </c>
      <c r="B31" s="55" t="s">
        <v>2665</v>
      </c>
      <c r="C31" s="55" t="s">
        <v>2236</v>
      </c>
      <c r="D31" s="55"/>
      <c r="E31" s="55">
        <f t="shared" ref="E31" si="16">E29+D30</f>
        <v>625.64599999999996</v>
      </c>
      <c r="F31" s="55" t="s">
        <v>2666</v>
      </c>
      <c r="G31" s="55">
        <v>511782.16899999999</v>
      </c>
      <c r="H31" s="55">
        <v>3624508.7560000001</v>
      </c>
      <c r="I31" s="905"/>
      <c r="J31" s="901">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5"/>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901">
        <f>A31+1</f>
        <v>14</v>
      </c>
      <c r="B33" s="55" t="s">
        <v>2667</v>
      </c>
      <c r="C33" s="55" t="s">
        <v>2221</v>
      </c>
      <c r="D33" s="55"/>
      <c r="E33" s="55">
        <f t="shared" ref="E33" si="18">E31+D32</f>
        <v>828.63799999999992</v>
      </c>
      <c r="F33" s="55" t="s">
        <v>2668</v>
      </c>
      <c r="G33" s="55">
        <v>511589.85700000002</v>
      </c>
      <c r="H33" s="55">
        <v>3624573.7319999998</v>
      </c>
      <c r="I33" s="905"/>
      <c r="J33" s="901">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5"/>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901">
        <f>A33+1</f>
        <v>15</v>
      </c>
      <c r="B35" s="55" t="s">
        <v>2669</v>
      </c>
      <c r="C35" s="55" t="s">
        <v>2236</v>
      </c>
      <c r="D35" s="55"/>
      <c r="E35" s="55">
        <f t="shared" ref="E35" si="20">E33+D34</f>
        <v>984.33699999999999</v>
      </c>
      <c r="F35" s="55" t="s">
        <v>2670</v>
      </c>
      <c r="G35" s="55">
        <v>511554.995</v>
      </c>
      <c r="H35" s="55">
        <v>3624725.4780000001</v>
      </c>
      <c r="I35" s="905"/>
      <c r="J35" s="901">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5"/>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901">
        <f>A35+1</f>
        <v>16</v>
      </c>
      <c r="B37" s="55" t="s">
        <v>2671</v>
      </c>
      <c r="C37" s="55" t="s">
        <v>2236</v>
      </c>
      <c r="D37" s="55"/>
      <c r="E37" s="55">
        <f t="shared" ref="E37" si="22">E35+D36</f>
        <v>1475.84</v>
      </c>
      <c r="F37" s="55" t="s">
        <v>2672</v>
      </c>
      <c r="G37" s="55">
        <v>511816.34100000001</v>
      </c>
      <c r="H37" s="55">
        <v>3625141.7390000001</v>
      </c>
      <c r="I37" s="905"/>
      <c r="J37" s="901">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5"/>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901">
        <f>A37+1</f>
        <v>17</v>
      </c>
      <c r="B39" s="55" t="s">
        <v>2673</v>
      </c>
      <c r="C39" s="55" t="s">
        <v>1319</v>
      </c>
      <c r="D39" s="55"/>
      <c r="E39" s="55">
        <f t="shared" ref="E39" si="24">E37+D38</f>
        <v>1612.3409999999999</v>
      </c>
      <c r="F39" s="55" t="s">
        <v>2674</v>
      </c>
      <c r="G39" s="55">
        <v>511810.36900000001</v>
      </c>
      <c r="H39" s="55">
        <v>3625278.1090000002</v>
      </c>
      <c r="I39" s="905"/>
      <c r="J39" s="901">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5"/>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901">
        <f>A39+1</f>
        <v>18</v>
      </c>
      <c r="B41" s="55" t="s">
        <v>2675</v>
      </c>
      <c r="C41" s="55" t="s">
        <v>1939</v>
      </c>
      <c r="D41" s="55"/>
      <c r="E41" s="55">
        <f t="shared" ref="E41" si="26">E39+D40</f>
        <v>1734.5359999999998</v>
      </c>
      <c r="F41" s="55" t="s">
        <v>2676</v>
      </c>
      <c r="G41" s="55">
        <v>511713.53499999997</v>
      </c>
      <c r="H41" s="55">
        <v>3625352.639</v>
      </c>
      <c r="I41" s="905"/>
      <c r="J41" s="901">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5"/>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901">
        <f>A41+1</f>
        <v>19</v>
      </c>
      <c r="B43" s="55" t="s">
        <v>2677</v>
      </c>
      <c r="C43" s="55" t="s">
        <v>2236</v>
      </c>
      <c r="D43" s="55"/>
      <c r="E43" s="55">
        <f t="shared" ref="E43" si="28">E41+D42</f>
        <v>1920.2079999999999</v>
      </c>
      <c r="F43" s="55" t="s">
        <v>2678</v>
      </c>
      <c r="G43" s="55">
        <v>511664.337</v>
      </c>
      <c r="H43" s="55">
        <v>3625531.6740000001</v>
      </c>
      <c r="I43" s="905"/>
      <c r="J43" s="901">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5"/>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901">
        <f>A43+1</f>
        <v>20</v>
      </c>
      <c r="B45" s="55" t="s">
        <v>2679</v>
      </c>
      <c r="C45" s="55" t="s">
        <v>1319</v>
      </c>
      <c r="D45" s="55"/>
      <c r="E45" s="55">
        <f t="shared" ref="E45" si="30">E43+D44</f>
        <v>2223.77</v>
      </c>
      <c r="F45" s="55" t="s">
        <v>2680</v>
      </c>
      <c r="G45" s="55">
        <v>511469.58500000002</v>
      </c>
      <c r="H45" s="55">
        <v>3625764.5290000001</v>
      </c>
      <c r="I45" s="905"/>
      <c r="J45" s="901">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5"/>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901">
        <f>A45+1</f>
        <v>21</v>
      </c>
      <c r="B47" s="55" t="s">
        <v>2681</v>
      </c>
      <c r="C47" s="55" t="s">
        <v>1269</v>
      </c>
      <c r="D47" s="55"/>
      <c r="E47" s="55">
        <f t="shared" ref="E47" si="32">E45+D46</f>
        <v>2511.4859999999999</v>
      </c>
      <c r="F47" s="55" t="s">
        <v>2682</v>
      </c>
      <c r="G47" s="55">
        <v>511546.81400000001</v>
      </c>
      <c r="H47" s="55">
        <v>3626041.6860000002</v>
      </c>
      <c r="I47" s="905"/>
      <c r="J47" s="901">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5"/>
      <c r="J48" s="828"/>
      <c r="K48" s="55"/>
      <c r="L48" s="55"/>
      <c r="M48" s="55"/>
      <c r="N48" s="55"/>
      <c r="O48" s="55"/>
      <c r="P48" s="55"/>
      <c r="Q48" s="55"/>
      <c r="R48" s="55"/>
      <c r="S48" s="55"/>
      <c r="T48" s="55"/>
      <c r="U48" s="55">
        <v>425.99099999999999</v>
      </c>
      <c r="V48" s="55"/>
      <c r="W48" s="55"/>
      <c r="X48" s="55"/>
      <c r="Y48" s="55"/>
      <c r="Z48" s="55"/>
      <c r="AA48" s="852"/>
    </row>
    <row r="49" spans="1:27">
      <c r="A49" s="901">
        <f>A47+1</f>
        <v>22</v>
      </c>
      <c r="B49" s="55" t="s">
        <v>2683</v>
      </c>
      <c r="C49" s="55" t="s">
        <v>1277</v>
      </c>
      <c r="D49" s="55"/>
      <c r="E49" s="55">
        <f t="shared" ref="E49" si="34">E47+D48</f>
        <v>2937.4769999999999</v>
      </c>
      <c r="F49" s="55" t="s">
        <v>2684</v>
      </c>
      <c r="G49" s="55">
        <v>511754.875</v>
      </c>
      <c r="H49" s="55">
        <v>3626413.41</v>
      </c>
      <c r="I49" s="905"/>
      <c r="J49" s="901">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6"/>
      <c r="B50" s="55"/>
      <c r="C50" s="55"/>
      <c r="D50" s="55">
        <v>141.744</v>
      </c>
      <c r="E50" s="55"/>
      <c r="F50" s="55"/>
      <c r="G50" s="55"/>
      <c r="H50" s="55" t="s">
        <v>2884</v>
      </c>
      <c r="I50" s="905"/>
      <c r="J50" s="907"/>
      <c r="K50" s="55"/>
      <c r="L50" s="55"/>
      <c r="M50" s="55"/>
      <c r="N50" s="55"/>
      <c r="O50" s="55"/>
      <c r="P50" s="55"/>
      <c r="Q50" s="55"/>
      <c r="R50" s="55"/>
      <c r="S50" s="55"/>
      <c r="T50" s="55"/>
      <c r="U50" s="55">
        <v>141.744</v>
      </c>
      <c r="V50" s="55"/>
      <c r="W50" s="55"/>
      <c r="X50" s="55"/>
      <c r="Y50" s="55"/>
      <c r="Z50" s="55"/>
      <c r="AA50" s="852"/>
    </row>
    <row r="51" spans="1:27">
      <c r="A51" s="906">
        <f>A49+1</f>
        <v>23</v>
      </c>
      <c r="B51" s="55" t="s">
        <v>2685</v>
      </c>
      <c r="C51" s="55" t="s">
        <v>1277</v>
      </c>
      <c r="D51" s="55"/>
      <c r="E51" s="55">
        <f t="shared" ref="E51" si="36">E49+D50</f>
        <v>3079.221</v>
      </c>
      <c r="F51" s="55" t="s">
        <v>2686</v>
      </c>
      <c r="G51" s="55">
        <v>511873.60200000001</v>
      </c>
      <c r="H51" s="55">
        <v>3626490.8390000002</v>
      </c>
      <c r="I51" s="905"/>
      <c r="J51" s="906">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6"/>
      <c r="B52" s="55"/>
      <c r="C52" s="55"/>
      <c r="D52" s="55">
        <v>52.345999999999997</v>
      </c>
      <c r="E52" s="55"/>
      <c r="F52" s="55"/>
      <c r="G52" s="55"/>
      <c r="H52" s="55"/>
      <c r="I52" s="905"/>
      <c r="J52" s="908"/>
      <c r="K52" s="55"/>
      <c r="L52" s="55"/>
      <c r="M52" s="55"/>
      <c r="N52" s="55"/>
      <c r="O52" s="55"/>
      <c r="P52" s="55"/>
      <c r="Q52" s="55"/>
      <c r="R52" s="55"/>
      <c r="S52" s="55"/>
      <c r="T52" s="55"/>
      <c r="U52" s="55">
        <v>52.345999999999997</v>
      </c>
      <c r="V52" s="55"/>
      <c r="W52" s="55"/>
      <c r="X52" s="55"/>
      <c r="Y52" s="55"/>
      <c r="Z52" s="55"/>
      <c r="AA52" s="852"/>
    </row>
    <row r="53" spans="1:27">
      <c r="A53" s="906">
        <f>A51+1</f>
        <v>24</v>
      </c>
      <c r="B53" s="55" t="s">
        <v>2687</v>
      </c>
      <c r="C53" s="55" t="s">
        <v>1319</v>
      </c>
      <c r="D53" s="55"/>
      <c r="E53" s="55">
        <f t="shared" ref="E53" si="38">E51+D52</f>
        <v>3131.567</v>
      </c>
      <c r="F53" s="55"/>
      <c r="G53" s="55">
        <v>511907.19400000002</v>
      </c>
      <c r="H53" s="55">
        <v>3626530.9840000002</v>
      </c>
      <c r="I53" s="905"/>
      <c r="J53" s="906">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81"/>
  <sheetViews>
    <sheetView zoomScale="90" zoomScaleNormal="90" workbookViewId="0">
      <pane ySplit="6" topLeftCell="A61" activePane="bottomLeft" state="frozen"/>
      <selection activeCell="B204" sqref="B204"/>
      <selection pane="bottomLeft" activeCell="M7" sqref="M7:M7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46083</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91" t="s">
        <v>1786</v>
      </c>
      <c r="B5" s="1391" t="s">
        <v>998</v>
      </c>
      <c r="C5" s="1391" t="s">
        <v>44</v>
      </c>
      <c r="D5" s="1391" t="s">
        <v>45</v>
      </c>
      <c r="E5" s="1391" t="s">
        <v>1763</v>
      </c>
      <c r="F5" s="1391" t="s">
        <v>1441</v>
      </c>
      <c r="G5" s="1393" t="s">
        <v>28</v>
      </c>
      <c r="H5" s="1394"/>
      <c r="I5" s="1394"/>
      <c r="J5" s="1394"/>
      <c r="K5" s="1394"/>
      <c r="L5" s="1395"/>
      <c r="M5" s="1391" t="s">
        <v>609</v>
      </c>
      <c r="N5" s="659" t="s">
        <v>3292</v>
      </c>
      <c r="O5" s="659" t="s">
        <v>1764</v>
      </c>
      <c r="P5" s="660" t="s">
        <v>1765</v>
      </c>
      <c r="Q5" s="660" t="s">
        <v>1766</v>
      </c>
    </row>
    <row r="6" spans="1:17" s="661" customFormat="1" ht="17.5" customHeight="1">
      <c r="A6" s="1392"/>
      <c r="B6" s="1392"/>
      <c r="C6" s="1392"/>
      <c r="D6" s="1392"/>
      <c r="E6" s="1392"/>
      <c r="F6" s="1392"/>
      <c r="G6" s="659" t="s">
        <v>1416</v>
      </c>
      <c r="H6" s="659" t="s">
        <v>2418</v>
      </c>
      <c r="I6" s="659" t="s">
        <v>2392</v>
      </c>
      <c r="J6" s="659" t="s">
        <v>2419</v>
      </c>
      <c r="K6" s="659" t="s">
        <v>2410</v>
      </c>
      <c r="L6" s="964" t="s">
        <v>2420</v>
      </c>
      <c r="M6" s="1392"/>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3" t="s">
        <v>2755</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1"/>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3123</v>
      </c>
      <c r="P11" s="751">
        <v>12</v>
      </c>
      <c r="Q11" s="871" t="s">
        <v>3163</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60" t="s">
        <v>631</v>
      </c>
      <c r="O12" s="751" t="s">
        <v>2454</v>
      </c>
      <c r="P12" s="751">
        <v>20</v>
      </c>
      <c r="Q12" s="871"/>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60" t="s">
        <v>631</v>
      </c>
      <c r="O13" s="751" t="s">
        <v>2210</v>
      </c>
      <c r="P13" s="751">
        <v>12</v>
      </c>
      <c r="Q13" s="871" t="s">
        <v>2877</v>
      </c>
    </row>
    <row r="14" spans="1:17" s="658" customFormat="1" ht="39.5" customHeight="1">
      <c r="A14" s="751">
        <f t="shared" si="0"/>
        <v>8</v>
      </c>
      <c r="B14" s="752" t="s">
        <v>1660</v>
      </c>
      <c r="C14" s="751" t="s">
        <v>53</v>
      </c>
      <c r="D14" s="751" t="s">
        <v>2768</v>
      </c>
      <c r="E14" s="787"/>
      <c r="F14" s="753">
        <v>45960</v>
      </c>
      <c r="G14" s="753">
        <v>45983</v>
      </c>
      <c r="H14" s="753">
        <v>45984</v>
      </c>
      <c r="I14" s="753">
        <v>45984</v>
      </c>
      <c r="J14" s="753">
        <v>45985</v>
      </c>
      <c r="K14" s="753">
        <v>45985</v>
      </c>
      <c r="L14" s="753">
        <v>45985</v>
      </c>
      <c r="M14" s="753">
        <v>45987</v>
      </c>
      <c r="N14" s="960" t="s">
        <v>631</v>
      </c>
      <c r="O14" s="751" t="s">
        <v>2899</v>
      </c>
      <c r="P14" s="751">
        <v>9</v>
      </c>
      <c r="Q14" s="871"/>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60" t="s">
        <v>631</v>
      </c>
      <c r="O15" s="751" t="s">
        <v>2770</v>
      </c>
      <c r="P15" s="751">
        <v>8</v>
      </c>
      <c r="Q15" s="871"/>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71" t="s">
        <v>3358</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3263</v>
      </c>
      <c r="P17" s="751">
        <v>5</v>
      </c>
      <c r="Q17" s="871"/>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2873</v>
      </c>
      <c r="P18" s="751">
        <v>21</v>
      </c>
      <c r="Q18" s="871"/>
    </row>
    <row r="19" spans="1:17" s="658" customFormat="1" ht="38" customHeight="1">
      <c r="A19" s="751">
        <v>13</v>
      </c>
      <c r="B19" s="752" t="s">
        <v>1661</v>
      </c>
      <c r="C19" s="751" t="s">
        <v>62</v>
      </c>
      <c r="D19" s="751" t="s">
        <v>2768</v>
      </c>
      <c r="E19" s="787"/>
      <c r="F19" s="753">
        <v>45947</v>
      </c>
      <c r="G19" s="753">
        <v>45957</v>
      </c>
      <c r="H19" s="753">
        <v>45958</v>
      </c>
      <c r="I19" s="753">
        <v>45958</v>
      </c>
      <c r="J19" s="753">
        <v>45959</v>
      </c>
      <c r="K19" s="753">
        <v>45960</v>
      </c>
      <c r="L19" s="753">
        <v>45960</v>
      </c>
      <c r="M19" s="753">
        <v>45981</v>
      </c>
      <c r="N19" s="960" t="s">
        <v>631</v>
      </c>
      <c r="O19" s="751" t="s">
        <v>2454</v>
      </c>
      <c r="P19" s="751">
        <v>24</v>
      </c>
      <c r="Q19" s="871"/>
    </row>
    <row r="20" spans="1:17" s="658" customFormat="1" ht="57" customHeight="1">
      <c r="A20" s="751">
        <v>14</v>
      </c>
      <c r="B20" s="752" t="s">
        <v>1642</v>
      </c>
      <c r="C20" s="751" t="s">
        <v>1361</v>
      </c>
      <c r="D20" s="751" t="s">
        <v>1767</v>
      </c>
      <c r="E20" s="966"/>
      <c r="F20" s="753">
        <v>45948</v>
      </c>
      <c r="G20" s="753">
        <v>45960</v>
      </c>
      <c r="H20" s="753">
        <v>45961</v>
      </c>
      <c r="I20" s="753">
        <v>45961</v>
      </c>
      <c r="J20" s="753">
        <v>45961</v>
      </c>
      <c r="K20" s="753">
        <v>45961</v>
      </c>
      <c r="L20" s="753">
        <v>45961</v>
      </c>
      <c r="M20" s="753">
        <v>45980</v>
      </c>
      <c r="N20" s="960" t="s">
        <v>631</v>
      </c>
      <c r="O20" s="751" t="s">
        <v>3262</v>
      </c>
      <c r="P20" s="751">
        <v>10</v>
      </c>
      <c r="Q20" s="871"/>
    </row>
    <row r="21" spans="1:17" s="658" customFormat="1" ht="38" customHeight="1">
      <c r="A21" s="751">
        <v>15</v>
      </c>
      <c r="B21" s="752" t="s">
        <v>1641</v>
      </c>
      <c r="C21" s="751" t="s">
        <v>76</v>
      </c>
      <c r="D21" s="751" t="s">
        <v>1767</v>
      </c>
      <c r="E21" s="966"/>
      <c r="F21" s="753">
        <v>45958</v>
      </c>
      <c r="G21" s="753">
        <v>45960</v>
      </c>
      <c r="H21" s="753">
        <v>45961</v>
      </c>
      <c r="I21" s="753">
        <v>45961</v>
      </c>
      <c r="J21" s="753">
        <v>45961</v>
      </c>
      <c r="K21" s="753">
        <v>45961</v>
      </c>
      <c r="L21" s="753">
        <v>45961</v>
      </c>
      <c r="M21" s="753">
        <v>45970</v>
      </c>
      <c r="N21" s="960" t="s">
        <v>631</v>
      </c>
      <c r="O21" s="751" t="s">
        <v>3262</v>
      </c>
      <c r="P21" s="751">
        <v>19</v>
      </c>
      <c r="Q21" s="871"/>
    </row>
    <row r="22" spans="1:17" s="658" customFormat="1" ht="38" customHeight="1">
      <c r="A22" s="751">
        <f t="shared" ref="A22:A32" si="1">A21+1</f>
        <v>16</v>
      </c>
      <c r="B22" s="752" t="s">
        <v>668</v>
      </c>
      <c r="C22" s="751" t="s">
        <v>76</v>
      </c>
      <c r="D22" s="751" t="s">
        <v>2768</v>
      </c>
      <c r="E22" s="787"/>
      <c r="F22" s="753">
        <v>45960</v>
      </c>
      <c r="G22" s="753">
        <v>45968</v>
      </c>
      <c r="H22" s="753">
        <v>45970</v>
      </c>
      <c r="I22" s="753">
        <v>45970</v>
      </c>
      <c r="J22" s="753">
        <v>45971</v>
      </c>
      <c r="K22" s="753">
        <v>45972</v>
      </c>
      <c r="L22" s="753">
        <v>45972</v>
      </c>
      <c r="M22" s="753">
        <v>45972</v>
      </c>
      <c r="N22" s="960" t="s">
        <v>631</v>
      </c>
      <c r="O22" s="751" t="s">
        <v>2454</v>
      </c>
      <c r="P22" s="751">
        <v>12</v>
      </c>
      <c r="Q22" s="871"/>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60" t="s">
        <v>631</v>
      </c>
      <c r="O23" s="751" t="s">
        <v>3263</v>
      </c>
      <c r="P23" s="751">
        <v>8</v>
      </c>
      <c r="Q23" s="871"/>
    </row>
    <row r="24" spans="1:17" s="658" customFormat="1" ht="38" customHeight="1">
      <c r="A24" s="751">
        <f t="shared" si="1"/>
        <v>18</v>
      </c>
      <c r="B24" s="752" t="s">
        <v>1630</v>
      </c>
      <c r="C24" s="751" t="s">
        <v>76</v>
      </c>
      <c r="D24" s="751" t="s">
        <v>2768</v>
      </c>
      <c r="E24" s="787"/>
      <c r="F24" s="753">
        <v>45967</v>
      </c>
      <c r="G24" s="753">
        <v>45974</v>
      </c>
      <c r="H24" s="753">
        <v>45978</v>
      </c>
      <c r="I24" s="753">
        <v>45978</v>
      </c>
      <c r="J24" s="753">
        <v>45978</v>
      </c>
      <c r="K24" s="753">
        <v>45978</v>
      </c>
      <c r="L24" s="753">
        <v>45978</v>
      </c>
      <c r="M24" s="753">
        <v>45993</v>
      </c>
      <c r="N24" s="960" t="s">
        <v>631</v>
      </c>
      <c r="O24" s="751" t="s">
        <v>2873</v>
      </c>
      <c r="P24" s="751">
        <v>21</v>
      </c>
      <c r="Q24" s="871"/>
    </row>
    <row r="25" spans="1:17" s="658" customFormat="1" ht="38" customHeight="1">
      <c r="A25" s="751">
        <f t="shared" si="1"/>
        <v>19</v>
      </c>
      <c r="B25" s="752" t="s">
        <v>963</v>
      </c>
      <c r="C25" s="751" t="s">
        <v>1361</v>
      </c>
      <c r="D25" s="751" t="s">
        <v>2768</v>
      </c>
      <c r="E25" s="787"/>
      <c r="F25" s="753">
        <v>45970</v>
      </c>
      <c r="G25" s="753">
        <v>45991</v>
      </c>
      <c r="H25" s="753">
        <v>45993</v>
      </c>
      <c r="I25" s="753">
        <v>45993</v>
      </c>
      <c r="J25" s="753">
        <v>45994</v>
      </c>
      <c r="K25" s="753">
        <v>45994</v>
      </c>
      <c r="L25" s="753">
        <v>45994</v>
      </c>
      <c r="M25" s="753">
        <v>46006</v>
      </c>
      <c r="N25" s="960" t="s">
        <v>631</v>
      </c>
      <c r="O25" s="751" t="s">
        <v>3144</v>
      </c>
      <c r="P25" s="751">
        <v>15</v>
      </c>
      <c r="Q25" s="871"/>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60" t="s">
        <v>631</v>
      </c>
      <c r="O26" s="751" t="s">
        <v>3262</v>
      </c>
      <c r="P26" s="751">
        <v>8</v>
      </c>
      <c r="Q26" s="871"/>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60" t="s">
        <v>631</v>
      </c>
      <c r="O27" s="1073" t="s">
        <v>3145</v>
      </c>
      <c r="P27" s="1389">
        <v>40</v>
      </c>
      <c r="Q27" s="871" t="s">
        <v>3164</v>
      </c>
    </row>
    <row r="28" spans="1:17" s="658" customFormat="1" ht="38" customHeight="1">
      <c r="A28" s="751">
        <f t="shared" si="1"/>
        <v>22</v>
      </c>
      <c r="B28" s="752" t="s">
        <v>3101</v>
      </c>
      <c r="C28" s="751" t="s">
        <v>1269</v>
      </c>
      <c r="D28" s="751" t="s">
        <v>897</v>
      </c>
      <c r="E28" s="787"/>
      <c r="F28" s="753">
        <v>45973</v>
      </c>
      <c r="G28" s="753">
        <v>45982</v>
      </c>
      <c r="H28" s="753">
        <v>45983</v>
      </c>
      <c r="I28" s="753">
        <v>45984</v>
      </c>
      <c r="J28" s="753">
        <v>45984</v>
      </c>
      <c r="K28" s="753">
        <v>45987</v>
      </c>
      <c r="L28" s="753">
        <v>45987</v>
      </c>
      <c r="M28" s="753">
        <v>45993</v>
      </c>
      <c r="N28" s="960" t="s">
        <v>631</v>
      </c>
      <c r="O28" s="1073" t="s">
        <v>3145</v>
      </c>
      <c r="P28" s="1390"/>
      <c r="Q28" s="871"/>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60" t="s">
        <v>631</v>
      </c>
      <c r="O29" s="751" t="s">
        <v>3263</v>
      </c>
      <c r="P29" s="1054">
        <v>9</v>
      </c>
      <c r="Q29" s="871"/>
    </row>
    <row r="30" spans="1:17" s="658" customFormat="1" ht="38" customHeight="1">
      <c r="A30" s="751">
        <f t="shared" si="1"/>
        <v>24</v>
      </c>
      <c r="B30" s="752" t="s">
        <v>1964</v>
      </c>
      <c r="C30" s="751" t="s">
        <v>249</v>
      </c>
      <c r="D30" s="751" t="s">
        <v>2768</v>
      </c>
      <c r="E30" s="787"/>
      <c r="F30" s="753">
        <v>45977</v>
      </c>
      <c r="G30" s="753">
        <v>45989</v>
      </c>
      <c r="H30" s="753">
        <v>45990</v>
      </c>
      <c r="I30" s="753">
        <v>45990</v>
      </c>
      <c r="J30" s="753">
        <v>45990</v>
      </c>
      <c r="K30" s="753">
        <v>45990</v>
      </c>
      <c r="L30" s="753">
        <v>45990</v>
      </c>
      <c r="M30" s="753">
        <v>45996</v>
      </c>
      <c r="N30" s="960" t="s">
        <v>631</v>
      </c>
      <c r="O30" s="1054" t="s">
        <v>3156</v>
      </c>
      <c r="P30" s="1054">
        <v>15</v>
      </c>
      <c r="Q30" s="871"/>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60" t="s">
        <v>631</v>
      </c>
      <c r="O31" s="1054" t="s">
        <v>3157</v>
      </c>
      <c r="P31" s="1054">
        <v>7</v>
      </c>
      <c r="Q31" s="871"/>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60" t="s">
        <v>631</v>
      </c>
      <c r="O32" s="1054" t="s">
        <v>2873</v>
      </c>
      <c r="P32" s="1054">
        <v>9</v>
      </c>
      <c r="Q32" s="871"/>
    </row>
    <row r="33" spans="1:17" s="658" customFormat="1" ht="38" customHeight="1">
      <c r="A33" s="751">
        <f t="shared" ref="A33:A53" si="2">A32+1</f>
        <v>27</v>
      </c>
      <c r="B33" s="752" t="s">
        <v>1635</v>
      </c>
      <c r="C33" s="751" t="s">
        <v>76</v>
      </c>
      <c r="D33" s="751" t="s">
        <v>2768</v>
      </c>
      <c r="E33" s="787"/>
      <c r="F33" s="753">
        <v>45986</v>
      </c>
      <c r="G33" s="753">
        <v>45996</v>
      </c>
      <c r="H33" s="753">
        <v>45997</v>
      </c>
      <c r="I33" s="753">
        <v>45997</v>
      </c>
      <c r="J33" s="753">
        <v>45997</v>
      </c>
      <c r="K33" s="753">
        <v>45997</v>
      </c>
      <c r="L33" s="753">
        <v>45997</v>
      </c>
      <c r="M33" s="753">
        <v>45998</v>
      </c>
      <c r="N33" s="960" t="s">
        <v>631</v>
      </c>
      <c r="O33" s="1054" t="s">
        <v>3123</v>
      </c>
      <c r="P33" s="1054">
        <v>12</v>
      </c>
      <c r="Q33" s="871"/>
    </row>
    <row r="34" spans="1:17" s="658" customFormat="1" ht="35.5" customHeight="1">
      <c r="A34" s="751">
        <f t="shared" si="2"/>
        <v>28</v>
      </c>
      <c r="B34" s="752" t="s">
        <v>3096</v>
      </c>
      <c r="C34" s="751" t="s">
        <v>1402</v>
      </c>
      <c r="D34" s="751" t="s">
        <v>1767</v>
      </c>
      <c r="E34" s="787"/>
      <c r="F34" s="753">
        <v>45988</v>
      </c>
      <c r="G34" s="753">
        <v>45989</v>
      </c>
      <c r="H34" s="753">
        <v>45992</v>
      </c>
      <c r="I34" s="753">
        <v>45992</v>
      </c>
      <c r="J34" s="753">
        <v>45992</v>
      </c>
      <c r="K34" s="753">
        <v>45995</v>
      </c>
      <c r="L34" s="753">
        <v>45995</v>
      </c>
      <c r="M34" s="753">
        <v>45994</v>
      </c>
      <c r="N34" s="960" t="s">
        <v>631</v>
      </c>
      <c r="O34" s="751" t="s">
        <v>2454</v>
      </c>
      <c r="P34" s="1054">
        <v>35</v>
      </c>
      <c r="Q34" s="871"/>
    </row>
    <row r="35" spans="1:17" s="658" customFormat="1" ht="38" customHeight="1">
      <c r="A35" s="751">
        <f t="shared" si="2"/>
        <v>29</v>
      </c>
      <c r="B35" s="752" t="s">
        <v>658</v>
      </c>
      <c r="C35" s="751" t="s">
        <v>76</v>
      </c>
      <c r="D35" s="751" t="s">
        <v>2768</v>
      </c>
      <c r="E35" s="787"/>
      <c r="F35" s="753">
        <v>45988</v>
      </c>
      <c r="G35" s="753">
        <v>46000</v>
      </c>
      <c r="H35" s="753">
        <v>46001</v>
      </c>
      <c r="I35" s="753">
        <v>46001</v>
      </c>
      <c r="J35" s="753">
        <v>46001</v>
      </c>
      <c r="K35" s="753">
        <v>46003</v>
      </c>
      <c r="L35" s="753">
        <v>46003</v>
      </c>
      <c r="M35" s="753">
        <v>46007</v>
      </c>
      <c r="N35" s="960" t="s">
        <v>631</v>
      </c>
      <c r="O35" s="1054" t="s">
        <v>2899</v>
      </c>
      <c r="P35" s="1054">
        <v>8</v>
      </c>
      <c r="Q35" s="871"/>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60" t="s">
        <v>631</v>
      </c>
      <c r="O36" s="1054" t="s">
        <v>3185</v>
      </c>
      <c r="P36" s="1054">
        <v>7</v>
      </c>
      <c r="Q36" s="871" t="s">
        <v>3297</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60" t="s">
        <v>631</v>
      </c>
      <c r="O37" s="751" t="s">
        <v>2454</v>
      </c>
      <c r="P37" s="1054">
        <v>28</v>
      </c>
      <c r="Q37" s="871"/>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60" t="s">
        <v>631</v>
      </c>
      <c r="O38" s="1054" t="s">
        <v>2873</v>
      </c>
      <c r="P38" s="1054">
        <v>20</v>
      </c>
      <c r="Q38" s="871"/>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60" t="s">
        <v>631</v>
      </c>
      <c r="O39" s="1054" t="s">
        <v>3144</v>
      </c>
      <c r="P39" s="1054">
        <v>17</v>
      </c>
      <c r="Q39" s="871"/>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60" t="s">
        <v>631</v>
      </c>
      <c r="O40" s="1054" t="s">
        <v>3156</v>
      </c>
      <c r="P40" s="1054">
        <v>15</v>
      </c>
      <c r="Q40" s="871"/>
    </row>
    <row r="41" spans="1:17" s="658" customFormat="1" ht="38" customHeight="1">
      <c r="A41" s="751">
        <f t="shared" si="2"/>
        <v>35</v>
      </c>
      <c r="B41" s="752" t="s">
        <v>3102</v>
      </c>
      <c r="C41" s="751" t="s">
        <v>1277</v>
      </c>
      <c r="D41" s="751" t="s">
        <v>897</v>
      </c>
      <c r="E41" s="787"/>
      <c r="F41" s="753">
        <v>46000</v>
      </c>
      <c r="G41" s="753">
        <v>46019</v>
      </c>
      <c r="H41" s="753">
        <v>46022</v>
      </c>
      <c r="I41" s="753">
        <v>46022</v>
      </c>
      <c r="J41" s="753">
        <v>46022</v>
      </c>
      <c r="K41" s="753">
        <v>46022</v>
      </c>
      <c r="L41" s="753">
        <v>46022</v>
      </c>
      <c r="M41" s="753">
        <v>46007</v>
      </c>
      <c r="N41" s="960" t="s">
        <v>631</v>
      </c>
      <c r="O41" s="1054" t="s">
        <v>2210</v>
      </c>
      <c r="P41" s="1054">
        <v>8</v>
      </c>
      <c r="Q41" s="871" t="s">
        <v>3295</v>
      </c>
    </row>
    <row r="42" spans="1:17" s="658" customFormat="1" ht="38" customHeight="1">
      <c r="A42" s="1077">
        <f t="shared" si="2"/>
        <v>36</v>
      </c>
      <c r="B42" s="1078" t="s">
        <v>3087</v>
      </c>
      <c r="C42" s="1077" t="s">
        <v>1277</v>
      </c>
      <c r="D42" s="1077" t="s">
        <v>897</v>
      </c>
      <c r="E42" s="966"/>
      <c r="F42" s="1079">
        <v>46001</v>
      </c>
      <c r="G42" s="1079">
        <v>46013</v>
      </c>
      <c r="H42" s="1079">
        <v>46014</v>
      </c>
      <c r="I42" s="1079">
        <v>46014</v>
      </c>
      <c r="J42" s="1079">
        <v>46014</v>
      </c>
      <c r="K42" s="1079">
        <v>46015</v>
      </c>
      <c r="L42" s="1079">
        <v>46015</v>
      </c>
      <c r="M42" s="1079">
        <v>46012</v>
      </c>
      <c r="N42" s="1080" t="s">
        <v>631</v>
      </c>
      <c r="O42" s="1103" t="s">
        <v>3123</v>
      </c>
      <c r="P42" s="1103">
        <v>12</v>
      </c>
      <c r="Q42" s="1081"/>
    </row>
    <row r="43" spans="1:17" s="658" customFormat="1" ht="38" customHeight="1">
      <c r="A43" s="1077">
        <f t="shared" si="2"/>
        <v>37</v>
      </c>
      <c r="B43" s="1078" t="s">
        <v>3112</v>
      </c>
      <c r="C43" s="1077" t="s">
        <v>1999</v>
      </c>
      <c r="D43" s="1077" t="s">
        <v>1767</v>
      </c>
      <c r="E43" s="966"/>
      <c r="F43" s="1079">
        <v>46002</v>
      </c>
      <c r="G43" s="1079">
        <v>46011</v>
      </c>
      <c r="H43" s="1079">
        <v>46012</v>
      </c>
      <c r="I43" s="1079">
        <v>46014</v>
      </c>
      <c r="J43" s="1079">
        <v>46014</v>
      </c>
      <c r="K43" s="1079">
        <v>46016</v>
      </c>
      <c r="L43" s="1079">
        <v>46016</v>
      </c>
      <c r="M43" s="1079">
        <v>46025</v>
      </c>
      <c r="N43" s="1080" t="s">
        <v>631</v>
      </c>
      <c r="O43" s="1103" t="s">
        <v>3157</v>
      </c>
      <c r="P43" s="1103">
        <v>16</v>
      </c>
      <c r="Q43" s="1081"/>
    </row>
    <row r="44" spans="1:17" s="658" customFormat="1" ht="38" customHeight="1">
      <c r="A44" s="1077">
        <f t="shared" si="2"/>
        <v>38</v>
      </c>
      <c r="B44" s="1078" t="s">
        <v>3114</v>
      </c>
      <c r="C44" s="1077" t="s">
        <v>1269</v>
      </c>
      <c r="D44" s="1077" t="s">
        <v>1767</v>
      </c>
      <c r="E44" s="966"/>
      <c r="F44" s="1079">
        <v>46003</v>
      </c>
      <c r="G44" s="1079">
        <v>46011</v>
      </c>
      <c r="H44" s="1079">
        <v>46013</v>
      </c>
      <c r="I44" s="1079">
        <v>46013</v>
      </c>
      <c r="J44" s="1079">
        <v>46014</v>
      </c>
      <c r="K44" s="1079">
        <v>46014</v>
      </c>
      <c r="L44" s="1079">
        <v>46014</v>
      </c>
      <c r="M44" s="1079">
        <v>46016</v>
      </c>
      <c r="N44" s="1080" t="s">
        <v>631</v>
      </c>
      <c r="O44" s="1103" t="s">
        <v>2454</v>
      </c>
      <c r="P44" s="1103">
        <v>28</v>
      </c>
      <c r="Q44" s="1081"/>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60" t="s">
        <v>631</v>
      </c>
      <c r="O45" s="1054" t="s">
        <v>3264</v>
      </c>
      <c r="P45" s="1054">
        <v>12</v>
      </c>
      <c r="Q45" s="871"/>
    </row>
    <row r="46" spans="1:17" s="658" customFormat="1" ht="38" customHeight="1">
      <c r="A46" s="1077">
        <f t="shared" si="2"/>
        <v>40</v>
      </c>
      <c r="B46" s="1078" t="s">
        <v>985</v>
      </c>
      <c r="C46" s="1077" t="s">
        <v>76</v>
      </c>
      <c r="D46" s="1077" t="s">
        <v>2768</v>
      </c>
      <c r="E46" s="966"/>
      <c r="F46" s="1079">
        <v>46008</v>
      </c>
      <c r="G46" s="1079">
        <v>46015</v>
      </c>
      <c r="H46" s="1079">
        <v>46015</v>
      </c>
      <c r="I46" s="1079">
        <v>46016</v>
      </c>
      <c r="J46" s="1079">
        <v>46016</v>
      </c>
      <c r="K46" s="1079">
        <v>46016</v>
      </c>
      <c r="L46" s="1079">
        <v>46016</v>
      </c>
      <c r="M46" s="1079">
        <v>46024</v>
      </c>
      <c r="N46" s="1080" t="s">
        <v>631</v>
      </c>
      <c r="O46" s="1103" t="s">
        <v>3144</v>
      </c>
      <c r="P46" s="1103">
        <v>17</v>
      </c>
      <c r="Q46" s="1081"/>
    </row>
    <row r="47" spans="1:17" s="658" customFormat="1" ht="38" customHeight="1">
      <c r="A47" s="751">
        <f t="shared" si="2"/>
        <v>41</v>
      </c>
      <c r="B47" s="752" t="s">
        <v>3100</v>
      </c>
      <c r="C47" s="751" t="s">
        <v>1269</v>
      </c>
      <c r="D47" s="751" t="s">
        <v>897</v>
      </c>
      <c r="E47" s="787"/>
      <c r="F47" s="753">
        <v>46010</v>
      </c>
      <c r="G47" s="753">
        <v>46033</v>
      </c>
      <c r="H47" s="753">
        <v>46038</v>
      </c>
      <c r="I47" s="753">
        <v>46038</v>
      </c>
      <c r="J47" s="753">
        <v>46038</v>
      </c>
      <c r="K47" s="753">
        <v>46040</v>
      </c>
      <c r="L47" s="753">
        <v>46040</v>
      </c>
      <c r="M47" s="753">
        <v>46024</v>
      </c>
      <c r="N47" s="960" t="s">
        <v>631</v>
      </c>
      <c r="O47" s="1054" t="s">
        <v>3156</v>
      </c>
      <c r="P47" s="1054">
        <v>15</v>
      </c>
      <c r="Q47" s="871"/>
    </row>
    <row r="48" spans="1:17" s="658" customFormat="1" ht="38" customHeight="1">
      <c r="A48" s="751">
        <f t="shared" si="2"/>
        <v>42</v>
      </c>
      <c r="B48" s="752" t="s">
        <v>3085</v>
      </c>
      <c r="C48" s="751" t="s">
        <v>1277</v>
      </c>
      <c r="D48" s="751" t="s">
        <v>897</v>
      </c>
      <c r="E48" s="787"/>
      <c r="F48" s="753">
        <v>46026</v>
      </c>
      <c r="G48" s="753">
        <v>46043</v>
      </c>
      <c r="H48" s="753">
        <v>46046</v>
      </c>
      <c r="I48" s="753">
        <v>46046</v>
      </c>
      <c r="J48" s="753">
        <v>46047</v>
      </c>
      <c r="K48" s="753">
        <v>46047</v>
      </c>
      <c r="L48" s="753">
        <v>46047</v>
      </c>
      <c r="M48" s="753"/>
      <c r="N48" s="960" t="s">
        <v>631</v>
      </c>
      <c r="O48" s="1054" t="s">
        <v>2873</v>
      </c>
      <c r="P48" s="1054">
        <v>20</v>
      </c>
      <c r="Q48" s="871" t="s">
        <v>3313</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60" t="s">
        <v>631</v>
      </c>
      <c r="O49" s="1054" t="s">
        <v>3123</v>
      </c>
      <c r="P49" s="1054">
        <v>12</v>
      </c>
      <c r="Q49" s="871"/>
    </row>
    <row r="50" spans="1:17" s="658" customFormat="1" ht="38" customHeight="1">
      <c r="A50" s="751">
        <f t="shared" si="2"/>
        <v>44</v>
      </c>
      <c r="B50" s="752" t="s">
        <v>3095</v>
      </c>
      <c r="C50" s="751" t="s">
        <v>1319</v>
      </c>
      <c r="D50" s="751" t="s">
        <v>897</v>
      </c>
      <c r="E50" s="788"/>
      <c r="F50" s="753">
        <v>46015</v>
      </c>
      <c r="G50" s="753">
        <v>46026</v>
      </c>
      <c r="H50" s="753">
        <v>46027</v>
      </c>
      <c r="I50" s="753">
        <v>46029</v>
      </c>
      <c r="J50" s="753">
        <v>46029</v>
      </c>
      <c r="K50" s="753">
        <v>46030</v>
      </c>
      <c r="L50" s="753">
        <v>46030</v>
      </c>
      <c r="M50" s="753"/>
      <c r="N50" s="960" t="s">
        <v>631</v>
      </c>
      <c r="O50" s="1054" t="s">
        <v>2873</v>
      </c>
      <c r="P50" s="1054">
        <v>20</v>
      </c>
      <c r="Q50" s="871"/>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60" t="s">
        <v>631</v>
      </c>
      <c r="O51" s="1054" t="s">
        <v>3157</v>
      </c>
      <c r="P51" s="1054">
        <v>16</v>
      </c>
      <c r="Q51" s="871"/>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60" t="s">
        <v>631</v>
      </c>
      <c r="O52" s="1054" t="s">
        <v>3264</v>
      </c>
      <c r="P52" s="1054">
        <v>12</v>
      </c>
      <c r="Q52" s="871"/>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60" t="s">
        <v>631</v>
      </c>
      <c r="O53" s="1054" t="s">
        <v>3144</v>
      </c>
      <c r="P53" s="1054">
        <v>17</v>
      </c>
      <c r="Q53" s="871"/>
    </row>
    <row r="54" spans="1:17" ht="36" customHeight="1">
      <c r="A54" s="751">
        <f t="shared" ref="A54:A63" si="3">A53+1</f>
        <v>48</v>
      </c>
      <c r="B54" s="752" t="s">
        <v>3099</v>
      </c>
      <c r="C54" s="751" t="s">
        <v>1269</v>
      </c>
      <c r="D54" s="751" t="s">
        <v>897</v>
      </c>
      <c r="E54" s="753"/>
      <c r="F54" s="753">
        <v>46026</v>
      </c>
      <c r="G54" s="753">
        <v>46043</v>
      </c>
      <c r="H54" s="753">
        <v>46051</v>
      </c>
      <c r="I54" s="753">
        <v>46051</v>
      </c>
      <c r="J54" s="753">
        <v>46051</v>
      </c>
      <c r="K54" s="753">
        <v>46053</v>
      </c>
      <c r="L54" s="753">
        <v>46053</v>
      </c>
      <c r="M54" s="753"/>
      <c r="N54" s="960" t="s">
        <v>631</v>
      </c>
      <c r="O54" s="1054" t="s">
        <v>3156</v>
      </c>
      <c r="P54" s="960">
        <v>18</v>
      </c>
      <c r="Q54" s="1124"/>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6">
        <v>46043</v>
      </c>
      <c r="N55" s="960" t="s">
        <v>631</v>
      </c>
      <c r="O55" s="1054" t="s">
        <v>3157</v>
      </c>
      <c r="P55" s="960">
        <v>16</v>
      </c>
      <c r="Q55" s="1124"/>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60" t="s">
        <v>631</v>
      </c>
      <c r="O56" s="1054" t="s">
        <v>3185</v>
      </c>
      <c r="P56" s="960">
        <v>7</v>
      </c>
      <c r="Q56" s="1124"/>
    </row>
    <row r="57" spans="1:17" ht="36" customHeight="1">
      <c r="A57" s="940">
        <f t="shared" si="3"/>
        <v>51</v>
      </c>
      <c r="B57" s="941" t="s">
        <v>770</v>
      </c>
      <c r="C57" s="940" t="s">
        <v>76</v>
      </c>
      <c r="D57" s="940" t="s">
        <v>897</v>
      </c>
      <c r="E57" s="943"/>
      <c r="F57" s="943">
        <v>46031</v>
      </c>
      <c r="G57" s="943"/>
      <c r="H57" s="943"/>
      <c r="I57" s="943"/>
      <c r="J57" s="943"/>
      <c r="K57" s="943"/>
      <c r="L57" s="943"/>
      <c r="M57" s="944"/>
      <c r="N57" s="944" t="s">
        <v>22</v>
      </c>
      <c r="O57" s="1074" t="s">
        <v>2210</v>
      </c>
      <c r="P57" s="944">
        <v>8</v>
      </c>
      <c r="Q57" s="1145" t="s">
        <v>3325</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6">
        <v>46054</v>
      </c>
      <c r="N58" s="960" t="s">
        <v>631</v>
      </c>
      <c r="O58" s="1054" t="s">
        <v>2873</v>
      </c>
      <c r="P58" s="960">
        <v>20</v>
      </c>
      <c r="Q58" s="1124"/>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1026">
        <v>46061</v>
      </c>
      <c r="N59" s="960" t="s">
        <v>631</v>
      </c>
      <c r="O59" s="1054" t="s">
        <v>3144</v>
      </c>
      <c r="P59" s="960">
        <v>12</v>
      </c>
      <c r="Q59" s="1124"/>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6">
        <v>46044</v>
      </c>
      <c r="N60" s="960" t="s">
        <v>631</v>
      </c>
      <c r="O60" s="1054" t="s">
        <v>3123</v>
      </c>
      <c r="P60" s="960">
        <v>10</v>
      </c>
      <c r="Q60" s="1124"/>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6">
        <v>46044</v>
      </c>
      <c r="N61" s="960" t="s">
        <v>631</v>
      </c>
      <c r="O61" s="1054" t="s">
        <v>3264</v>
      </c>
      <c r="P61" s="960">
        <v>10</v>
      </c>
      <c r="Q61" s="873"/>
    </row>
    <row r="62" spans="1:17" ht="36" customHeight="1">
      <c r="A62" s="1077">
        <f t="shared" si="3"/>
        <v>56</v>
      </c>
      <c r="B62" s="1078" t="s">
        <v>2042</v>
      </c>
      <c r="C62" s="1077" t="s">
        <v>53</v>
      </c>
      <c r="D62" s="1077" t="s">
        <v>2768</v>
      </c>
      <c r="E62" s="1079"/>
      <c r="F62" s="1079">
        <v>46053</v>
      </c>
      <c r="G62" s="1079">
        <v>46066</v>
      </c>
      <c r="H62" s="1079">
        <v>46066</v>
      </c>
      <c r="I62" s="1079">
        <v>46066</v>
      </c>
      <c r="J62" s="1079">
        <v>46066</v>
      </c>
      <c r="K62" s="1079">
        <v>46067</v>
      </c>
      <c r="L62" s="1079">
        <v>46067</v>
      </c>
      <c r="M62" s="1107">
        <v>46076</v>
      </c>
      <c r="N62" s="1080" t="s">
        <v>631</v>
      </c>
      <c r="O62" s="1103" t="s">
        <v>3314</v>
      </c>
      <c r="P62" s="1080">
        <v>8</v>
      </c>
      <c r="Q62" s="1184"/>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6">
        <v>46077</v>
      </c>
      <c r="N63" s="960" t="s">
        <v>631</v>
      </c>
      <c r="O63" s="1054" t="s">
        <v>3157</v>
      </c>
      <c r="P63" s="960">
        <v>16</v>
      </c>
      <c r="Q63" s="1124"/>
    </row>
    <row r="64" spans="1:17" ht="36" customHeight="1">
      <c r="A64" s="751">
        <f t="shared" ref="A64:A81" si="4">A63+1</f>
        <v>58</v>
      </c>
      <c r="B64" s="752" t="s">
        <v>503</v>
      </c>
      <c r="C64" s="751" t="s">
        <v>76</v>
      </c>
      <c r="D64" s="751" t="s">
        <v>897</v>
      </c>
      <c r="E64" s="753"/>
      <c r="F64" s="753">
        <v>46051</v>
      </c>
      <c r="G64" s="753">
        <v>46059</v>
      </c>
      <c r="H64" s="753">
        <v>46059</v>
      </c>
      <c r="I64" s="753">
        <v>46059</v>
      </c>
      <c r="J64" s="753">
        <v>46060</v>
      </c>
      <c r="K64" s="753">
        <v>46060</v>
      </c>
      <c r="L64" s="753">
        <v>46060</v>
      </c>
      <c r="M64" s="1026">
        <v>46078</v>
      </c>
      <c r="N64" s="960" t="s">
        <v>631</v>
      </c>
      <c r="O64" s="1054" t="s">
        <v>3157</v>
      </c>
      <c r="P64" s="960">
        <v>16</v>
      </c>
      <c r="Q64" s="1124"/>
    </row>
    <row r="65" spans="1:17" ht="36" customHeight="1">
      <c r="A65" s="751">
        <f t="shared" si="4"/>
        <v>59</v>
      </c>
      <c r="B65" s="752" t="s">
        <v>3090</v>
      </c>
      <c r="C65" s="751" t="s">
        <v>1939</v>
      </c>
      <c r="D65" s="751" t="s">
        <v>1767</v>
      </c>
      <c r="E65" s="753"/>
      <c r="F65" s="753">
        <v>46051</v>
      </c>
      <c r="G65" s="753">
        <v>46079</v>
      </c>
      <c r="H65" s="753">
        <v>46080</v>
      </c>
      <c r="I65" s="753">
        <v>46080</v>
      </c>
      <c r="J65" s="753">
        <v>46080</v>
      </c>
      <c r="K65" s="753">
        <v>46080</v>
      </c>
      <c r="L65" s="753">
        <v>46080</v>
      </c>
      <c r="M65" s="960"/>
      <c r="N65" s="960" t="s">
        <v>631</v>
      </c>
      <c r="O65" s="1054" t="s">
        <v>3156</v>
      </c>
      <c r="P65" s="960">
        <v>18</v>
      </c>
      <c r="Q65" s="1124"/>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1026">
        <v>46078</v>
      </c>
      <c r="N66" s="960" t="s">
        <v>631</v>
      </c>
      <c r="O66" s="1054" t="s">
        <v>3144</v>
      </c>
      <c r="P66" s="960">
        <v>12</v>
      </c>
      <c r="Q66" s="1124"/>
    </row>
    <row r="67" spans="1:17" ht="36" customHeight="1">
      <c r="A67" s="751">
        <f t="shared" si="4"/>
        <v>61</v>
      </c>
      <c r="B67" s="752" t="s">
        <v>3084</v>
      </c>
      <c r="C67" s="751" t="s">
        <v>2221</v>
      </c>
      <c r="D67" s="751" t="s">
        <v>1767</v>
      </c>
      <c r="E67" s="753"/>
      <c r="F67" s="753">
        <v>46053</v>
      </c>
      <c r="G67" s="753">
        <v>46059</v>
      </c>
      <c r="H67" s="753">
        <v>46059</v>
      </c>
      <c r="I67" s="753">
        <v>46059</v>
      </c>
      <c r="J67" s="753">
        <v>46059</v>
      </c>
      <c r="K67" s="753">
        <v>46061</v>
      </c>
      <c r="L67" s="753">
        <v>46061</v>
      </c>
      <c r="M67" s="960"/>
      <c r="N67" s="960" t="s">
        <v>631</v>
      </c>
      <c r="O67" s="1054" t="s">
        <v>2873</v>
      </c>
      <c r="P67" s="960">
        <v>20</v>
      </c>
      <c r="Q67" s="1124"/>
    </row>
    <row r="68" spans="1:17" ht="36" customHeight="1">
      <c r="A68" s="751">
        <f t="shared" si="4"/>
        <v>62</v>
      </c>
      <c r="B68" s="752" t="s">
        <v>3079</v>
      </c>
      <c r="C68" s="751" t="s">
        <v>2027</v>
      </c>
      <c r="D68" s="751" t="s">
        <v>3368</v>
      </c>
      <c r="E68" s="753"/>
      <c r="F68" s="753">
        <v>46056</v>
      </c>
      <c r="G68" s="753">
        <v>46070</v>
      </c>
      <c r="H68" s="753">
        <v>46071</v>
      </c>
      <c r="I68" s="753">
        <v>46071</v>
      </c>
      <c r="J68" s="753">
        <v>46071</v>
      </c>
      <c r="K68" s="753">
        <v>46073</v>
      </c>
      <c r="L68" s="753">
        <v>46073</v>
      </c>
      <c r="M68" s="960"/>
      <c r="N68" s="960" t="s">
        <v>631</v>
      </c>
      <c r="O68" s="1054" t="s">
        <v>3264</v>
      </c>
      <c r="P68" s="960">
        <v>10</v>
      </c>
      <c r="Q68" s="1124"/>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6">
        <v>46079</v>
      </c>
      <c r="N69" s="960" t="s">
        <v>631</v>
      </c>
      <c r="O69" s="1054" t="s">
        <v>2873</v>
      </c>
      <c r="P69" s="960">
        <v>20</v>
      </c>
      <c r="Q69" s="1124"/>
    </row>
    <row r="70" spans="1:17" ht="36" customHeight="1">
      <c r="A70" s="655">
        <f t="shared" si="4"/>
        <v>64</v>
      </c>
      <c r="B70" s="656" t="s">
        <v>3104</v>
      </c>
      <c r="C70" s="655" t="s">
        <v>1319</v>
      </c>
      <c r="D70" s="1037" t="s">
        <v>897</v>
      </c>
      <c r="E70" s="657"/>
      <c r="F70" s="657">
        <v>46058</v>
      </c>
      <c r="G70" s="657"/>
      <c r="H70" s="657"/>
      <c r="I70" s="657"/>
      <c r="J70" s="657"/>
      <c r="K70" s="657"/>
      <c r="L70" s="657"/>
      <c r="M70" s="816"/>
      <c r="N70" s="816" t="s">
        <v>22</v>
      </c>
      <c r="O70" s="1074" t="s">
        <v>2210</v>
      </c>
      <c r="P70" s="944">
        <v>8</v>
      </c>
      <c r="Q70" s="1189" t="s">
        <v>3398</v>
      </c>
    </row>
    <row r="71" spans="1:17" ht="36" customHeight="1">
      <c r="A71" s="751">
        <f t="shared" si="4"/>
        <v>65</v>
      </c>
      <c r="B71" s="752" t="s">
        <v>3115</v>
      </c>
      <c r="C71" s="751" t="s">
        <v>1269</v>
      </c>
      <c r="D71" s="751" t="s">
        <v>897</v>
      </c>
      <c r="E71" s="753"/>
      <c r="F71" s="753">
        <v>46063</v>
      </c>
      <c r="G71" s="753">
        <v>46073</v>
      </c>
      <c r="H71" s="753">
        <v>46073</v>
      </c>
      <c r="I71" s="753">
        <v>46073</v>
      </c>
      <c r="J71" s="753">
        <v>46073</v>
      </c>
      <c r="K71" s="753">
        <v>46073</v>
      </c>
      <c r="L71" s="753">
        <v>46073</v>
      </c>
      <c r="M71" s="960"/>
      <c r="N71" s="960" t="s">
        <v>631</v>
      </c>
      <c r="O71" s="1054" t="s">
        <v>3144</v>
      </c>
      <c r="P71" s="960">
        <v>12</v>
      </c>
      <c r="Q71" s="1124"/>
    </row>
    <row r="72" spans="1:17" ht="36" customHeight="1">
      <c r="A72" s="751">
        <f t="shared" si="4"/>
        <v>66</v>
      </c>
      <c r="B72" s="752" t="s">
        <v>3113</v>
      </c>
      <c r="C72" s="751" t="s">
        <v>1269</v>
      </c>
      <c r="D72" s="751" t="s">
        <v>2768</v>
      </c>
      <c r="E72" s="753"/>
      <c r="F72" s="753">
        <v>46064</v>
      </c>
      <c r="G72" s="753">
        <v>46073</v>
      </c>
      <c r="H72" s="753">
        <v>46073</v>
      </c>
      <c r="I72" s="753">
        <v>46073</v>
      </c>
      <c r="J72" s="753">
        <v>46073</v>
      </c>
      <c r="K72" s="753">
        <v>46073</v>
      </c>
      <c r="L72" s="753">
        <v>46073</v>
      </c>
      <c r="M72" s="960"/>
      <c r="N72" s="960" t="s">
        <v>631</v>
      </c>
      <c r="O72" s="1054" t="s">
        <v>3157</v>
      </c>
      <c r="P72" s="960">
        <v>16</v>
      </c>
      <c r="Q72" s="1124"/>
    </row>
    <row r="73" spans="1:17" ht="36" customHeight="1">
      <c r="A73" s="751">
        <f t="shared" si="4"/>
        <v>67</v>
      </c>
      <c r="B73" s="752" t="s">
        <v>3094</v>
      </c>
      <c r="C73" s="751" t="s">
        <v>1319</v>
      </c>
      <c r="D73" s="751" t="s">
        <v>897</v>
      </c>
      <c r="E73" s="753"/>
      <c r="F73" s="753">
        <v>46068</v>
      </c>
      <c r="G73" s="753">
        <v>46078</v>
      </c>
      <c r="H73" s="753">
        <v>46078</v>
      </c>
      <c r="I73" s="753">
        <v>46078</v>
      </c>
      <c r="J73" s="753">
        <v>46078</v>
      </c>
      <c r="K73" s="753">
        <v>46078</v>
      </c>
      <c r="L73" s="753">
        <v>46078</v>
      </c>
      <c r="M73" s="960"/>
      <c r="N73" s="960" t="s">
        <v>631</v>
      </c>
      <c r="O73" s="1054" t="s">
        <v>2873</v>
      </c>
      <c r="P73" s="960">
        <v>20</v>
      </c>
      <c r="Q73" s="1124"/>
    </row>
    <row r="74" spans="1:17" ht="36" customHeight="1">
      <c r="A74" s="655">
        <f t="shared" si="4"/>
        <v>68</v>
      </c>
      <c r="B74" s="656" t="s">
        <v>1653</v>
      </c>
      <c r="C74" s="655" t="s">
        <v>62</v>
      </c>
      <c r="D74" s="1037" t="s">
        <v>3348</v>
      </c>
      <c r="E74" s="657"/>
      <c r="F74" s="657">
        <v>46066</v>
      </c>
      <c r="G74" s="657"/>
      <c r="H74" s="657"/>
      <c r="I74" s="657"/>
      <c r="J74" s="657"/>
      <c r="K74" s="657"/>
      <c r="L74" s="657"/>
      <c r="M74" s="816"/>
      <c r="N74" s="816" t="s">
        <v>22</v>
      </c>
      <c r="O74" s="1074" t="s">
        <v>3185</v>
      </c>
      <c r="P74" s="944">
        <v>8</v>
      </c>
      <c r="Q74" s="1189" t="s">
        <v>3399</v>
      </c>
    </row>
    <row r="75" spans="1:17" ht="36" customHeight="1">
      <c r="A75" s="751">
        <f t="shared" si="4"/>
        <v>69</v>
      </c>
      <c r="B75" s="752" t="s">
        <v>2044</v>
      </c>
      <c r="C75" s="751" t="s">
        <v>76</v>
      </c>
      <c r="D75" s="751" t="s">
        <v>2768</v>
      </c>
      <c r="E75" s="753"/>
      <c r="F75" s="753">
        <v>46070</v>
      </c>
      <c r="G75" s="753">
        <v>46078</v>
      </c>
      <c r="H75" s="753">
        <v>46078</v>
      </c>
      <c r="I75" s="753">
        <v>46078</v>
      </c>
      <c r="J75" s="753">
        <v>46078</v>
      </c>
      <c r="K75" s="753">
        <v>46078</v>
      </c>
      <c r="L75" s="753">
        <v>46078</v>
      </c>
      <c r="M75" s="960"/>
      <c r="N75" s="960" t="s">
        <v>631</v>
      </c>
      <c r="O75" s="1054" t="s">
        <v>3314</v>
      </c>
      <c r="P75" s="960">
        <v>8</v>
      </c>
      <c r="Q75" s="873"/>
    </row>
    <row r="76" spans="1:17" ht="36" customHeight="1">
      <c r="A76" s="751">
        <f t="shared" si="4"/>
        <v>70</v>
      </c>
      <c r="B76" s="752" t="s">
        <v>502</v>
      </c>
      <c r="C76" s="751" t="s">
        <v>76</v>
      </c>
      <c r="D76" s="751" t="s">
        <v>2768</v>
      </c>
      <c r="E76" s="753"/>
      <c r="F76" s="753">
        <v>46076</v>
      </c>
      <c r="G76" s="753">
        <v>46079</v>
      </c>
      <c r="H76" s="753">
        <v>46080</v>
      </c>
      <c r="I76" s="753">
        <v>46080</v>
      </c>
      <c r="J76" s="753">
        <v>46080</v>
      </c>
      <c r="K76" s="753">
        <v>46080</v>
      </c>
      <c r="L76" s="753">
        <v>46080</v>
      </c>
      <c r="M76" s="1026">
        <v>46082</v>
      </c>
      <c r="N76" s="960" t="s">
        <v>631</v>
      </c>
      <c r="O76" s="1054" t="s">
        <v>3157</v>
      </c>
      <c r="P76" s="960">
        <v>16</v>
      </c>
      <c r="Q76" s="873"/>
    </row>
    <row r="77" spans="1:17" ht="36" customHeight="1">
      <c r="A77" s="655">
        <f t="shared" si="4"/>
        <v>71</v>
      </c>
      <c r="B77" s="656" t="s">
        <v>984</v>
      </c>
      <c r="C77" s="655" t="s">
        <v>76</v>
      </c>
      <c r="D77" s="1037" t="s">
        <v>2768</v>
      </c>
      <c r="E77" s="657"/>
      <c r="F77" s="657">
        <v>46076</v>
      </c>
      <c r="G77" s="657"/>
      <c r="H77" s="657"/>
      <c r="I77" s="657"/>
      <c r="J77" s="657"/>
      <c r="K77" s="657"/>
      <c r="L77" s="657"/>
      <c r="M77" s="816"/>
      <c r="N77" s="816" t="s">
        <v>22</v>
      </c>
      <c r="O77" s="1074" t="s">
        <v>3264</v>
      </c>
      <c r="P77" s="944">
        <v>10</v>
      </c>
      <c r="Q77" s="1189" t="s">
        <v>3400</v>
      </c>
    </row>
    <row r="78" spans="1:17" ht="36" customHeight="1">
      <c r="A78" s="655">
        <f t="shared" si="4"/>
        <v>72</v>
      </c>
      <c r="B78" s="656" t="s">
        <v>2013</v>
      </c>
      <c r="C78" s="655" t="s">
        <v>53</v>
      </c>
      <c r="D78" s="1037" t="s">
        <v>897</v>
      </c>
      <c r="E78" s="657"/>
      <c r="F78" s="657">
        <v>46076</v>
      </c>
      <c r="G78" s="657"/>
      <c r="H78" s="657"/>
      <c r="I78" s="657"/>
      <c r="J78" s="657"/>
      <c r="K78" s="657"/>
      <c r="L78" s="657"/>
      <c r="M78" s="816"/>
      <c r="N78" s="816" t="s">
        <v>22</v>
      </c>
      <c r="O78" s="1074" t="s">
        <v>3144</v>
      </c>
      <c r="P78" s="944">
        <v>12</v>
      </c>
      <c r="Q78" s="1189" t="s">
        <v>3401</v>
      </c>
    </row>
    <row r="79" spans="1:17" ht="36" customHeight="1">
      <c r="A79" s="655">
        <f t="shared" si="4"/>
        <v>73</v>
      </c>
      <c r="B79" s="656" t="s">
        <v>2035</v>
      </c>
      <c r="C79" s="655" t="s">
        <v>62</v>
      </c>
      <c r="D79" s="1037" t="s">
        <v>3348</v>
      </c>
      <c r="E79" s="657"/>
      <c r="F79" s="657">
        <v>46082</v>
      </c>
      <c r="G79" s="657"/>
      <c r="H79" s="657"/>
      <c r="I79" s="657"/>
      <c r="J79" s="657"/>
      <c r="K79" s="657"/>
      <c r="L79" s="657"/>
      <c r="M79" s="816"/>
      <c r="N79" s="816" t="s">
        <v>22</v>
      </c>
      <c r="O79" s="1074" t="s">
        <v>3314</v>
      </c>
      <c r="P79" s="944">
        <v>8</v>
      </c>
      <c r="Q79" s="1189" t="s">
        <v>3402</v>
      </c>
    </row>
    <row r="80" spans="1:17" ht="36" customHeight="1">
      <c r="A80" s="655">
        <f t="shared" si="4"/>
        <v>74</v>
      </c>
      <c r="B80" s="656" t="s">
        <v>3082</v>
      </c>
      <c r="C80" s="655" t="s">
        <v>1981</v>
      </c>
      <c r="D80" s="1037" t="s">
        <v>92</v>
      </c>
      <c r="E80" s="657"/>
      <c r="F80" s="657">
        <v>46082</v>
      </c>
      <c r="G80" s="657"/>
      <c r="H80" s="657"/>
      <c r="I80" s="657"/>
      <c r="J80" s="657"/>
      <c r="K80" s="657"/>
      <c r="L80" s="657"/>
      <c r="M80" s="816"/>
      <c r="N80" s="816" t="s">
        <v>22</v>
      </c>
      <c r="O80" s="1074" t="s">
        <v>2873</v>
      </c>
      <c r="P80" s="944">
        <v>20</v>
      </c>
      <c r="Q80" s="1189" t="s">
        <v>3403</v>
      </c>
    </row>
    <row r="81" spans="1:17" ht="36" customHeight="1">
      <c r="A81" s="655">
        <f t="shared" si="4"/>
        <v>75</v>
      </c>
      <c r="B81" s="656" t="s">
        <v>3093</v>
      </c>
      <c r="C81" s="655" t="s">
        <v>1361</v>
      </c>
      <c r="D81" s="1037" t="s">
        <v>2768</v>
      </c>
      <c r="E81" s="657"/>
      <c r="F81" s="657">
        <v>46082</v>
      </c>
      <c r="G81" s="657"/>
      <c r="H81" s="657"/>
      <c r="I81" s="657"/>
      <c r="J81" s="657"/>
      <c r="K81" s="657"/>
      <c r="L81" s="657"/>
      <c r="M81" s="816"/>
      <c r="N81" s="816" t="s">
        <v>22</v>
      </c>
      <c r="O81" s="1074" t="s">
        <v>2873</v>
      </c>
      <c r="P81" s="944">
        <v>20</v>
      </c>
      <c r="Q81" s="1189" t="s">
        <v>3404</v>
      </c>
    </row>
  </sheetData>
  <autoFilter ref="A6:T81"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F0"/>
  </sheetPr>
  <dimension ref="A1:K37"/>
  <sheetViews>
    <sheetView zoomScale="90" zoomScaleNormal="90" workbookViewId="0">
      <pane ySplit="6" topLeftCell="A30" activePane="bottomLeft" state="frozen"/>
      <selection activeCell="H27" sqref="H27"/>
      <selection pane="bottomLeft" activeCell="H32" sqref="H3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46083</v>
      </c>
    </row>
    <row r="2" spans="1:11" ht="12.5">
      <c r="A2" s="651" t="s">
        <v>2771</v>
      </c>
      <c r="B2" s="652"/>
      <c r="C2" s="653"/>
      <c r="D2" s="653"/>
      <c r="E2" s="653"/>
      <c r="F2" s="653"/>
      <c r="H2" s="653"/>
    </row>
    <row r="3" spans="1:11" ht="12.5">
      <c r="A3" s="651" t="s">
        <v>3252</v>
      </c>
      <c r="B3" s="651"/>
      <c r="C3" s="654"/>
      <c r="D3" s="654"/>
      <c r="E3" s="654"/>
      <c r="F3" s="654"/>
      <c r="H3" s="654"/>
    </row>
    <row r="5" spans="1:11" s="661" customFormat="1" ht="17.5" customHeight="1">
      <c r="A5" s="1391" t="s">
        <v>1786</v>
      </c>
      <c r="B5" s="1391" t="s">
        <v>998</v>
      </c>
      <c r="C5" s="1391" t="s">
        <v>44</v>
      </c>
      <c r="D5" s="1396" t="s">
        <v>3251</v>
      </c>
      <c r="E5" s="1391" t="s">
        <v>1763</v>
      </c>
      <c r="F5" s="1396" t="s">
        <v>3289</v>
      </c>
      <c r="G5" s="1396" t="s">
        <v>3253</v>
      </c>
      <c r="H5" s="1391" t="s">
        <v>627</v>
      </c>
      <c r="I5" s="1391" t="s">
        <v>1764</v>
      </c>
      <c r="J5" s="1396" t="s">
        <v>1765</v>
      </c>
      <c r="K5" s="660" t="s">
        <v>1766</v>
      </c>
    </row>
    <row r="6" spans="1:11" s="661" customFormat="1" ht="17.5" customHeight="1">
      <c r="A6" s="1392"/>
      <c r="B6" s="1392"/>
      <c r="C6" s="1392"/>
      <c r="D6" s="1392"/>
      <c r="E6" s="1392"/>
      <c r="F6" s="1392"/>
      <c r="G6" s="1392"/>
      <c r="H6" s="1392"/>
      <c r="I6" s="1392"/>
      <c r="J6" s="1397"/>
      <c r="K6" s="660"/>
    </row>
    <row r="7" spans="1:11" s="1067" customFormat="1" ht="31" customHeight="1">
      <c r="A7" s="751">
        <v>1</v>
      </c>
      <c r="B7" s="752" t="s">
        <v>1656</v>
      </c>
      <c r="C7" s="751" t="s">
        <v>76</v>
      </c>
      <c r="D7" s="751">
        <v>18.32</v>
      </c>
      <c r="E7" s="787">
        <v>34.389000000000003</v>
      </c>
      <c r="F7" s="753">
        <v>45988</v>
      </c>
      <c r="G7" s="753">
        <v>45994</v>
      </c>
      <c r="H7" s="751" t="s">
        <v>631</v>
      </c>
      <c r="I7" s="751" t="s">
        <v>3254</v>
      </c>
      <c r="J7" s="751">
        <v>23</v>
      </c>
      <c r="K7" s="754"/>
    </row>
    <row r="8" spans="1:11" s="1067" customFormat="1" ht="31" customHeight="1">
      <c r="A8" s="751">
        <f t="shared" ref="A8:A9" si="0">A7+1</f>
        <v>2</v>
      </c>
      <c r="B8" s="752" t="s">
        <v>1655</v>
      </c>
      <c r="C8" s="751" t="s">
        <v>76</v>
      </c>
      <c r="D8" s="751">
        <v>18.32</v>
      </c>
      <c r="E8" s="787">
        <v>21.318000000000001</v>
      </c>
      <c r="F8" s="753">
        <v>45996</v>
      </c>
      <c r="G8" s="753">
        <v>46001</v>
      </c>
      <c r="H8" s="751" t="s">
        <v>631</v>
      </c>
      <c r="I8" s="751" t="s">
        <v>3254</v>
      </c>
      <c r="J8" s="751">
        <v>23</v>
      </c>
      <c r="K8" s="754"/>
    </row>
    <row r="9" spans="1:11" s="1067" customFormat="1" ht="31" customHeight="1">
      <c r="A9" s="751">
        <f t="shared" si="0"/>
        <v>3</v>
      </c>
      <c r="B9" s="752" t="s">
        <v>1138</v>
      </c>
      <c r="C9" s="751" t="s">
        <v>1269</v>
      </c>
      <c r="D9" s="751">
        <v>27.92</v>
      </c>
      <c r="E9" s="787">
        <v>21.318000000000001</v>
      </c>
      <c r="F9" s="753">
        <v>46002</v>
      </c>
      <c r="G9" s="753">
        <v>45982</v>
      </c>
      <c r="H9" s="751" t="s">
        <v>631</v>
      </c>
      <c r="I9" s="751" t="s">
        <v>3254</v>
      </c>
      <c r="J9" s="751">
        <v>23</v>
      </c>
      <c r="K9" s="873"/>
    </row>
    <row r="10" spans="1:11" s="1067" customFormat="1" ht="31" customHeight="1">
      <c r="A10" s="751">
        <v>4</v>
      </c>
      <c r="B10" s="752" t="s">
        <v>1657</v>
      </c>
      <c r="C10" s="751" t="s">
        <v>62</v>
      </c>
      <c r="D10" s="751">
        <v>19.440000000000001</v>
      </c>
      <c r="E10" s="787"/>
      <c r="F10" s="753">
        <v>46013</v>
      </c>
      <c r="G10" s="753">
        <v>46020</v>
      </c>
      <c r="H10" s="751" t="s">
        <v>631</v>
      </c>
      <c r="I10" s="751" t="s">
        <v>3254</v>
      </c>
      <c r="J10" s="751">
        <v>20</v>
      </c>
      <c r="K10" s="873"/>
    </row>
    <row r="11" spans="1:11" s="1067" customFormat="1" ht="31" customHeight="1">
      <c r="A11" s="751">
        <f t="shared" ref="A11:A17" si="1">A10+1</f>
        <v>5</v>
      </c>
      <c r="B11" s="752" t="s">
        <v>1630</v>
      </c>
      <c r="C11" s="751" t="s">
        <v>76</v>
      </c>
      <c r="D11" s="751">
        <v>18.32</v>
      </c>
      <c r="E11" s="787"/>
      <c r="F11" s="753">
        <v>46016</v>
      </c>
      <c r="G11" s="753">
        <v>46027</v>
      </c>
      <c r="H11" s="751" t="s">
        <v>631</v>
      </c>
      <c r="I11" s="751" t="s">
        <v>3293</v>
      </c>
      <c r="J11" s="751">
        <v>15</v>
      </c>
      <c r="K11" s="873"/>
    </row>
    <row r="12" spans="1:11" s="1067" customFormat="1" ht="31" customHeight="1">
      <c r="A12" s="751">
        <f t="shared" si="1"/>
        <v>6</v>
      </c>
      <c r="B12" s="752" t="s">
        <v>1660</v>
      </c>
      <c r="C12" s="751" t="s">
        <v>53</v>
      </c>
      <c r="D12" s="751">
        <v>22.68</v>
      </c>
      <c r="E12" s="787"/>
      <c r="F12" s="753">
        <v>46020</v>
      </c>
      <c r="G12" s="753">
        <v>46030</v>
      </c>
      <c r="H12" s="751" t="s">
        <v>631</v>
      </c>
      <c r="I12" s="751" t="s">
        <v>3254</v>
      </c>
      <c r="J12" s="751">
        <v>20</v>
      </c>
      <c r="K12" s="873"/>
    </row>
    <row r="13" spans="1:11" s="1067" customFormat="1" ht="31" customHeight="1">
      <c r="A13" s="751">
        <f t="shared" si="1"/>
        <v>7</v>
      </c>
      <c r="B13" s="752" t="s">
        <v>1631</v>
      </c>
      <c r="C13" s="751" t="s">
        <v>76</v>
      </c>
      <c r="D13" s="751">
        <v>18.32</v>
      </c>
      <c r="E13" s="787"/>
      <c r="F13" s="753">
        <v>46029</v>
      </c>
      <c r="G13" s="753">
        <v>46038</v>
      </c>
      <c r="H13" s="751" t="s">
        <v>631</v>
      </c>
      <c r="I13" s="751" t="s">
        <v>3293</v>
      </c>
      <c r="J13" s="751">
        <v>15</v>
      </c>
      <c r="K13" s="873"/>
    </row>
    <row r="14" spans="1:11" s="1067" customFormat="1" ht="31" customHeight="1">
      <c r="A14" s="751">
        <f t="shared" si="1"/>
        <v>8</v>
      </c>
      <c r="B14" s="752" t="s">
        <v>1964</v>
      </c>
      <c r="C14" s="751" t="s">
        <v>249</v>
      </c>
      <c r="D14" s="751">
        <v>24.13</v>
      </c>
      <c r="E14" s="787"/>
      <c r="F14" s="753">
        <v>46031</v>
      </c>
      <c r="G14" s="753">
        <v>46040</v>
      </c>
      <c r="H14" s="751" t="s">
        <v>631</v>
      </c>
      <c r="I14" s="751" t="s">
        <v>3254</v>
      </c>
      <c r="J14" s="751">
        <v>20</v>
      </c>
      <c r="K14" s="873"/>
    </row>
    <row r="15" spans="1:11" s="1067" customFormat="1" ht="31" customHeight="1">
      <c r="A15" s="751">
        <f t="shared" si="1"/>
        <v>9</v>
      </c>
      <c r="B15" s="752" t="s">
        <v>2398</v>
      </c>
      <c r="C15" s="751" t="s">
        <v>1277</v>
      </c>
      <c r="D15" s="751">
        <v>32.22</v>
      </c>
      <c r="E15" s="787"/>
      <c r="F15" s="753">
        <v>46040</v>
      </c>
      <c r="G15" s="753">
        <v>46053</v>
      </c>
      <c r="H15" s="751" t="s">
        <v>631</v>
      </c>
      <c r="I15" s="751" t="s">
        <v>3293</v>
      </c>
      <c r="J15" s="751">
        <v>21</v>
      </c>
      <c r="K15" s="873"/>
    </row>
    <row r="16" spans="1:11" s="1067" customFormat="1" ht="31" customHeight="1">
      <c r="A16" s="751">
        <f t="shared" si="1"/>
        <v>10</v>
      </c>
      <c r="B16" s="752" t="s">
        <v>1963</v>
      </c>
      <c r="C16" s="751" t="s">
        <v>76</v>
      </c>
      <c r="D16" s="751">
        <v>18.32</v>
      </c>
      <c r="E16" s="787"/>
      <c r="F16" s="753">
        <v>46040</v>
      </c>
      <c r="G16" s="753">
        <v>46044</v>
      </c>
      <c r="H16" s="751" t="s">
        <v>631</v>
      </c>
      <c r="I16" s="751" t="s">
        <v>3254</v>
      </c>
      <c r="J16" s="751">
        <v>22</v>
      </c>
      <c r="K16" s="873"/>
    </row>
    <row r="17" spans="1:11" s="1067" customFormat="1" ht="31" customHeight="1">
      <c r="A17" s="751">
        <f t="shared" si="1"/>
        <v>11</v>
      </c>
      <c r="B17" s="752" t="s">
        <v>1661</v>
      </c>
      <c r="C17" s="751" t="s">
        <v>62</v>
      </c>
      <c r="D17" s="751">
        <v>19.440000000000001</v>
      </c>
      <c r="E17" s="787"/>
      <c r="F17" s="753">
        <v>46047</v>
      </c>
      <c r="G17" s="753">
        <v>46054</v>
      </c>
      <c r="H17" s="751" t="s">
        <v>631</v>
      </c>
      <c r="I17" s="751" t="s">
        <v>3254</v>
      </c>
      <c r="J17" s="751">
        <v>22</v>
      </c>
      <c r="K17" s="873"/>
    </row>
    <row r="18" spans="1:11" s="1067" customFormat="1" ht="31" customHeight="1">
      <c r="A18" s="751">
        <f t="shared" ref="A18:A37" si="2">A17+1</f>
        <v>12</v>
      </c>
      <c r="B18" s="752" t="s">
        <v>1662</v>
      </c>
      <c r="C18" s="751" t="s">
        <v>76</v>
      </c>
      <c r="D18" s="751">
        <v>18.32</v>
      </c>
      <c r="E18" s="787"/>
      <c r="F18" s="753">
        <v>46054</v>
      </c>
      <c r="G18" s="753">
        <v>46059</v>
      </c>
      <c r="H18" s="751" t="s">
        <v>631</v>
      </c>
      <c r="I18" s="751" t="s">
        <v>3254</v>
      </c>
      <c r="J18" s="751">
        <v>22</v>
      </c>
      <c r="K18" s="873"/>
    </row>
    <row r="19" spans="1:11" s="1067" customFormat="1" ht="31" customHeight="1">
      <c r="A19" s="751">
        <f t="shared" si="2"/>
        <v>13</v>
      </c>
      <c r="B19" s="752" t="s">
        <v>1638</v>
      </c>
      <c r="C19" s="751" t="s">
        <v>76</v>
      </c>
      <c r="D19" s="751">
        <v>18.32</v>
      </c>
      <c r="E19" s="787"/>
      <c r="F19" s="753">
        <v>46054</v>
      </c>
      <c r="G19" s="753">
        <v>46060</v>
      </c>
      <c r="H19" s="751" t="s">
        <v>631</v>
      </c>
      <c r="I19" s="751" t="s">
        <v>3293</v>
      </c>
      <c r="J19" s="751">
        <v>21</v>
      </c>
      <c r="K19" s="873"/>
    </row>
    <row r="20" spans="1:11" s="1067" customFormat="1" ht="31" customHeight="1">
      <c r="A20" s="751">
        <f t="shared" si="2"/>
        <v>14</v>
      </c>
      <c r="B20" s="752" t="s">
        <v>1116</v>
      </c>
      <c r="C20" s="751" t="s">
        <v>76</v>
      </c>
      <c r="D20" s="751">
        <v>18.32</v>
      </c>
      <c r="E20" s="787"/>
      <c r="F20" s="753">
        <v>46058</v>
      </c>
      <c r="G20" s="753">
        <v>46063</v>
      </c>
      <c r="H20" s="751" t="s">
        <v>631</v>
      </c>
      <c r="I20" s="751" t="s">
        <v>3355</v>
      </c>
      <c r="J20" s="751">
        <v>21</v>
      </c>
      <c r="K20" s="1124" t="s">
        <v>3353</v>
      </c>
    </row>
    <row r="21" spans="1:11" s="1067" customFormat="1" ht="31" customHeight="1">
      <c r="A21" s="751">
        <f t="shared" si="2"/>
        <v>15</v>
      </c>
      <c r="B21" s="752" t="s">
        <v>668</v>
      </c>
      <c r="C21" s="751" t="s">
        <v>76</v>
      </c>
      <c r="D21" s="751">
        <v>18.32</v>
      </c>
      <c r="E21" s="787"/>
      <c r="F21" s="753">
        <v>46059</v>
      </c>
      <c r="G21" s="753"/>
      <c r="H21" s="751" t="s">
        <v>631</v>
      </c>
      <c r="I21" s="751" t="s">
        <v>3254</v>
      </c>
      <c r="J21" s="751">
        <v>22</v>
      </c>
      <c r="K21" s="873"/>
    </row>
    <row r="22" spans="1:11" s="1067" customFormat="1" ht="31" customHeight="1">
      <c r="A22" s="751">
        <f t="shared" si="2"/>
        <v>16</v>
      </c>
      <c r="B22" s="752" t="s">
        <v>1637</v>
      </c>
      <c r="C22" s="751" t="s">
        <v>76</v>
      </c>
      <c r="D22" s="751">
        <v>18.32</v>
      </c>
      <c r="E22" s="787"/>
      <c r="F22" s="753">
        <v>46061</v>
      </c>
      <c r="G22" s="753">
        <v>46066</v>
      </c>
      <c r="H22" s="751" t="s">
        <v>631</v>
      </c>
      <c r="I22" s="751" t="s">
        <v>3350</v>
      </c>
      <c r="J22" s="751">
        <v>21</v>
      </c>
      <c r="K22" s="873"/>
    </row>
    <row r="23" spans="1:11" s="1067" customFormat="1" ht="31" customHeight="1">
      <c r="A23" s="751">
        <f t="shared" si="2"/>
        <v>17</v>
      </c>
      <c r="B23" s="752" t="s">
        <v>1663</v>
      </c>
      <c r="C23" s="751" t="s">
        <v>62</v>
      </c>
      <c r="D23" s="751">
        <v>19.440000000000001</v>
      </c>
      <c r="E23" s="787"/>
      <c r="F23" s="753">
        <v>46062</v>
      </c>
      <c r="G23" s="753">
        <v>46066</v>
      </c>
      <c r="H23" s="751" t="s">
        <v>631</v>
      </c>
      <c r="I23" s="751" t="s">
        <v>3254</v>
      </c>
      <c r="J23" s="751">
        <v>22</v>
      </c>
      <c r="K23" s="873"/>
    </row>
    <row r="24" spans="1:11" s="1067" customFormat="1" ht="31" customHeight="1">
      <c r="A24" s="751">
        <f t="shared" si="2"/>
        <v>18</v>
      </c>
      <c r="B24" s="752" t="s">
        <v>3092</v>
      </c>
      <c r="C24" s="751" t="s">
        <v>1269</v>
      </c>
      <c r="D24" s="751">
        <v>27.92</v>
      </c>
      <c r="E24" s="787"/>
      <c r="F24" s="753">
        <v>46064</v>
      </c>
      <c r="G24" s="753">
        <v>46068</v>
      </c>
      <c r="H24" s="751" t="s">
        <v>631</v>
      </c>
      <c r="I24" s="751" t="s">
        <v>3355</v>
      </c>
      <c r="J24" s="751">
        <v>21</v>
      </c>
      <c r="K24" s="873"/>
    </row>
    <row r="25" spans="1:11" s="1067" customFormat="1" ht="31" customHeight="1">
      <c r="A25" s="751">
        <f t="shared" si="2"/>
        <v>19</v>
      </c>
      <c r="B25" s="752" t="s">
        <v>3101</v>
      </c>
      <c r="C25" s="751" t="s">
        <v>1269</v>
      </c>
      <c r="D25" s="1185">
        <f>27.921</f>
        <v>27.920999999999999</v>
      </c>
      <c r="E25" s="787"/>
      <c r="F25" s="753">
        <v>46066</v>
      </c>
      <c r="G25" s="753">
        <v>46073</v>
      </c>
      <c r="H25" s="751" t="s">
        <v>631</v>
      </c>
      <c r="I25" s="751" t="s">
        <v>3254</v>
      </c>
      <c r="J25" s="751">
        <v>22</v>
      </c>
      <c r="K25" s="873"/>
    </row>
    <row r="26" spans="1:11" s="1067" customFormat="1" ht="31" customHeight="1">
      <c r="A26" s="751">
        <f t="shared" si="2"/>
        <v>20</v>
      </c>
      <c r="B26" s="752" t="s">
        <v>3087</v>
      </c>
      <c r="C26" s="751" t="s">
        <v>1277</v>
      </c>
      <c r="D26" s="1185">
        <v>32.222000000000001</v>
      </c>
      <c r="E26" s="787"/>
      <c r="F26" s="753">
        <v>46066</v>
      </c>
      <c r="G26" s="753">
        <v>46077</v>
      </c>
      <c r="H26" s="751" t="s">
        <v>631</v>
      </c>
      <c r="I26" s="751" t="s">
        <v>3350</v>
      </c>
      <c r="J26" s="751">
        <v>21</v>
      </c>
      <c r="K26" s="873"/>
    </row>
    <row r="27" spans="1:11" s="1067" customFormat="1" ht="31" customHeight="1">
      <c r="A27" s="751">
        <f t="shared" si="2"/>
        <v>21</v>
      </c>
      <c r="B27" s="752" t="s">
        <v>1647</v>
      </c>
      <c r="C27" s="751" t="s">
        <v>62</v>
      </c>
      <c r="D27" s="1185">
        <v>19.440000000000001</v>
      </c>
      <c r="E27" s="787"/>
      <c r="F27" s="753">
        <v>46068</v>
      </c>
      <c r="G27" s="753">
        <v>46072</v>
      </c>
      <c r="H27" s="751" t="s">
        <v>631</v>
      </c>
      <c r="I27" s="751" t="s">
        <v>3355</v>
      </c>
      <c r="J27" s="751">
        <v>21</v>
      </c>
      <c r="K27" s="873"/>
    </row>
    <row r="28" spans="1:11" s="1067" customFormat="1" ht="31" customHeight="1">
      <c r="A28" s="751">
        <f t="shared" si="2"/>
        <v>22</v>
      </c>
      <c r="B28" s="752" t="s">
        <v>964</v>
      </c>
      <c r="C28" s="751" t="s">
        <v>62</v>
      </c>
      <c r="D28" s="1185">
        <v>19.440000000000001</v>
      </c>
      <c r="E28" s="787"/>
      <c r="F28" s="753">
        <v>46069</v>
      </c>
      <c r="G28" s="753">
        <v>46076</v>
      </c>
      <c r="H28" s="751" t="s">
        <v>631</v>
      </c>
      <c r="I28" s="751" t="s">
        <v>3381</v>
      </c>
      <c r="J28" s="751">
        <v>26</v>
      </c>
      <c r="K28" s="873"/>
    </row>
    <row r="29" spans="1:11" s="1067" customFormat="1" ht="31" customHeight="1">
      <c r="A29" s="751">
        <f t="shared" si="2"/>
        <v>23</v>
      </c>
      <c r="B29" s="752" t="s">
        <v>2008</v>
      </c>
      <c r="C29" s="751" t="s">
        <v>76</v>
      </c>
      <c r="D29" s="1185">
        <v>18.32</v>
      </c>
      <c r="E29" s="787"/>
      <c r="F29" s="753">
        <v>46070</v>
      </c>
      <c r="G29" s="753">
        <v>46078</v>
      </c>
      <c r="H29" s="751" t="s">
        <v>631</v>
      </c>
      <c r="I29" s="751" t="s">
        <v>3376</v>
      </c>
      <c r="J29" s="751">
        <f>18+5</f>
        <v>23</v>
      </c>
      <c r="K29" s="873"/>
    </row>
    <row r="30" spans="1:11" s="1067" customFormat="1" ht="31" customHeight="1">
      <c r="A30" s="751">
        <f t="shared" si="2"/>
        <v>24</v>
      </c>
      <c r="B30" s="752" t="s">
        <v>654</v>
      </c>
      <c r="C30" s="751" t="s">
        <v>53</v>
      </c>
      <c r="D30" s="1185">
        <v>22.68</v>
      </c>
      <c r="E30" s="787"/>
      <c r="F30" s="753">
        <v>46073</v>
      </c>
      <c r="G30" s="753">
        <v>46078</v>
      </c>
      <c r="H30" s="751" t="s">
        <v>631</v>
      </c>
      <c r="I30" s="751" t="s">
        <v>3254</v>
      </c>
      <c r="J30" s="751">
        <v>22</v>
      </c>
      <c r="K30" s="873"/>
    </row>
    <row r="31" spans="1:11" s="1067" customFormat="1" ht="31" customHeight="1">
      <c r="A31" s="1077">
        <f t="shared" si="2"/>
        <v>25</v>
      </c>
      <c r="B31" s="1078" t="s">
        <v>1646</v>
      </c>
      <c r="C31" s="1077" t="s">
        <v>62</v>
      </c>
      <c r="D31" s="1188">
        <v>19.440000000000001</v>
      </c>
      <c r="E31" s="966"/>
      <c r="F31" s="1079">
        <v>46073</v>
      </c>
      <c r="G31" s="1079">
        <v>46075</v>
      </c>
      <c r="H31" s="1077" t="s">
        <v>631</v>
      </c>
      <c r="I31" s="1077" t="s">
        <v>3355</v>
      </c>
      <c r="J31" s="1077">
        <v>21</v>
      </c>
      <c r="K31" s="1190"/>
    </row>
    <row r="32" spans="1:11" s="1067" customFormat="1" ht="31" customHeight="1">
      <c r="A32" s="1037">
        <f t="shared" si="2"/>
        <v>26</v>
      </c>
      <c r="B32" s="1038" t="s">
        <v>3095</v>
      </c>
      <c r="C32" s="1037" t="s">
        <v>1319</v>
      </c>
      <c r="D32" s="1180"/>
      <c r="E32" s="1039"/>
      <c r="F32" s="1040">
        <v>46075</v>
      </c>
      <c r="G32" s="1040"/>
      <c r="H32" s="1037" t="s">
        <v>3406</v>
      </c>
      <c r="I32" s="1037" t="s">
        <v>3355</v>
      </c>
      <c r="J32" s="1037">
        <v>21</v>
      </c>
      <c r="K32" s="1102"/>
    </row>
    <row r="33" spans="1:11" s="1067" customFormat="1" ht="31" customHeight="1">
      <c r="A33" s="751">
        <f t="shared" si="2"/>
        <v>27</v>
      </c>
      <c r="B33" s="752" t="s">
        <v>965</v>
      </c>
      <c r="C33" s="751" t="s">
        <v>76</v>
      </c>
      <c r="D33" s="1185">
        <v>18.32</v>
      </c>
      <c r="E33" s="787"/>
      <c r="F33" s="753">
        <v>46077</v>
      </c>
      <c r="G33" s="753">
        <v>46081</v>
      </c>
      <c r="H33" s="751" t="s">
        <v>631</v>
      </c>
      <c r="I33" s="751" t="s">
        <v>3381</v>
      </c>
      <c r="J33" s="751">
        <v>26</v>
      </c>
      <c r="K33" s="873"/>
    </row>
    <row r="34" spans="1:11" s="1067" customFormat="1" ht="31" customHeight="1">
      <c r="A34" s="1037">
        <f t="shared" si="2"/>
        <v>28</v>
      </c>
      <c r="B34" s="1038" t="s">
        <v>1636</v>
      </c>
      <c r="C34" s="1037" t="s">
        <v>53</v>
      </c>
      <c r="D34" s="1180">
        <v>22.68</v>
      </c>
      <c r="E34" s="1039"/>
      <c r="F34" s="1040">
        <v>46077</v>
      </c>
      <c r="G34" s="1040"/>
      <c r="H34" s="1037" t="s">
        <v>3387</v>
      </c>
      <c r="I34" s="1037" t="s">
        <v>3350</v>
      </c>
      <c r="J34" s="1037">
        <v>21</v>
      </c>
      <c r="K34" s="1102"/>
    </row>
    <row r="35" spans="1:11" s="1067" customFormat="1" ht="31" customHeight="1">
      <c r="A35" s="940">
        <f t="shared" si="2"/>
        <v>29</v>
      </c>
      <c r="B35" s="941" t="s">
        <v>564</v>
      </c>
      <c r="C35" s="940" t="s">
        <v>62</v>
      </c>
      <c r="D35" s="1528">
        <v>19.440000000000001</v>
      </c>
      <c r="E35" s="942"/>
      <c r="F35" s="943">
        <v>46078</v>
      </c>
      <c r="G35" s="943"/>
      <c r="H35" s="940"/>
      <c r="I35" s="940" t="s">
        <v>3376</v>
      </c>
      <c r="J35" s="940"/>
      <c r="K35" s="1529" t="s">
        <v>3388</v>
      </c>
    </row>
    <row r="36" spans="1:11" s="1067" customFormat="1" ht="31" customHeight="1">
      <c r="A36" s="940">
        <f t="shared" si="2"/>
        <v>30</v>
      </c>
      <c r="B36" s="941" t="s">
        <v>1967</v>
      </c>
      <c r="C36" s="940" t="s">
        <v>62</v>
      </c>
      <c r="D36" s="1528">
        <v>19.440000000000001</v>
      </c>
      <c r="E36" s="942"/>
      <c r="F36" s="943">
        <v>46078</v>
      </c>
      <c r="G36" s="943"/>
      <c r="H36" s="940"/>
      <c r="I36" s="940" t="s">
        <v>3254</v>
      </c>
      <c r="J36" s="940"/>
      <c r="K36" s="1529" t="s">
        <v>3388</v>
      </c>
    </row>
    <row r="37" spans="1:11" s="1067" customFormat="1" ht="31" customHeight="1">
      <c r="A37" s="1037">
        <f t="shared" si="2"/>
        <v>31</v>
      </c>
      <c r="B37" s="1038" t="s">
        <v>3109</v>
      </c>
      <c r="C37" s="1037" t="s">
        <v>1361</v>
      </c>
      <c r="D37" s="1180"/>
      <c r="E37" s="1039"/>
      <c r="F37" s="1040">
        <v>46081</v>
      </c>
      <c r="G37" s="1040"/>
      <c r="H37" s="1037" t="s">
        <v>3407</v>
      </c>
      <c r="I37" s="1037" t="s">
        <v>3381</v>
      </c>
      <c r="J37" s="1037">
        <v>26</v>
      </c>
      <c r="K37" s="1102"/>
    </row>
  </sheetData>
  <autoFilter ref="A6:N3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F0"/>
  </sheetPr>
  <dimension ref="A1:K42"/>
  <sheetViews>
    <sheetView zoomScale="90" zoomScaleNormal="90" workbookViewId="0">
      <pane ySplit="6" topLeftCell="A34" activePane="bottomLeft" state="frozen"/>
      <selection activeCell="H41" sqref="H36:H41"/>
      <selection pane="bottomLeft" activeCell="H37" sqref="H3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1398" t="s">
        <v>37</v>
      </c>
      <c r="B1" s="1398"/>
      <c r="C1" s="1398"/>
      <c r="D1" s="1398"/>
      <c r="E1" s="1398"/>
      <c r="F1" s="1398"/>
      <c r="G1" s="1398"/>
      <c r="H1" s="1398"/>
      <c r="I1" s="699" t="s">
        <v>38</v>
      </c>
      <c r="J1" s="700">
        <f>'TB-605'!E1</f>
        <v>46083</v>
      </c>
    </row>
    <row r="2" spans="1:11" ht="12.5">
      <c r="A2" s="651" t="s">
        <v>2857</v>
      </c>
      <c r="B2" s="652"/>
      <c r="C2" s="653"/>
      <c r="D2" s="653"/>
      <c r="E2" s="653"/>
      <c r="F2" s="653"/>
      <c r="H2" s="653"/>
    </row>
    <row r="3" spans="1:11" ht="12.5">
      <c r="A3" s="651" t="s">
        <v>3252</v>
      </c>
      <c r="B3" s="651"/>
      <c r="C3" s="654"/>
      <c r="D3" s="654"/>
      <c r="E3" s="654"/>
      <c r="F3" s="654"/>
      <c r="H3" s="654"/>
    </row>
    <row r="5" spans="1:11" s="661" customFormat="1" ht="17.5" customHeight="1">
      <c r="A5" s="1391" t="s">
        <v>1786</v>
      </c>
      <c r="B5" s="1391" t="s">
        <v>998</v>
      </c>
      <c r="C5" s="1391" t="s">
        <v>44</v>
      </c>
      <c r="D5" s="1396" t="s">
        <v>3251</v>
      </c>
      <c r="E5" s="1391" t="s">
        <v>1763</v>
      </c>
      <c r="F5" s="1396" t="s">
        <v>3289</v>
      </c>
      <c r="G5" s="1396" t="s">
        <v>3253</v>
      </c>
      <c r="H5" s="1391" t="s">
        <v>627</v>
      </c>
      <c r="I5" s="1391" t="s">
        <v>1764</v>
      </c>
      <c r="J5" s="1396" t="s">
        <v>1765</v>
      </c>
      <c r="K5" s="660" t="s">
        <v>1766</v>
      </c>
    </row>
    <row r="6" spans="1:11" s="661" customFormat="1" ht="17.5" customHeight="1">
      <c r="A6" s="1392"/>
      <c r="B6" s="1392"/>
      <c r="C6" s="1392"/>
      <c r="D6" s="1392"/>
      <c r="E6" s="1392"/>
      <c r="F6" s="1392"/>
      <c r="G6" s="1392"/>
      <c r="H6" s="1392"/>
      <c r="I6" s="1392"/>
      <c r="J6" s="1397"/>
      <c r="K6" s="660"/>
    </row>
    <row r="7" spans="1:11" s="1067" customFormat="1" ht="31" customHeight="1">
      <c r="A7" s="751">
        <v>1</v>
      </c>
      <c r="B7" s="752" t="s">
        <v>2887</v>
      </c>
      <c r="C7" s="751" t="s">
        <v>62</v>
      </c>
      <c r="D7" s="751">
        <v>19.440000000000001</v>
      </c>
      <c r="E7" s="787">
        <v>34.389000000000003</v>
      </c>
      <c r="F7" s="753">
        <v>46055</v>
      </c>
      <c r="G7" s="753">
        <v>46059</v>
      </c>
      <c r="H7" s="751" t="s">
        <v>631</v>
      </c>
      <c r="I7" s="751" t="s">
        <v>3326</v>
      </c>
      <c r="J7" s="751">
        <v>30</v>
      </c>
      <c r="K7" s="1146"/>
    </row>
    <row r="8" spans="1:11" s="1067" customFormat="1" ht="31" customHeight="1">
      <c r="A8" s="751">
        <f t="shared" ref="A8:A42" si="0">A7+1</f>
        <v>2</v>
      </c>
      <c r="B8" s="752" t="s">
        <v>2403</v>
      </c>
      <c r="C8" s="751" t="s">
        <v>76</v>
      </c>
      <c r="D8" s="751">
        <v>18.32</v>
      </c>
      <c r="E8" s="787"/>
      <c r="F8" s="753">
        <v>46056</v>
      </c>
      <c r="G8" s="753">
        <v>46060</v>
      </c>
      <c r="H8" s="751" t="s">
        <v>631</v>
      </c>
      <c r="I8" s="751" t="s">
        <v>3341</v>
      </c>
      <c r="J8" s="751">
        <v>34</v>
      </c>
      <c r="K8" s="1146"/>
    </row>
    <row r="9" spans="1:11" s="1067" customFormat="1" ht="31" customHeight="1">
      <c r="A9" s="751">
        <f t="shared" si="0"/>
        <v>3</v>
      </c>
      <c r="B9" s="752" t="s">
        <v>2906</v>
      </c>
      <c r="C9" s="751" t="s">
        <v>76</v>
      </c>
      <c r="D9" s="751">
        <v>18.32</v>
      </c>
      <c r="E9" s="787"/>
      <c r="F9" s="753">
        <v>46059</v>
      </c>
      <c r="G9" s="753">
        <v>46061</v>
      </c>
      <c r="H9" s="751" t="s">
        <v>631</v>
      </c>
      <c r="I9" s="751" t="s">
        <v>3326</v>
      </c>
      <c r="J9" s="751">
        <v>30</v>
      </c>
      <c r="K9" s="1146"/>
    </row>
    <row r="10" spans="1:11" s="1067" customFormat="1" ht="31" customHeight="1">
      <c r="A10" s="751">
        <f t="shared" si="0"/>
        <v>4</v>
      </c>
      <c r="B10" s="752" t="s">
        <v>2897</v>
      </c>
      <c r="C10" s="751" t="s">
        <v>76</v>
      </c>
      <c r="D10" s="751">
        <v>18.32</v>
      </c>
      <c r="E10" s="787"/>
      <c r="F10" s="753">
        <v>46058</v>
      </c>
      <c r="G10" s="753">
        <v>46062</v>
      </c>
      <c r="H10" s="751" t="s">
        <v>631</v>
      </c>
      <c r="I10" s="751" t="s">
        <v>3346</v>
      </c>
      <c r="J10" s="751">
        <v>22</v>
      </c>
      <c r="K10" s="1146"/>
    </row>
    <row r="11" spans="1:11" s="1067" customFormat="1" ht="31" customHeight="1">
      <c r="A11" s="751">
        <f t="shared" si="0"/>
        <v>5</v>
      </c>
      <c r="B11" s="752" t="s">
        <v>2883</v>
      </c>
      <c r="C11" s="751" t="s">
        <v>53</v>
      </c>
      <c r="D11" s="751">
        <v>22.68</v>
      </c>
      <c r="E11" s="787">
        <v>21.318000000000001</v>
      </c>
      <c r="F11" s="753">
        <v>46055</v>
      </c>
      <c r="G11" s="753">
        <v>46063</v>
      </c>
      <c r="H11" s="751" t="s">
        <v>631</v>
      </c>
      <c r="I11" s="751" t="s">
        <v>3327</v>
      </c>
      <c r="J11" s="751">
        <v>32</v>
      </c>
      <c r="K11" s="1146"/>
    </row>
    <row r="12" spans="1:11" s="1067" customFormat="1" ht="31" customHeight="1">
      <c r="A12" s="751">
        <f t="shared" si="0"/>
        <v>6</v>
      </c>
      <c r="B12" s="752" t="s">
        <v>2402</v>
      </c>
      <c r="C12" s="751" t="s">
        <v>76</v>
      </c>
      <c r="D12" s="751">
        <v>18.32</v>
      </c>
      <c r="E12" s="787"/>
      <c r="F12" s="753">
        <v>46060</v>
      </c>
      <c r="G12" s="753">
        <v>46064</v>
      </c>
      <c r="H12" s="751" t="s">
        <v>631</v>
      </c>
      <c r="I12" s="751" t="s">
        <v>3341</v>
      </c>
      <c r="J12" s="751">
        <v>34</v>
      </c>
      <c r="K12" s="1146"/>
    </row>
    <row r="13" spans="1:11" s="1067" customFormat="1" ht="31" customHeight="1">
      <c r="A13" s="751">
        <f t="shared" si="0"/>
        <v>7</v>
      </c>
      <c r="B13" s="752" t="s">
        <v>2895</v>
      </c>
      <c r="C13" s="751" t="s">
        <v>76</v>
      </c>
      <c r="D13" s="751">
        <v>18.32</v>
      </c>
      <c r="E13" s="787"/>
      <c r="F13" s="753">
        <v>46061</v>
      </c>
      <c r="G13" s="753">
        <v>46064</v>
      </c>
      <c r="H13" s="751" t="s">
        <v>631</v>
      </c>
      <c r="I13" s="751" t="s">
        <v>3326</v>
      </c>
      <c r="J13" s="751">
        <v>30</v>
      </c>
      <c r="K13" s="1146"/>
    </row>
    <row r="14" spans="1:11" s="1067" customFormat="1" ht="31" customHeight="1">
      <c r="A14" s="751">
        <f t="shared" si="0"/>
        <v>8</v>
      </c>
      <c r="B14" s="752" t="s">
        <v>2907</v>
      </c>
      <c r="C14" s="751" t="s">
        <v>76</v>
      </c>
      <c r="D14" s="751">
        <v>18.32</v>
      </c>
      <c r="E14" s="787"/>
      <c r="F14" s="753">
        <v>46062</v>
      </c>
      <c r="G14" s="753">
        <v>46065</v>
      </c>
      <c r="H14" s="751" t="s">
        <v>631</v>
      </c>
      <c r="I14" s="751" t="s">
        <v>3346</v>
      </c>
      <c r="J14" s="751">
        <v>22</v>
      </c>
      <c r="K14" s="1146"/>
    </row>
    <row r="15" spans="1:11" s="1067" customFormat="1" ht="31" customHeight="1">
      <c r="A15" s="751">
        <f t="shared" si="0"/>
        <v>9</v>
      </c>
      <c r="B15" s="752" t="s">
        <v>3143</v>
      </c>
      <c r="C15" s="751" t="s">
        <v>76</v>
      </c>
      <c r="D15" s="751">
        <v>18.32</v>
      </c>
      <c r="E15" s="787"/>
      <c r="F15" s="753">
        <v>46064</v>
      </c>
      <c r="G15" s="753">
        <v>46066</v>
      </c>
      <c r="H15" s="751" t="s">
        <v>631</v>
      </c>
      <c r="I15" s="751" t="s">
        <v>3326</v>
      </c>
      <c r="J15" s="751">
        <v>30</v>
      </c>
      <c r="K15" s="1146"/>
    </row>
    <row r="16" spans="1:11" s="1067" customFormat="1" ht="31" customHeight="1">
      <c r="A16" s="751">
        <f t="shared" si="0"/>
        <v>10</v>
      </c>
      <c r="B16" s="752" t="s">
        <v>2480</v>
      </c>
      <c r="C16" s="751" t="s">
        <v>62</v>
      </c>
      <c r="D16" s="751">
        <v>19.440000000000001</v>
      </c>
      <c r="E16" s="787"/>
      <c r="F16" s="753">
        <v>46064</v>
      </c>
      <c r="G16" s="753">
        <v>46069</v>
      </c>
      <c r="H16" s="751" t="s">
        <v>631</v>
      </c>
      <c r="I16" s="751" t="s">
        <v>3363</v>
      </c>
      <c r="J16" s="751">
        <v>34</v>
      </c>
      <c r="K16" s="1146"/>
    </row>
    <row r="17" spans="1:11" s="1067" customFormat="1" ht="31" customHeight="1">
      <c r="A17" s="751">
        <f t="shared" si="0"/>
        <v>11</v>
      </c>
      <c r="B17" s="752" t="s">
        <v>2878</v>
      </c>
      <c r="C17" s="751" t="s">
        <v>76</v>
      </c>
      <c r="D17" s="751">
        <v>18.32</v>
      </c>
      <c r="E17" s="787"/>
      <c r="F17" s="753">
        <v>46065</v>
      </c>
      <c r="G17" s="753">
        <v>46069</v>
      </c>
      <c r="H17" s="751" t="s">
        <v>631</v>
      </c>
      <c r="I17" s="751" t="s">
        <v>3364</v>
      </c>
      <c r="J17" s="751">
        <v>30</v>
      </c>
      <c r="K17" s="1146"/>
    </row>
    <row r="18" spans="1:11" s="1067" customFormat="1" ht="31" customHeight="1">
      <c r="A18" s="751">
        <f t="shared" si="0"/>
        <v>12</v>
      </c>
      <c r="B18" s="752" t="s">
        <v>2530</v>
      </c>
      <c r="C18" s="751" t="s">
        <v>76</v>
      </c>
      <c r="D18" s="751">
        <v>18.32</v>
      </c>
      <c r="E18" s="787"/>
      <c r="F18" s="753">
        <v>46065</v>
      </c>
      <c r="G18" s="753">
        <v>46070</v>
      </c>
      <c r="H18" s="751" t="s">
        <v>631</v>
      </c>
      <c r="I18" s="751" t="s">
        <v>3357</v>
      </c>
      <c r="J18" s="751">
        <v>30</v>
      </c>
      <c r="K18" s="1146"/>
    </row>
    <row r="19" spans="1:11" s="1067" customFormat="1" ht="31" customHeight="1">
      <c r="A19" s="751">
        <f t="shared" si="0"/>
        <v>13</v>
      </c>
      <c r="B19" s="752" t="s">
        <v>3142</v>
      </c>
      <c r="C19" s="751" t="s">
        <v>62</v>
      </c>
      <c r="D19" s="751">
        <v>19.440000000000001</v>
      </c>
      <c r="E19" s="787"/>
      <c r="F19" s="753">
        <v>46065</v>
      </c>
      <c r="G19" s="753">
        <v>46070</v>
      </c>
      <c r="H19" s="751" t="s">
        <v>631</v>
      </c>
      <c r="I19" s="751" t="s">
        <v>3346</v>
      </c>
      <c r="J19" s="751">
        <v>22</v>
      </c>
      <c r="K19" s="1146"/>
    </row>
    <row r="20" spans="1:11" s="1067" customFormat="1" ht="31" customHeight="1">
      <c r="A20" s="751">
        <f t="shared" si="0"/>
        <v>14</v>
      </c>
      <c r="B20" s="752" t="s">
        <v>3008</v>
      </c>
      <c r="C20" s="751" t="s">
        <v>1277</v>
      </c>
      <c r="D20" s="1185">
        <v>32.222000000000001</v>
      </c>
      <c r="E20" s="787"/>
      <c r="F20" s="753">
        <v>46066</v>
      </c>
      <c r="G20" s="753">
        <v>46070</v>
      </c>
      <c r="H20" s="751" t="s">
        <v>631</v>
      </c>
      <c r="I20" s="751" t="s">
        <v>3326</v>
      </c>
      <c r="J20" s="751">
        <v>30</v>
      </c>
      <c r="K20" s="1146"/>
    </row>
    <row r="21" spans="1:11" s="1067" customFormat="1" ht="31" customHeight="1">
      <c r="A21" s="751">
        <f t="shared" si="0"/>
        <v>15</v>
      </c>
      <c r="B21" s="752" t="s">
        <v>2896</v>
      </c>
      <c r="C21" s="751" t="s">
        <v>76</v>
      </c>
      <c r="D21" s="1185">
        <v>18.32</v>
      </c>
      <c r="E21" s="787"/>
      <c r="F21" s="753">
        <v>46070</v>
      </c>
      <c r="G21" s="753">
        <v>46073</v>
      </c>
      <c r="H21" s="751" t="s">
        <v>631</v>
      </c>
      <c r="I21" s="751" t="s">
        <v>3364</v>
      </c>
      <c r="J21" s="751">
        <v>30</v>
      </c>
      <c r="K21" s="1146"/>
    </row>
    <row r="22" spans="1:11" s="1067" customFormat="1" ht="31" customHeight="1">
      <c r="A22" s="751">
        <f t="shared" si="0"/>
        <v>16</v>
      </c>
      <c r="B22" s="752" t="s">
        <v>3043</v>
      </c>
      <c r="C22" s="751" t="s">
        <v>1269</v>
      </c>
      <c r="D22" s="1185">
        <v>27.92</v>
      </c>
      <c r="E22" s="787"/>
      <c r="F22" s="753">
        <v>46069</v>
      </c>
      <c r="G22" s="753">
        <v>46073</v>
      </c>
      <c r="H22" s="751" t="s">
        <v>631</v>
      </c>
      <c r="I22" s="751" t="s">
        <v>3363</v>
      </c>
      <c r="J22" s="751">
        <v>34</v>
      </c>
      <c r="K22" s="1146"/>
    </row>
    <row r="23" spans="1:11" s="1067" customFormat="1" ht="31" customHeight="1">
      <c r="A23" s="751">
        <f t="shared" si="0"/>
        <v>17</v>
      </c>
      <c r="B23" s="752" t="s">
        <v>3160</v>
      </c>
      <c r="C23" s="751" t="s">
        <v>62</v>
      </c>
      <c r="D23" s="1185">
        <v>19.440000000000001</v>
      </c>
      <c r="E23" s="787"/>
      <c r="F23" s="753">
        <v>46070</v>
      </c>
      <c r="G23" s="753">
        <v>46073</v>
      </c>
      <c r="H23" s="751" t="s">
        <v>631</v>
      </c>
      <c r="I23" s="751" t="s">
        <v>3346</v>
      </c>
      <c r="J23" s="751">
        <v>22</v>
      </c>
      <c r="K23" s="1146"/>
    </row>
    <row r="24" spans="1:11" s="1067" customFormat="1" ht="31" customHeight="1">
      <c r="A24" s="1077">
        <f t="shared" si="0"/>
        <v>18</v>
      </c>
      <c r="B24" s="1078" t="s">
        <v>2225</v>
      </c>
      <c r="C24" s="1077" t="s">
        <v>76</v>
      </c>
      <c r="D24" s="1188">
        <v>18.32</v>
      </c>
      <c r="E24" s="966"/>
      <c r="F24" s="1079">
        <v>46070</v>
      </c>
      <c r="G24" s="1079">
        <v>46075</v>
      </c>
      <c r="H24" s="751" t="s">
        <v>631</v>
      </c>
      <c r="I24" s="1077" t="s">
        <v>1787</v>
      </c>
      <c r="J24" s="1077">
        <v>23</v>
      </c>
      <c r="K24" s="1146"/>
    </row>
    <row r="25" spans="1:11" s="1067" customFormat="1" ht="31" customHeight="1">
      <c r="A25" s="1077">
        <f t="shared" si="0"/>
        <v>19</v>
      </c>
      <c r="B25" s="1078" t="s">
        <v>3005</v>
      </c>
      <c r="C25" s="1077" t="s">
        <v>1269</v>
      </c>
      <c r="D25" s="1188">
        <v>27.92</v>
      </c>
      <c r="E25" s="966"/>
      <c r="F25" s="1079">
        <v>46070</v>
      </c>
      <c r="G25" s="1079">
        <v>46074</v>
      </c>
      <c r="H25" s="751" t="s">
        <v>631</v>
      </c>
      <c r="I25" s="1077" t="s">
        <v>3326</v>
      </c>
      <c r="J25" s="1077">
        <v>30</v>
      </c>
      <c r="K25" s="1146"/>
    </row>
    <row r="26" spans="1:11" s="1067" customFormat="1" ht="31" customHeight="1">
      <c r="A26" s="1077">
        <f t="shared" si="0"/>
        <v>20</v>
      </c>
      <c r="B26" s="1078" t="s">
        <v>2531</v>
      </c>
      <c r="C26" s="1077" t="s">
        <v>62</v>
      </c>
      <c r="D26" s="1188">
        <v>19.440000000000001</v>
      </c>
      <c r="E26" s="966"/>
      <c r="F26" s="1079">
        <v>46070</v>
      </c>
      <c r="G26" s="1079">
        <v>46075</v>
      </c>
      <c r="H26" s="1077" t="s">
        <v>631</v>
      </c>
      <c r="I26" s="1077" t="s">
        <v>3357</v>
      </c>
      <c r="J26" s="1077">
        <v>30</v>
      </c>
      <c r="K26" s="1146"/>
    </row>
    <row r="27" spans="1:11" s="1067" customFormat="1" ht="31" customHeight="1">
      <c r="A27" s="751">
        <f t="shared" si="0"/>
        <v>21</v>
      </c>
      <c r="B27" s="752" t="s">
        <v>2401</v>
      </c>
      <c r="C27" s="751" t="s">
        <v>76</v>
      </c>
      <c r="D27" s="1185">
        <v>18.32</v>
      </c>
      <c r="E27" s="787"/>
      <c r="F27" s="753">
        <v>46074</v>
      </c>
      <c r="G27" s="753">
        <v>46076</v>
      </c>
      <c r="H27" s="751" t="s">
        <v>631</v>
      </c>
      <c r="I27" s="751" t="s">
        <v>3363</v>
      </c>
      <c r="J27" s="751">
        <v>34</v>
      </c>
      <c r="K27" s="1146"/>
    </row>
    <row r="28" spans="1:11" s="1067" customFormat="1" ht="31" customHeight="1">
      <c r="A28" s="751">
        <f t="shared" si="0"/>
        <v>22</v>
      </c>
      <c r="B28" s="752" t="s">
        <v>3011</v>
      </c>
      <c r="C28" s="751" t="s">
        <v>90</v>
      </c>
      <c r="D28" s="1185"/>
      <c r="E28" s="787"/>
      <c r="F28" s="753">
        <v>46075</v>
      </c>
      <c r="G28" s="753">
        <v>46079</v>
      </c>
      <c r="H28" s="751" t="s">
        <v>631</v>
      </c>
      <c r="I28" s="751" t="s">
        <v>3346</v>
      </c>
      <c r="J28" s="751">
        <v>22</v>
      </c>
      <c r="K28" s="1146"/>
    </row>
    <row r="29" spans="1:11" s="1067" customFormat="1" ht="31" customHeight="1">
      <c r="A29" s="751">
        <f t="shared" si="0"/>
        <v>23</v>
      </c>
      <c r="B29" s="752" t="s">
        <v>3003</v>
      </c>
      <c r="C29" s="751" t="s">
        <v>1277</v>
      </c>
      <c r="D29" s="1185">
        <v>32.222000000000001</v>
      </c>
      <c r="E29" s="787"/>
      <c r="F29" s="753">
        <v>46073</v>
      </c>
      <c r="G29" s="753">
        <v>46078</v>
      </c>
      <c r="H29" s="751" t="s">
        <v>631</v>
      </c>
      <c r="I29" s="751" t="s">
        <v>3364</v>
      </c>
      <c r="J29" s="751">
        <v>30</v>
      </c>
      <c r="K29" s="1146"/>
    </row>
    <row r="30" spans="1:11" s="1067" customFormat="1" ht="31" customHeight="1">
      <c r="A30" s="751">
        <f t="shared" si="0"/>
        <v>24</v>
      </c>
      <c r="B30" s="752" t="s">
        <v>3006</v>
      </c>
      <c r="C30" s="751" t="s">
        <v>1361</v>
      </c>
      <c r="D30" s="1185"/>
      <c r="E30" s="787"/>
      <c r="F30" s="753">
        <v>46074</v>
      </c>
      <c r="G30" s="753">
        <v>46078</v>
      </c>
      <c r="H30" s="751" t="s">
        <v>631</v>
      </c>
      <c r="I30" s="751" t="s">
        <v>3326</v>
      </c>
      <c r="J30" s="751">
        <v>30</v>
      </c>
      <c r="K30" s="1146"/>
    </row>
    <row r="31" spans="1:11" s="1067" customFormat="1" ht="31" customHeight="1">
      <c r="A31" s="1077">
        <f t="shared" si="0"/>
        <v>25</v>
      </c>
      <c r="B31" s="1078" t="s">
        <v>2226</v>
      </c>
      <c r="C31" s="1077" t="s">
        <v>62</v>
      </c>
      <c r="D31" s="1188">
        <v>19.440000000000001</v>
      </c>
      <c r="E31" s="966"/>
      <c r="F31" s="1079">
        <v>46075</v>
      </c>
      <c r="G31" s="1079">
        <v>46080</v>
      </c>
      <c r="H31" s="1077" t="s">
        <v>631</v>
      </c>
      <c r="I31" s="1077" t="s">
        <v>1787</v>
      </c>
      <c r="J31" s="1077">
        <v>23</v>
      </c>
      <c r="K31" s="1146"/>
    </row>
    <row r="32" spans="1:11" s="1067" customFormat="1" ht="31" customHeight="1">
      <c r="A32" s="1077">
        <f t="shared" si="0"/>
        <v>26</v>
      </c>
      <c r="B32" s="1078" t="s">
        <v>2529</v>
      </c>
      <c r="C32" s="1077" t="s">
        <v>62</v>
      </c>
      <c r="D32" s="1188">
        <v>19.440000000000001</v>
      </c>
      <c r="E32" s="966"/>
      <c r="F32" s="1079">
        <v>46076</v>
      </c>
      <c r="G32" s="1079">
        <v>46080</v>
      </c>
      <c r="H32" s="1077" t="s">
        <v>631</v>
      </c>
      <c r="I32" s="1077" t="s">
        <v>3357</v>
      </c>
      <c r="J32" s="1077">
        <v>30</v>
      </c>
      <c r="K32" s="1146"/>
    </row>
    <row r="33" spans="1:11" s="1067" customFormat="1" ht="31" customHeight="1">
      <c r="A33" s="751">
        <f t="shared" si="0"/>
        <v>27</v>
      </c>
      <c r="B33" s="752" t="s">
        <v>3045</v>
      </c>
      <c r="C33" s="751" t="s">
        <v>1269</v>
      </c>
      <c r="D33" s="1185">
        <v>27.92</v>
      </c>
      <c r="E33" s="787"/>
      <c r="F33" s="753">
        <v>46077</v>
      </c>
      <c r="G33" s="753">
        <v>46081</v>
      </c>
      <c r="H33" s="751" t="s">
        <v>631</v>
      </c>
      <c r="I33" s="751" t="s">
        <v>3364</v>
      </c>
      <c r="J33" s="751">
        <v>30</v>
      </c>
      <c r="K33" s="1146"/>
    </row>
    <row r="34" spans="1:11" s="1067" customFormat="1" ht="31" customHeight="1">
      <c r="A34" s="751">
        <f t="shared" si="0"/>
        <v>28</v>
      </c>
      <c r="B34" s="752" t="s">
        <v>3304</v>
      </c>
      <c r="C34" s="751" t="s">
        <v>62</v>
      </c>
      <c r="D34" s="1185">
        <v>19.440000000000001</v>
      </c>
      <c r="E34" s="787"/>
      <c r="F34" s="753">
        <v>46078</v>
      </c>
      <c r="G34" s="753">
        <v>46081</v>
      </c>
      <c r="H34" s="751" t="s">
        <v>631</v>
      </c>
      <c r="I34" s="751" t="s">
        <v>3326</v>
      </c>
      <c r="J34" s="751">
        <v>30</v>
      </c>
      <c r="K34" s="1146"/>
    </row>
    <row r="35" spans="1:11" s="1067" customFormat="1" ht="31" customHeight="1">
      <c r="A35" s="751">
        <f t="shared" si="0"/>
        <v>29</v>
      </c>
      <c r="B35" s="752" t="s">
        <v>2908</v>
      </c>
      <c r="C35" s="751" t="s">
        <v>62</v>
      </c>
      <c r="D35" s="1185">
        <v>19.440000000000001</v>
      </c>
      <c r="E35" s="787"/>
      <c r="F35" s="753">
        <v>46078</v>
      </c>
      <c r="G35" s="753">
        <v>46081</v>
      </c>
      <c r="H35" s="751" t="s">
        <v>631</v>
      </c>
      <c r="I35" s="751" t="s">
        <v>3364</v>
      </c>
      <c r="J35" s="751">
        <v>30</v>
      </c>
      <c r="K35" s="1146"/>
    </row>
    <row r="36" spans="1:11" s="1067" customFormat="1" ht="31" customHeight="1">
      <c r="A36" s="751">
        <f t="shared" si="0"/>
        <v>30</v>
      </c>
      <c r="B36" s="752" t="s">
        <v>3013</v>
      </c>
      <c r="C36" s="751" t="s">
        <v>1269</v>
      </c>
      <c r="D36" s="1185"/>
      <c r="E36" s="787"/>
      <c r="F36" s="753">
        <v>46079</v>
      </c>
      <c r="G36" s="753">
        <v>46083</v>
      </c>
      <c r="H36" s="751" t="s">
        <v>631</v>
      </c>
      <c r="I36" s="751" t="s">
        <v>3346</v>
      </c>
      <c r="J36" s="751">
        <v>22</v>
      </c>
      <c r="K36" s="1146"/>
    </row>
    <row r="37" spans="1:11" s="1067" customFormat="1" ht="31" customHeight="1">
      <c r="A37" s="1037">
        <f t="shared" si="0"/>
        <v>31</v>
      </c>
      <c r="B37" s="1038" t="s">
        <v>495</v>
      </c>
      <c r="C37" s="1037" t="s">
        <v>249</v>
      </c>
      <c r="D37" s="1180"/>
      <c r="E37" s="1039"/>
      <c r="F37" s="1040">
        <v>46080</v>
      </c>
      <c r="G37" s="1040"/>
      <c r="H37" s="1037" t="s">
        <v>3394</v>
      </c>
      <c r="I37" s="1037" t="s">
        <v>1787</v>
      </c>
      <c r="J37" s="1037">
        <v>23</v>
      </c>
      <c r="K37" s="1146"/>
    </row>
    <row r="38" spans="1:11" s="1067" customFormat="1" ht="31" customHeight="1">
      <c r="A38" s="751">
        <f t="shared" si="0"/>
        <v>32</v>
      </c>
      <c r="B38" s="752" t="s">
        <v>2527</v>
      </c>
      <c r="C38" s="751" t="s">
        <v>62</v>
      </c>
      <c r="D38" s="1185">
        <v>19.440000000000001</v>
      </c>
      <c r="E38" s="787"/>
      <c r="F38" s="753">
        <v>46080</v>
      </c>
      <c r="G38" s="753">
        <v>46083</v>
      </c>
      <c r="H38" s="751" t="s">
        <v>631</v>
      </c>
      <c r="I38" s="751" t="s">
        <v>3357</v>
      </c>
      <c r="J38" s="751">
        <v>30</v>
      </c>
      <c r="K38" s="1146"/>
    </row>
    <row r="39" spans="1:11" s="1067" customFormat="1" ht="31" customHeight="1">
      <c r="A39" s="1037">
        <f t="shared" si="0"/>
        <v>33</v>
      </c>
      <c r="B39" s="1038" t="s">
        <v>2413</v>
      </c>
      <c r="C39" s="1037" t="s">
        <v>1999</v>
      </c>
      <c r="D39" s="1180"/>
      <c r="E39" s="1039"/>
      <c r="F39" s="1040">
        <v>46082</v>
      </c>
      <c r="G39" s="1040"/>
      <c r="H39" s="1037" t="s">
        <v>3382</v>
      </c>
      <c r="I39" s="1037" t="s">
        <v>3326</v>
      </c>
      <c r="J39" s="1037">
        <v>30</v>
      </c>
      <c r="K39" s="1146"/>
    </row>
    <row r="40" spans="1:11" s="1067" customFormat="1" ht="31" customHeight="1">
      <c r="A40" s="1037">
        <f t="shared" si="0"/>
        <v>34</v>
      </c>
      <c r="B40" s="1038" t="s">
        <v>2411</v>
      </c>
      <c r="C40" s="1037" t="s">
        <v>1939</v>
      </c>
      <c r="D40" s="1180"/>
      <c r="E40" s="1039"/>
      <c r="F40" s="1040">
        <v>46082</v>
      </c>
      <c r="G40" s="1040"/>
      <c r="H40" s="1037" t="s">
        <v>3382</v>
      </c>
      <c r="I40" s="1037" t="s">
        <v>3364</v>
      </c>
      <c r="J40" s="1037">
        <v>30</v>
      </c>
      <c r="K40" s="1146"/>
    </row>
    <row r="41" spans="1:11" s="1067" customFormat="1" ht="31" customHeight="1">
      <c r="A41" s="1037">
        <f t="shared" si="0"/>
        <v>35</v>
      </c>
      <c r="B41" s="1038" t="s">
        <v>3161</v>
      </c>
      <c r="C41" s="1037" t="s">
        <v>76</v>
      </c>
      <c r="D41" s="1180"/>
      <c r="E41" s="1039"/>
      <c r="F41" s="1040">
        <v>46083</v>
      </c>
      <c r="G41" s="1040"/>
      <c r="H41" s="1037" t="s">
        <v>3385</v>
      </c>
      <c r="I41" s="1037" t="s">
        <v>3346</v>
      </c>
      <c r="J41" s="1037">
        <v>22</v>
      </c>
      <c r="K41" s="1146"/>
    </row>
    <row r="42" spans="1:11" s="1067" customFormat="1" ht="31" customHeight="1">
      <c r="A42" s="1037">
        <f t="shared" si="0"/>
        <v>36</v>
      </c>
      <c r="B42" s="1038" t="s">
        <v>2535</v>
      </c>
      <c r="C42" s="1037" t="s">
        <v>62</v>
      </c>
      <c r="D42" s="1180"/>
      <c r="E42" s="1039"/>
      <c r="F42" s="1040">
        <v>46083</v>
      </c>
      <c r="G42" s="1040"/>
      <c r="H42" s="1037" t="s">
        <v>3385</v>
      </c>
      <c r="I42" s="1037" t="s">
        <v>3357</v>
      </c>
      <c r="J42" s="1037">
        <v>30</v>
      </c>
      <c r="K42" s="1146"/>
    </row>
  </sheetData>
  <autoFilter ref="A6:N35"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F0"/>
  </sheetPr>
  <dimension ref="A1:R489"/>
  <sheetViews>
    <sheetView showZeros="0" zoomScale="50" zoomScaleNormal="50" zoomScaleSheetLayoutView="55" workbookViewId="0">
      <pane ySplit="7" topLeftCell="A343" activePane="bottomLeft" state="frozen"/>
      <selection activeCell="H41" sqref="H36:H41"/>
      <selection pane="bottomLeft" activeCell="L351" sqref="L351"/>
    </sheetView>
  </sheetViews>
  <sheetFormatPr defaultColWidth="9.08984375" defaultRowHeight="20"/>
  <cols>
    <col min="1" max="1" width="9.36328125" style="983" customWidth="1"/>
    <col min="2" max="2" width="13.81640625" style="1035" bestFit="1" customWidth="1"/>
    <col min="3" max="3" width="17.54296875" style="1036" bestFit="1" customWidth="1"/>
    <col min="4" max="4" width="17.90625" style="984" customWidth="1"/>
    <col min="5" max="8" width="8.453125" style="983" customWidth="1"/>
    <col min="9" max="9" width="22.81640625" style="983" customWidth="1"/>
    <col min="10" max="10" width="21.08984375" style="985" customWidth="1"/>
    <col min="11" max="11" width="16.36328125" style="985" hidden="1" customWidth="1"/>
    <col min="12" max="12" width="16.36328125" style="985" customWidth="1"/>
    <col min="13" max="13" width="20.26953125" style="985" customWidth="1"/>
    <col min="14" max="14" width="16.36328125" style="1166" customWidth="1"/>
    <col min="15" max="17" width="16.36328125" style="985" customWidth="1"/>
    <col min="18" max="18" width="73"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row>
    <row r="2" spans="1:18" ht="25" customHeight="1">
      <c r="A2" s="986" t="s">
        <v>2772</v>
      </c>
    </row>
    <row r="3" spans="1:18">
      <c r="A3" s="986" t="s">
        <v>2924</v>
      </c>
    </row>
    <row r="4" spans="1:18" ht="25.5" customHeight="1">
      <c r="J4" s="987" t="s">
        <v>60</v>
      </c>
      <c r="K4" s="988"/>
      <c r="L4" s="989">
        <f>COUNTIF($L$8:$L$488,"Clear")</f>
        <v>152</v>
      </c>
      <c r="M4" s="989">
        <f>COUNTIF($M$8:$M$488,"C")</f>
        <v>136</v>
      </c>
      <c r="N4" s="989">
        <f>COUNTIF($N$8:$N$488,"C")</f>
        <v>106</v>
      </c>
      <c r="O4" s="989">
        <f>COUNTIF($O$8:$O$417,"C")</f>
        <v>31</v>
      </c>
      <c r="P4" s="989">
        <f>COUNTIF($P$8:$P$417,"C")</f>
        <v>0</v>
      </c>
      <c r="Q4" s="989"/>
    </row>
    <row r="5" spans="1:18" ht="25.5" customHeight="1">
      <c r="J5" s="987" t="s">
        <v>22</v>
      </c>
      <c r="K5" s="988"/>
      <c r="L5" s="989"/>
      <c r="M5" s="989">
        <f>COUNTIF($M$8:$M$488,"WIP")</f>
        <v>10</v>
      </c>
      <c r="N5" s="989">
        <f>COUNTIF($N$8:$N$417,"WIP")</f>
        <v>0</v>
      </c>
      <c r="O5" s="989">
        <f>COUNTIF($O$8:$O$417,"WIP")</f>
        <v>5</v>
      </c>
      <c r="P5" s="989">
        <f>COUNTIF($P$8:$P$417,"WIP")</f>
        <v>0</v>
      </c>
      <c r="Q5" s="990"/>
    </row>
    <row r="6" spans="1:18" s="983" customFormat="1" ht="46.75" customHeight="1">
      <c r="A6" s="1369" t="s">
        <v>1786</v>
      </c>
      <c r="B6" s="1369" t="s">
        <v>2925</v>
      </c>
      <c r="C6" s="1369" t="s">
        <v>1405</v>
      </c>
      <c r="D6" s="1369" t="s">
        <v>1927</v>
      </c>
      <c r="E6" s="1369" t="s">
        <v>1000</v>
      </c>
      <c r="F6" s="1369"/>
      <c r="G6" s="1369"/>
      <c r="H6" s="1369"/>
      <c r="I6" s="1366" t="s">
        <v>2926</v>
      </c>
      <c r="J6" s="1366" t="s">
        <v>2927</v>
      </c>
      <c r="K6" s="1366" t="s">
        <v>1926</v>
      </c>
      <c r="L6" s="1366" t="s">
        <v>1658</v>
      </c>
      <c r="M6" s="1366" t="s">
        <v>28</v>
      </c>
      <c r="N6" s="1366" t="s">
        <v>609</v>
      </c>
      <c r="O6" s="1366" t="s">
        <v>610</v>
      </c>
      <c r="P6" s="1366" t="s">
        <v>1254</v>
      </c>
      <c r="Q6" s="1366" t="s">
        <v>614</v>
      </c>
      <c r="R6" s="1366" t="s">
        <v>19</v>
      </c>
    </row>
    <row r="7" spans="1:18" s="983" customFormat="1" ht="43.25" customHeight="1">
      <c r="A7" s="1369"/>
      <c r="B7" s="1369"/>
      <c r="C7" s="1369"/>
      <c r="D7" s="1369"/>
      <c r="E7" s="991" t="s">
        <v>1934</v>
      </c>
      <c r="F7" s="991" t="s">
        <v>1935</v>
      </c>
      <c r="G7" s="991" t="s">
        <v>1936</v>
      </c>
      <c r="H7" s="991" t="s">
        <v>1937</v>
      </c>
      <c r="I7" s="1366"/>
      <c r="J7" s="1366"/>
      <c r="K7" s="1366"/>
      <c r="L7" s="1366"/>
      <c r="M7" s="1366"/>
      <c r="N7" s="1366"/>
      <c r="O7" s="1366"/>
      <c r="P7" s="1366"/>
      <c r="Q7" s="1366"/>
      <c r="R7" s="1366"/>
    </row>
    <row r="8" spans="1:18" s="983" customFormat="1" ht="30" customHeight="1">
      <c r="A8" s="992">
        <v>1</v>
      </c>
      <c r="B8" s="995" t="s">
        <v>2928</v>
      </c>
      <c r="C8" s="995" t="s">
        <v>1277</v>
      </c>
      <c r="D8" s="994" t="s">
        <v>2929</v>
      </c>
      <c r="E8" s="995"/>
      <c r="F8" s="995"/>
      <c r="G8" s="995"/>
      <c r="H8" s="995"/>
      <c r="I8" s="995"/>
      <c r="J8" s="993"/>
      <c r="K8" s="993">
        <v>0</v>
      </c>
      <c r="L8" s="993"/>
      <c r="M8" s="993"/>
      <c r="N8" s="993"/>
      <c r="O8" s="993"/>
      <c r="P8" s="993"/>
      <c r="Q8" s="996"/>
      <c r="R8" s="997"/>
    </row>
    <row r="9" spans="1:18" s="983" customFormat="1" ht="30" customHeight="1">
      <c r="A9" s="992"/>
      <c r="B9" s="995"/>
      <c r="C9" s="995"/>
      <c r="D9" s="998"/>
      <c r="E9" s="995"/>
      <c r="F9" s="995"/>
      <c r="G9" s="995"/>
      <c r="H9" s="995"/>
      <c r="I9" s="999"/>
      <c r="J9" s="1000">
        <v>416.65800000000002</v>
      </c>
      <c r="K9" s="993"/>
      <c r="L9" s="993"/>
      <c r="M9" s="993"/>
      <c r="N9" s="993"/>
      <c r="O9" s="993"/>
      <c r="P9" s="993"/>
      <c r="Q9" s="996"/>
      <c r="R9" s="997"/>
    </row>
    <row r="10" spans="1:18" s="983" customFormat="1" ht="30" customHeight="1">
      <c r="A10" s="992">
        <f>A8+1</f>
        <v>2</v>
      </c>
      <c r="B10" s="995" t="s">
        <v>2930</v>
      </c>
      <c r="C10" s="995" t="s">
        <v>1402</v>
      </c>
      <c r="D10" s="994" t="s">
        <v>2931</v>
      </c>
      <c r="E10" s="995"/>
      <c r="F10" s="995"/>
      <c r="G10" s="995"/>
      <c r="H10" s="995"/>
      <c r="I10" s="999"/>
      <c r="J10" s="1000"/>
      <c r="K10" s="993">
        <f>J9</f>
        <v>416.65800000000002</v>
      </c>
      <c r="L10" s="993"/>
      <c r="M10" s="993"/>
      <c r="N10" s="993"/>
      <c r="O10" s="993"/>
      <c r="P10" s="993"/>
      <c r="Q10" s="996"/>
      <c r="R10" s="997"/>
    </row>
    <row r="11" spans="1:18" s="983" customFormat="1" ht="30" customHeight="1">
      <c r="A11" s="992"/>
      <c r="B11" s="995"/>
      <c r="C11" s="995"/>
      <c r="D11" s="998"/>
      <c r="E11" s="995"/>
      <c r="F11" s="995"/>
      <c r="G11" s="995"/>
      <c r="H11" s="995"/>
      <c r="I11" s="999"/>
      <c r="J11" s="1000">
        <v>389.27699999999999</v>
      </c>
      <c r="K11" s="993"/>
      <c r="L11" s="993"/>
      <c r="M11" s="993"/>
      <c r="N11" s="993"/>
      <c r="O11" s="993"/>
      <c r="P11" s="993"/>
      <c r="Q11" s="996"/>
      <c r="R11" s="997"/>
    </row>
    <row r="12" spans="1:18" s="983" customFormat="1" ht="30" customHeight="1">
      <c r="A12" s="992">
        <f>A10+1</f>
        <v>3</v>
      </c>
      <c r="B12" s="995" t="s">
        <v>2932</v>
      </c>
      <c r="C12" s="995" t="s">
        <v>1999</v>
      </c>
      <c r="D12" s="994" t="s">
        <v>2062</v>
      </c>
      <c r="E12" s="995"/>
      <c r="F12" s="995"/>
      <c r="G12" s="995"/>
      <c r="H12" s="995"/>
      <c r="I12" s="999"/>
      <c r="J12" s="1000"/>
      <c r="K12" s="993">
        <f>J11</f>
        <v>389.27699999999999</v>
      </c>
      <c r="L12" s="993"/>
      <c r="M12" s="993"/>
      <c r="N12" s="993"/>
      <c r="O12" s="993"/>
      <c r="P12" s="993"/>
      <c r="Q12" s="996"/>
      <c r="R12" s="997"/>
    </row>
    <row r="13" spans="1:18" s="983" customFormat="1" ht="30" customHeight="1">
      <c r="A13" s="992"/>
      <c r="B13" s="995"/>
      <c r="C13" s="995"/>
      <c r="D13" s="998"/>
      <c r="E13" s="995"/>
      <c r="F13" s="995"/>
      <c r="G13" s="995"/>
      <c r="H13" s="995"/>
      <c r="I13" s="999"/>
      <c r="J13" s="1000">
        <v>384.15100000000001</v>
      </c>
      <c r="K13" s="993"/>
      <c r="L13" s="993"/>
      <c r="M13" s="993"/>
      <c r="N13" s="993"/>
      <c r="O13" s="993"/>
      <c r="P13" s="993"/>
      <c r="Q13" s="1399"/>
      <c r="R13" s="997"/>
    </row>
    <row r="14" spans="1:18" s="983" customFormat="1" ht="30" customHeight="1">
      <c r="A14" s="992">
        <f>A12+1</f>
        <v>4</v>
      </c>
      <c r="B14" s="995" t="s">
        <v>702</v>
      </c>
      <c r="C14" s="995" t="s">
        <v>53</v>
      </c>
      <c r="D14" s="998"/>
      <c r="E14" s="995"/>
      <c r="F14" s="995"/>
      <c r="G14" s="995"/>
      <c r="H14" s="995"/>
      <c r="I14" s="999"/>
      <c r="J14" s="1000"/>
      <c r="K14" s="993">
        <f>J13</f>
        <v>384.15100000000001</v>
      </c>
      <c r="L14" s="993"/>
      <c r="M14" s="993"/>
      <c r="N14" s="993"/>
      <c r="O14" s="993"/>
      <c r="P14" s="993"/>
      <c r="Q14" s="1400"/>
      <c r="R14" s="997"/>
    </row>
    <row r="15" spans="1:18" s="983" customFormat="1" ht="30" customHeight="1">
      <c r="A15" s="992"/>
      <c r="B15" s="995"/>
      <c r="C15" s="995"/>
      <c r="D15" s="998"/>
      <c r="E15" s="995"/>
      <c r="F15" s="995"/>
      <c r="G15" s="995"/>
      <c r="H15" s="995"/>
      <c r="I15" s="999"/>
      <c r="J15" s="1000">
        <v>409.3</v>
      </c>
      <c r="K15" s="993"/>
      <c r="L15" s="993"/>
      <c r="M15" s="993"/>
      <c r="N15" s="993"/>
      <c r="O15" s="993"/>
      <c r="P15" s="993"/>
      <c r="Q15" s="1401"/>
      <c r="R15" s="997"/>
    </row>
    <row r="16" spans="1:18" s="983" customFormat="1" ht="30" customHeight="1">
      <c r="A16" s="992">
        <f>A14+1</f>
        <v>5</v>
      </c>
      <c r="B16" s="995" t="s">
        <v>2933</v>
      </c>
      <c r="C16" s="995" t="s">
        <v>1361</v>
      </c>
      <c r="D16" s="994" t="s">
        <v>2934</v>
      </c>
      <c r="E16" s="995"/>
      <c r="F16" s="995"/>
      <c r="G16" s="995"/>
      <c r="H16" s="995"/>
      <c r="I16" s="999"/>
      <c r="J16" s="1000"/>
      <c r="K16" s="993">
        <f t="shared" ref="K16:K28" si="0">J15</f>
        <v>409.3</v>
      </c>
      <c r="L16" s="993"/>
      <c r="M16" s="993"/>
      <c r="N16" s="993"/>
      <c r="O16" s="993"/>
      <c r="P16" s="993"/>
      <c r="Q16" s="996"/>
      <c r="R16" s="997"/>
    </row>
    <row r="17" spans="1:18" s="983" customFormat="1" ht="30" customHeight="1">
      <c r="A17" s="992"/>
      <c r="B17" s="995"/>
      <c r="C17" s="995"/>
      <c r="D17" s="998"/>
      <c r="E17" s="995"/>
      <c r="F17" s="995"/>
      <c r="G17" s="995"/>
      <c r="H17" s="995"/>
      <c r="I17" s="999"/>
      <c r="J17" s="1000">
        <v>409.72</v>
      </c>
      <c r="K17" s="993"/>
      <c r="L17" s="993"/>
      <c r="M17" s="993"/>
      <c r="N17" s="993"/>
      <c r="O17" s="993"/>
      <c r="P17" s="993"/>
      <c r="Q17" s="1399"/>
      <c r="R17" s="997"/>
    </row>
    <row r="18" spans="1:18" s="983" customFormat="1" ht="30" customHeight="1">
      <c r="A18" s="992">
        <f>A16+1</f>
        <v>6</v>
      </c>
      <c r="B18" s="995" t="s">
        <v>753</v>
      </c>
      <c r="C18" s="995" t="s">
        <v>53</v>
      </c>
      <c r="D18" s="998"/>
      <c r="E18" s="995"/>
      <c r="F18" s="995"/>
      <c r="G18" s="995"/>
      <c r="H18" s="995"/>
      <c r="I18" s="999"/>
      <c r="J18" s="1000"/>
      <c r="K18" s="993">
        <f t="shared" si="0"/>
        <v>409.72</v>
      </c>
      <c r="L18" s="993"/>
      <c r="M18" s="993"/>
      <c r="N18" s="993"/>
      <c r="O18" s="993"/>
      <c r="P18" s="993"/>
      <c r="Q18" s="1400"/>
      <c r="R18" s="997"/>
    </row>
    <row r="19" spans="1:18" s="983" customFormat="1" ht="30" customHeight="1">
      <c r="A19" s="992"/>
      <c r="B19" s="995"/>
      <c r="C19" s="995"/>
      <c r="D19" s="998"/>
      <c r="E19" s="995"/>
      <c r="F19" s="995"/>
      <c r="G19" s="995"/>
      <c r="H19" s="995"/>
      <c r="I19" s="999"/>
      <c r="J19" s="1000">
        <v>406.73200000000003</v>
      </c>
      <c r="K19" s="993"/>
      <c r="L19" s="993"/>
      <c r="M19" s="993"/>
      <c r="N19" s="993"/>
      <c r="O19" s="993"/>
      <c r="P19" s="993"/>
      <c r="Q19" s="1400"/>
      <c r="R19" s="997"/>
    </row>
    <row r="20" spans="1:18" s="983" customFormat="1" ht="30" customHeight="1">
      <c r="A20" s="992">
        <f>A18+1</f>
        <v>7</v>
      </c>
      <c r="B20" s="995" t="s">
        <v>761</v>
      </c>
      <c r="C20" s="995" t="s">
        <v>62</v>
      </c>
      <c r="D20" s="998"/>
      <c r="E20" s="995"/>
      <c r="F20" s="995"/>
      <c r="G20" s="995"/>
      <c r="H20" s="995"/>
      <c r="I20" s="999"/>
      <c r="J20" s="1000"/>
      <c r="K20" s="993">
        <f t="shared" si="0"/>
        <v>406.73200000000003</v>
      </c>
      <c r="L20" s="993" t="s">
        <v>2967</v>
      </c>
      <c r="M20" s="993"/>
      <c r="N20" s="993"/>
      <c r="O20" s="993"/>
      <c r="P20" s="993"/>
      <c r="Q20" s="1400"/>
      <c r="R20" s="997"/>
    </row>
    <row r="21" spans="1:18" s="983" customFormat="1" ht="30" customHeight="1">
      <c r="A21" s="992"/>
      <c r="B21" s="995"/>
      <c r="C21" s="995"/>
      <c r="D21" s="998"/>
      <c r="E21" s="995"/>
      <c r="F21" s="995"/>
      <c r="G21" s="995"/>
      <c r="H21" s="995"/>
      <c r="I21" s="999"/>
      <c r="J21" s="1000">
        <v>404.91300000000001</v>
      </c>
      <c r="K21" s="993"/>
      <c r="L21" s="993"/>
      <c r="M21" s="993"/>
      <c r="N21" s="993"/>
      <c r="O21" s="993"/>
      <c r="P21" s="993"/>
      <c r="Q21" s="1400"/>
      <c r="R21" s="997"/>
    </row>
    <row r="22" spans="1:18" s="983" customFormat="1" ht="30" customHeight="1">
      <c r="A22" s="992">
        <f>A20+1</f>
        <v>8</v>
      </c>
      <c r="B22" s="995" t="s">
        <v>735</v>
      </c>
      <c r="C22" s="995" t="s">
        <v>53</v>
      </c>
      <c r="D22" s="998"/>
      <c r="E22" s="995"/>
      <c r="F22" s="995"/>
      <c r="G22" s="995"/>
      <c r="H22" s="995"/>
      <c r="I22" s="999" t="s">
        <v>3348</v>
      </c>
      <c r="J22" s="1000"/>
      <c r="K22" s="993">
        <f t="shared" si="0"/>
        <v>404.91300000000001</v>
      </c>
      <c r="L22" s="993" t="s">
        <v>2967</v>
      </c>
      <c r="M22" s="993" t="s">
        <v>22</v>
      </c>
      <c r="N22" s="993"/>
      <c r="O22" s="993"/>
      <c r="P22" s="993"/>
      <c r="Q22" s="1400"/>
      <c r="R22" s="997"/>
    </row>
    <row r="23" spans="1:18" s="983" customFormat="1" ht="30" customHeight="1">
      <c r="A23" s="992"/>
      <c r="B23" s="995"/>
      <c r="C23" s="995"/>
      <c r="D23" s="998"/>
      <c r="E23" s="995"/>
      <c r="F23" s="995"/>
      <c r="G23" s="995"/>
      <c r="H23" s="995"/>
      <c r="I23" s="999"/>
      <c r="J23" s="1000">
        <v>285.56299999999999</v>
      </c>
      <c r="K23" s="993"/>
      <c r="L23" s="993"/>
      <c r="M23" s="993"/>
      <c r="N23" s="993"/>
      <c r="O23" s="993"/>
      <c r="P23" s="993"/>
      <c r="Q23" s="1400"/>
      <c r="R23" s="997"/>
    </row>
    <row r="24" spans="1:18" s="983" customFormat="1" ht="30" customHeight="1">
      <c r="A24" s="992">
        <f>A22+1</f>
        <v>9</v>
      </c>
      <c r="B24" s="995" t="s">
        <v>746</v>
      </c>
      <c r="C24" s="995" t="s">
        <v>53</v>
      </c>
      <c r="D24" s="998"/>
      <c r="E24" s="995"/>
      <c r="F24" s="995"/>
      <c r="G24" s="995"/>
      <c r="H24" s="995"/>
      <c r="I24" s="999"/>
      <c r="J24" s="1000"/>
      <c r="K24" s="993">
        <f t="shared" si="0"/>
        <v>285.56299999999999</v>
      </c>
      <c r="L24" s="993"/>
      <c r="M24" s="993"/>
      <c r="N24" s="993"/>
      <c r="O24" s="993"/>
      <c r="P24" s="993"/>
      <c r="Q24" s="1400"/>
      <c r="R24" s="997"/>
    </row>
    <row r="25" spans="1:18" s="983" customFormat="1" ht="30" customHeight="1">
      <c r="A25" s="992"/>
      <c r="B25" s="995"/>
      <c r="C25" s="995"/>
      <c r="D25" s="998"/>
      <c r="E25" s="995"/>
      <c r="F25" s="995"/>
      <c r="G25" s="995"/>
      <c r="H25" s="995"/>
      <c r="I25" s="999"/>
      <c r="J25" s="1000">
        <v>399.17399999999998</v>
      </c>
      <c r="K25" s="993"/>
      <c r="L25" s="993"/>
      <c r="M25" s="993"/>
      <c r="N25" s="993"/>
      <c r="O25" s="993"/>
      <c r="P25" s="993"/>
      <c r="Q25" s="1401"/>
      <c r="R25" s="997"/>
    </row>
    <row r="26" spans="1:18" s="983" customFormat="1" ht="30" customHeight="1">
      <c r="A26" s="992">
        <f>A24+1</f>
        <v>10</v>
      </c>
      <c r="B26" s="995" t="s">
        <v>2935</v>
      </c>
      <c r="C26" s="995" t="s">
        <v>1999</v>
      </c>
      <c r="D26" s="994" t="s">
        <v>2936</v>
      </c>
      <c r="E26" s="995"/>
      <c r="F26" s="995"/>
      <c r="G26" s="995"/>
      <c r="H26" s="995"/>
      <c r="I26" s="999"/>
      <c r="J26" s="1000"/>
      <c r="K26" s="993">
        <f t="shared" si="0"/>
        <v>399.17399999999998</v>
      </c>
      <c r="L26" s="993"/>
      <c r="M26" s="993"/>
      <c r="N26" s="993"/>
      <c r="O26" s="993"/>
      <c r="P26" s="993"/>
      <c r="Q26" s="996"/>
      <c r="R26" s="997"/>
    </row>
    <row r="27" spans="1:18" s="983" customFormat="1" ht="30" customHeight="1">
      <c r="A27" s="992"/>
      <c r="B27" s="995"/>
      <c r="C27" s="995"/>
      <c r="D27" s="998"/>
      <c r="E27" s="995"/>
      <c r="F27" s="995"/>
      <c r="G27" s="995"/>
      <c r="H27" s="995"/>
      <c r="I27" s="999"/>
      <c r="J27" s="1000">
        <v>343.78399999999999</v>
      </c>
      <c r="K27" s="993"/>
      <c r="L27" s="993"/>
      <c r="M27" s="993"/>
      <c r="N27" s="993"/>
      <c r="O27" s="993"/>
      <c r="P27" s="993"/>
      <c r="Q27" s="1399"/>
      <c r="R27" s="997"/>
    </row>
    <row r="28" spans="1:18" ht="30" customHeight="1">
      <c r="A28" s="992">
        <f>A26+1</f>
        <v>11</v>
      </c>
      <c r="B28" s="995" t="s">
        <v>554</v>
      </c>
      <c r="C28" s="995" t="s">
        <v>76</v>
      </c>
      <c r="D28" s="998"/>
      <c r="E28" s="995"/>
      <c r="F28" s="995"/>
      <c r="G28" s="995"/>
      <c r="H28" s="995"/>
      <c r="I28" s="999"/>
      <c r="J28" s="1000"/>
      <c r="K28" s="993">
        <f t="shared" si="0"/>
        <v>343.78399999999999</v>
      </c>
      <c r="L28" s="993"/>
      <c r="M28" s="993"/>
      <c r="N28" s="993"/>
      <c r="O28" s="993"/>
      <c r="P28" s="993"/>
      <c r="Q28" s="1400"/>
      <c r="R28" s="997"/>
    </row>
    <row r="29" spans="1:18" ht="30" customHeight="1">
      <c r="A29" s="992"/>
      <c r="B29" s="995"/>
      <c r="C29" s="995"/>
      <c r="D29" s="998"/>
      <c r="E29" s="995"/>
      <c r="F29" s="995"/>
      <c r="G29" s="995"/>
      <c r="H29" s="995"/>
      <c r="I29" s="999"/>
      <c r="J29" s="1000">
        <v>313.06299999999999</v>
      </c>
      <c r="K29" s="993"/>
      <c r="L29" s="993"/>
      <c r="M29" s="993"/>
      <c r="N29" s="993"/>
      <c r="O29" s="993"/>
      <c r="P29" s="993"/>
      <c r="Q29" s="1400"/>
      <c r="R29" s="997"/>
    </row>
    <row r="30" spans="1:18" ht="30" customHeight="1">
      <c r="A30" s="992">
        <f>A28+1</f>
        <v>12</v>
      </c>
      <c r="B30" s="995" t="s">
        <v>125</v>
      </c>
      <c r="C30" s="995" t="s">
        <v>76</v>
      </c>
      <c r="D30" s="998"/>
      <c r="E30" s="995"/>
      <c r="F30" s="995"/>
      <c r="G30" s="995"/>
      <c r="H30" s="995"/>
      <c r="I30" s="999"/>
      <c r="J30" s="1000"/>
      <c r="K30" s="993"/>
      <c r="L30" s="993"/>
      <c r="M30" s="993"/>
      <c r="N30" s="993"/>
      <c r="O30" s="993"/>
      <c r="P30" s="993"/>
      <c r="Q30" s="1400"/>
      <c r="R30" s="997"/>
    </row>
    <row r="31" spans="1:18" ht="30" customHeight="1">
      <c r="A31" s="992"/>
      <c r="B31" s="995"/>
      <c r="C31" s="995"/>
      <c r="D31" s="998"/>
      <c r="E31" s="995"/>
      <c r="F31" s="995"/>
      <c r="G31" s="995"/>
      <c r="H31" s="995"/>
      <c r="I31" s="999"/>
      <c r="J31" s="1000">
        <v>325.52499999999998</v>
      </c>
      <c r="K31" s="993"/>
      <c r="L31" s="993"/>
      <c r="M31" s="993"/>
      <c r="N31" s="993"/>
      <c r="O31" s="993"/>
      <c r="P31" s="993"/>
      <c r="Q31" s="1401"/>
      <c r="R31" s="997"/>
    </row>
    <row r="32" spans="1:18" ht="30" customHeight="1">
      <c r="A32" s="992">
        <f>A30+1</f>
        <v>13</v>
      </c>
      <c r="B32" s="995" t="s">
        <v>2937</v>
      </c>
      <c r="C32" s="995" t="s">
        <v>1277</v>
      </c>
      <c r="D32" s="994" t="s">
        <v>2081</v>
      </c>
      <c r="E32" s="995"/>
      <c r="F32" s="995"/>
      <c r="G32" s="995"/>
      <c r="H32" s="995"/>
      <c r="I32" s="999"/>
      <c r="J32" s="1000"/>
      <c r="K32" s="993"/>
      <c r="L32" s="993"/>
      <c r="M32" s="993"/>
      <c r="N32" s="993"/>
      <c r="O32" s="993"/>
      <c r="P32" s="993"/>
      <c r="Q32" s="996"/>
      <c r="R32" s="997"/>
    </row>
    <row r="33" spans="1:18" ht="30" customHeight="1">
      <c r="A33" s="992"/>
      <c r="B33" s="995"/>
      <c r="C33" s="995"/>
      <c r="D33" s="998"/>
      <c r="E33" s="995"/>
      <c r="F33" s="995"/>
      <c r="G33" s="995"/>
      <c r="H33" s="995"/>
      <c r="I33" s="999"/>
      <c r="J33" s="1000">
        <v>406.44299999999998</v>
      </c>
      <c r="K33" s="993"/>
      <c r="L33" s="993"/>
      <c r="M33" s="993"/>
      <c r="N33" s="993"/>
      <c r="O33" s="993"/>
      <c r="P33" s="993"/>
      <c r="Q33" s="996"/>
      <c r="R33" s="997"/>
    </row>
    <row r="34" spans="1:18" ht="30" customHeight="1">
      <c r="A34" s="992">
        <f>A32+1</f>
        <v>14</v>
      </c>
      <c r="B34" s="995" t="s">
        <v>2938</v>
      </c>
      <c r="C34" s="995" t="s">
        <v>1939</v>
      </c>
      <c r="D34" s="994" t="s">
        <v>2939</v>
      </c>
      <c r="E34" s="995"/>
      <c r="F34" s="995"/>
      <c r="G34" s="995"/>
      <c r="H34" s="995"/>
      <c r="I34" s="999"/>
      <c r="J34" s="1000"/>
      <c r="K34" s="993"/>
      <c r="L34" s="993"/>
      <c r="M34" s="993"/>
      <c r="N34" s="993"/>
      <c r="O34" s="993"/>
      <c r="P34" s="993"/>
      <c r="Q34" s="996"/>
      <c r="R34" s="997"/>
    </row>
    <row r="35" spans="1:18" ht="30" customHeight="1">
      <c r="A35" s="992"/>
      <c r="B35" s="995"/>
      <c r="C35" s="995"/>
      <c r="D35" s="998"/>
      <c r="E35" s="995"/>
      <c r="F35" s="995"/>
      <c r="G35" s="995"/>
      <c r="H35" s="995"/>
      <c r="I35" s="999"/>
      <c r="J35" s="1000">
        <v>423.08100000000002</v>
      </c>
      <c r="K35" s="993"/>
      <c r="L35" s="993"/>
      <c r="M35" s="993"/>
      <c r="N35" s="993"/>
      <c r="O35" s="993"/>
      <c r="P35" s="993"/>
      <c r="Q35" s="1399"/>
      <c r="R35" s="997"/>
    </row>
    <row r="36" spans="1:18" ht="30" customHeight="1">
      <c r="A36" s="992">
        <f>A34+1</f>
        <v>15</v>
      </c>
      <c r="B36" s="995" t="s">
        <v>401</v>
      </c>
      <c r="C36" s="995" t="s">
        <v>62</v>
      </c>
      <c r="D36" s="998"/>
      <c r="E36" s="995"/>
      <c r="F36" s="995"/>
      <c r="G36" s="995"/>
      <c r="H36" s="995"/>
      <c r="I36" s="999"/>
      <c r="J36" s="1000"/>
      <c r="K36" s="993">
        <f>J29+J31+J33+J35</f>
        <v>1468.1120000000001</v>
      </c>
      <c r="L36" s="993"/>
      <c r="M36" s="993"/>
      <c r="N36" s="993"/>
      <c r="O36" s="993"/>
      <c r="P36" s="993"/>
      <c r="Q36" s="1400"/>
      <c r="R36" s="997"/>
    </row>
    <row r="37" spans="1:18" ht="30" customHeight="1">
      <c r="A37" s="992"/>
      <c r="B37" s="995"/>
      <c r="C37" s="995"/>
      <c r="D37" s="998"/>
      <c r="E37" s="995"/>
      <c r="F37" s="995"/>
      <c r="G37" s="995"/>
      <c r="H37" s="995"/>
      <c r="I37" s="999"/>
      <c r="J37" s="1000">
        <v>364.95800000000003</v>
      </c>
      <c r="K37" s="993"/>
      <c r="L37" s="993"/>
      <c r="M37" s="993"/>
      <c r="N37" s="993"/>
      <c r="O37" s="993"/>
      <c r="P37" s="993"/>
      <c r="Q37" s="1401"/>
      <c r="R37" s="997"/>
    </row>
    <row r="38" spans="1:18" ht="30" customHeight="1">
      <c r="A38" s="992">
        <f>A36+1</f>
        <v>16</v>
      </c>
      <c r="B38" s="995" t="s">
        <v>2940</v>
      </c>
      <c r="C38" s="995" t="s">
        <v>1938</v>
      </c>
      <c r="D38" s="994" t="s">
        <v>2090</v>
      </c>
      <c r="E38" s="995"/>
      <c r="F38" s="995"/>
      <c r="G38" s="995"/>
      <c r="H38" s="995"/>
      <c r="I38" s="999"/>
      <c r="J38" s="1000"/>
      <c r="K38" s="993">
        <f>J37</f>
        <v>364.95800000000003</v>
      </c>
      <c r="L38" s="993"/>
      <c r="M38" s="993"/>
      <c r="N38" s="993"/>
      <c r="O38" s="993"/>
      <c r="P38" s="993"/>
      <c r="Q38" s="996"/>
      <c r="R38" s="997"/>
    </row>
    <row r="39" spans="1:18" ht="30" customHeight="1">
      <c r="A39" s="992"/>
      <c r="B39" s="995"/>
      <c r="C39" s="995"/>
      <c r="D39" s="998"/>
      <c r="E39" s="995"/>
      <c r="F39" s="995"/>
      <c r="G39" s="995"/>
      <c r="H39" s="995"/>
      <c r="I39" s="999"/>
      <c r="J39" s="1000">
        <v>380.94900000000001</v>
      </c>
      <c r="K39" s="993"/>
      <c r="L39" s="993"/>
      <c r="M39" s="993"/>
      <c r="N39" s="993"/>
      <c r="O39" s="993"/>
      <c r="P39" s="993"/>
      <c r="Q39" s="1399"/>
      <c r="R39" s="997"/>
    </row>
    <row r="40" spans="1:18" ht="30" customHeight="1">
      <c r="A40" s="992">
        <f>A38+1</f>
        <v>17</v>
      </c>
      <c r="B40" s="995" t="s">
        <v>219</v>
      </c>
      <c r="C40" s="995" t="s">
        <v>76</v>
      </c>
      <c r="D40" s="998"/>
      <c r="E40" s="995"/>
      <c r="F40" s="995"/>
      <c r="G40" s="995"/>
      <c r="H40" s="995"/>
      <c r="I40" s="999"/>
      <c r="J40" s="1000"/>
      <c r="K40" s="993">
        <f>J39</f>
        <v>380.94900000000001</v>
      </c>
      <c r="L40" s="993"/>
      <c r="M40" s="993"/>
      <c r="N40" s="993"/>
      <c r="O40" s="993"/>
      <c r="P40" s="993"/>
      <c r="Q40" s="1400"/>
      <c r="R40" s="997"/>
    </row>
    <row r="41" spans="1:18" ht="30" customHeight="1">
      <c r="A41" s="992"/>
      <c r="B41" s="995"/>
      <c r="C41" s="995"/>
      <c r="D41" s="998"/>
      <c r="E41" s="995"/>
      <c r="F41" s="995"/>
      <c r="G41" s="995"/>
      <c r="H41" s="995"/>
      <c r="I41" s="999"/>
      <c r="J41" s="1000">
        <v>376.62599999999998</v>
      </c>
      <c r="K41" s="993"/>
      <c r="L41" s="993"/>
      <c r="M41" s="993"/>
      <c r="N41" s="993"/>
      <c r="O41" s="993"/>
      <c r="P41" s="993"/>
      <c r="Q41" s="1401"/>
      <c r="R41" s="997"/>
    </row>
    <row r="42" spans="1:18" ht="30" customHeight="1">
      <c r="A42" s="992">
        <f>A40+1</f>
        <v>18</v>
      </c>
      <c r="B42" s="995" t="s">
        <v>2941</v>
      </c>
      <c r="C42" s="995" t="s">
        <v>1277</v>
      </c>
      <c r="D42" s="994" t="s">
        <v>2942</v>
      </c>
      <c r="E42" s="995"/>
      <c r="F42" s="995"/>
      <c r="G42" s="995"/>
      <c r="H42" s="995"/>
      <c r="I42" s="999"/>
      <c r="J42" s="1000"/>
      <c r="K42" s="993"/>
      <c r="L42" s="993"/>
      <c r="M42" s="993"/>
      <c r="N42" s="993"/>
      <c r="O42" s="993"/>
      <c r="P42" s="993"/>
      <c r="Q42" s="996"/>
      <c r="R42" s="997"/>
    </row>
    <row r="43" spans="1:18" ht="30" customHeight="1">
      <c r="A43" s="992"/>
      <c r="B43" s="995"/>
      <c r="C43" s="995"/>
      <c r="D43" s="998"/>
      <c r="E43" s="995"/>
      <c r="F43" s="995"/>
      <c r="G43" s="995"/>
      <c r="H43" s="995"/>
      <c r="I43" s="999"/>
      <c r="J43" s="1000">
        <v>299.077</v>
      </c>
      <c r="K43" s="993"/>
      <c r="L43" s="993"/>
      <c r="M43" s="993"/>
      <c r="N43" s="993"/>
      <c r="O43" s="993"/>
      <c r="P43" s="993"/>
      <c r="Q43" s="1399"/>
      <c r="R43" s="997"/>
    </row>
    <row r="44" spans="1:18" ht="30" customHeight="1">
      <c r="A44" s="992">
        <f>A42+1</f>
        <v>19</v>
      </c>
      <c r="B44" s="995" t="s">
        <v>170</v>
      </c>
      <c r="C44" s="995" t="s">
        <v>76</v>
      </c>
      <c r="D44" s="998"/>
      <c r="E44" s="995"/>
      <c r="F44" s="995"/>
      <c r="G44" s="995"/>
      <c r="H44" s="995"/>
      <c r="I44" s="999"/>
      <c r="J44" s="1000"/>
      <c r="K44" s="993"/>
      <c r="L44" s="993"/>
      <c r="M44" s="993"/>
      <c r="N44" s="993"/>
      <c r="O44" s="993"/>
      <c r="P44" s="993"/>
      <c r="Q44" s="1400"/>
      <c r="R44" s="997"/>
    </row>
    <row r="45" spans="1:18" ht="30" customHeight="1">
      <c r="A45" s="992"/>
      <c r="B45" s="995"/>
      <c r="C45" s="995"/>
      <c r="D45" s="998"/>
      <c r="E45" s="995"/>
      <c r="F45" s="995"/>
      <c r="G45" s="995"/>
      <c r="H45" s="995"/>
      <c r="I45" s="999"/>
      <c r="J45" s="1000">
        <v>264.84199999999998</v>
      </c>
      <c r="K45" s="993"/>
      <c r="L45" s="993"/>
      <c r="M45" s="993"/>
      <c r="N45" s="993"/>
      <c r="O45" s="993"/>
      <c r="P45" s="993"/>
      <c r="Q45" s="1401"/>
      <c r="R45" s="997"/>
    </row>
    <row r="46" spans="1:18" ht="30" customHeight="1">
      <c r="A46" s="992">
        <f>A44+1</f>
        <v>20</v>
      </c>
      <c r="B46" s="995" t="s">
        <v>2943</v>
      </c>
      <c r="C46" s="995" t="s">
        <v>1269</v>
      </c>
      <c r="D46" s="994" t="s">
        <v>2944</v>
      </c>
      <c r="E46" s="995"/>
      <c r="F46" s="995"/>
      <c r="G46" s="995"/>
      <c r="H46" s="995"/>
      <c r="I46" s="999"/>
      <c r="J46" s="1000"/>
      <c r="K46" s="993">
        <f>J41+J43+J45</f>
        <v>940.54499999999996</v>
      </c>
      <c r="L46" s="993"/>
      <c r="M46" s="993"/>
      <c r="N46" s="993"/>
      <c r="O46" s="993"/>
      <c r="P46" s="993"/>
      <c r="Q46" s="996"/>
      <c r="R46" s="997"/>
    </row>
    <row r="47" spans="1:18" ht="30" customHeight="1">
      <c r="A47" s="992"/>
      <c r="B47" s="995"/>
      <c r="C47" s="995"/>
      <c r="D47" s="998"/>
      <c r="E47" s="995"/>
      <c r="F47" s="995"/>
      <c r="G47" s="995"/>
      <c r="H47" s="995"/>
      <c r="I47" s="999"/>
      <c r="J47" s="1000">
        <v>364.06400000000002</v>
      </c>
      <c r="K47" s="993"/>
      <c r="L47" s="993"/>
      <c r="M47" s="993"/>
      <c r="N47" s="993"/>
      <c r="O47" s="993"/>
      <c r="P47" s="993"/>
      <c r="Q47" s="1399"/>
      <c r="R47" s="997"/>
    </row>
    <row r="48" spans="1:18" ht="30" customHeight="1">
      <c r="A48" s="992">
        <f>A46+1</f>
        <v>21</v>
      </c>
      <c r="B48" s="995" t="s">
        <v>229</v>
      </c>
      <c r="C48" s="995" t="s">
        <v>76</v>
      </c>
      <c r="D48" s="998"/>
      <c r="E48" s="995"/>
      <c r="F48" s="995"/>
      <c r="G48" s="995"/>
      <c r="H48" s="995"/>
      <c r="I48" s="999"/>
      <c r="J48" s="1000"/>
      <c r="K48" s="993"/>
      <c r="L48" s="993"/>
      <c r="M48" s="993"/>
      <c r="N48" s="993"/>
      <c r="O48" s="993"/>
      <c r="P48" s="993"/>
      <c r="Q48" s="1400"/>
      <c r="R48" s="997"/>
    </row>
    <row r="49" spans="1:18" ht="30" customHeight="1">
      <c r="A49" s="992"/>
      <c r="B49" s="995"/>
      <c r="C49" s="995"/>
      <c r="D49" s="998"/>
      <c r="E49" s="995"/>
      <c r="F49" s="995"/>
      <c r="G49" s="995"/>
      <c r="H49" s="995"/>
      <c r="I49" s="999"/>
      <c r="J49" s="1000">
        <v>319.18400000000003</v>
      </c>
      <c r="K49" s="993"/>
      <c r="L49" s="993"/>
      <c r="M49" s="993"/>
      <c r="N49" s="993"/>
      <c r="O49" s="993"/>
      <c r="P49" s="993"/>
      <c r="Q49" s="1400"/>
      <c r="R49" s="997"/>
    </row>
    <row r="50" spans="1:18" ht="30" customHeight="1">
      <c r="A50" s="992">
        <f>A48+1</f>
        <v>22</v>
      </c>
      <c r="B50" s="995" t="s">
        <v>106</v>
      </c>
      <c r="C50" s="995" t="s">
        <v>76</v>
      </c>
      <c r="D50" s="998"/>
      <c r="E50" s="995"/>
      <c r="F50" s="995"/>
      <c r="G50" s="995"/>
      <c r="H50" s="995"/>
      <c r="I50" s="999"/>
      <c r="J50" s="1000"/>
      <c r="K50" s="993"/>
      <c r="L50" s="993"/>
      <c r="M50" s="993"/>
      <c r="N50" s="993"/>
      <c r="O50" s="993"/>
      <c r="P50" s="993"/>
      <c r="Q50" s="1400"/>
      <c r="R50" s="997"/>
    </row>
    <row r="51" spans="1:18" ht="30" customHeight="1">
      <c r="A51" s="992"/>
      <c r="B51" s="995"/>
      <c r="C51" s="995"/>
      <c r="D51" s="998"/>
      <c r="E51" s="995"/>
      <c r="F51" s="995"/>
      <c r="G51" s="995"/>
      <c r="H51" s="995"/>
      <c r="I51" s="999"/>
      <c r="J51" s="1000">
        <v>397.98500000000001</v>
      </c>
      <c r="K51" s="993"/>
      <c r="L51" s="993"/>
      <c r="M51" s="993"/>
      <c r="N51" s="993"/>
      <c r="O51" s="993"/>
      <c r="P51" s="993"/>
      <c r="Q51" s="1401"/>
      <c r="R51" s="997"/>
    </row>
    <row r="52" spans="1:18" ht="30" customHeight="1">
      <c r="A52" s="992">
        <f>A50+1</f>
        <v>23</v>
      </c>
      <c r="B52" s="995" t="s">
        <v>2945</v>
      </c>
      <c r="C52" s="995" t="s">
        <v>1981</v>
      </c>
      <c r="D52" s="994" t="s">
        <v>2104</v>
      </c>
      <c r="E52" s="995"/>
      <c r="F52" s="995"/>
      <c r="G52" s="995"/>
      <c r="H52" s="995"/>
      <c r="I52" s="999"/>
      <c r="J52" s="1000"/>
      <c r="K52" s="993">
        <f>J47+J49+J51</f>
        <v>1081.2330000000002</v>
      </c>
      <c r="L52" s="993"/>
      <c r="M52" s="993"/>
      <c r="N52" s="993"/>
      <c r="O52" s="993"/>
      <c r="P52" s="993"/>
      <c r="Q52" s="996"/>
      <c r="R52" s="997"/>
    </row>
    <row r="53" spans="1:18" ht="30" customHeight="1">
      <c r="A53" s="992"/>
      <c r="B53" s="995"/>
      <c r="C53" s="995"/>
      <c r="D53" s="998"/>
      <c r="E53" s="995"/>
      <c r="F53" s="995"/>
      <c r="G53" s="995"/>
      <c r="H53" s="995"/>
      <c r="I53" s="999"/>
      <c r="J53" s="999">
        <v>450.85899999999998</v>
      </c>
      <c r="K53" s="1001"/>
      <c r="L53" s="1001"/>
      <c r="M53" s="1001"/>
      <c r="N53" s="1001"/>
      <c r="O53" s="1001"/>
      <c r="P53" s="1001"/>
      <c r="Q53" s="996"/>
      <c r="R53" s="997"/>
    </row>
    <row r="54" spans="1:18" s="983" customFormat="1" ht="30" customHeight="1">
      <c r="A54" s="992">
        <f>A52+1</f>
        <v>24</v>
      </c>
      <c r="B54" s="995" t="s">
        <v>2946</v>
      </c>
      <c r="C54" s="995" t="s">
        <v>1957</v>
      </c>
      <c r="D54" s="994" t="s">
        <v>2947</v>
      </c>
      <c r="E54" s="995"/>
      <c r="F54" s="995"/>
      <c r="G54" s="995"/>
      <c r="H54" s="995"/>
      <c r="I54" s="999"/>
      <c r="J54" s="1000"/>
      <c r="K54" s="1001">
        <f>J53</f>
        <v>450.85899999999998</v>
      </c>
      <c r="L54" s="1001"/>
      <c r="M54" s="1001"/>
      <c r="N54" s="1001"/>
      <c r="O54" s="1001"/>
      <c r="P54" s="1001"/>
      <c r="Q54" s="996"/>
      <c r="R54" s="997"/>
    </row>
    <row r="55" spans="1:18" s="983" customFormat="1" ht="30" customHeight="1">
      <c r="A55" s="992"/>
      <c r="B55" s="995"/>
      <c r="C55" s="995"/>
      <c r="D55" s="998"/>
      <c r="E55" s="995"/>
      <c r="F55" s="995"/>
      <c r="G55" s="995"/>
      <c r="H55" s="995"/>
      <c r="I55" s="999"/>
      <c r="J55" s="999">
        <v>326.47699999999998</v>
      </c>
      <c r="K55" s="1001"/>
      <c r="L55" s="1001"/>
      <c r="M55" s="1001"/>
      <c r="N55" s="1001"/>
      <c r="O55" s="1001"/>
      <c r="P55" s="1001"/>
      <c r="Q55" s="1399"/>
      <c r="R55" s="997"/>
    </row>
    <row r="56" spans="1:18" ht="30" customHeight="1">
      <c r="A56" s="992">
        <f>A54+1</f>
        <v>25</v>
      </c>
      <c r="B56" s="995" t="s">
        <v>144</v>
      </c>
      <c r="C56" s="995" t="s">
        <v>76</v>
      </c>
      <c r="D56" s="998"/>
      <c r="E56" s="995"/>
      <c r="F56" s="995"/>
      <c r="G56" s="995"/>
      <c r="H56" s="995"/>
      <c r="I56" s="999"/>
      <c r="J56" s="999"/>
      <c r="K56" s="1001"/>
      <c r="L56" s="993"/>
      <c r="M56" s="1001"/>
      <c r="N56" s="1001"/>
      <c r="O56" s="1001"/>
      <c r="P56" s="1001"/>
      <c r="Q56" s="1400"/>
      <c r="R56" s="997"/>
    </row>
    <row r="57" spans="1:18" ht="30" customHeight="1">
      <c r="A57" s="992"/>
      <c r="B57" s="995"/>
      <c r="C57" s="995"/>
      <c r="D57" s="998"/>
      <c r="E57" s="995"/>
      <c r="F57" s="995"/>
      <c r="G57" s="995"/>
      <c r="H57" s="995"/>
      <c r="I57" s="999"/>
      <c r="J57" s="999">
        <v>276.363</v>
      </c>
      <c r="K57" s="1001"/>
      <c r="L57" s="1001"/>
      <c r="M57" s="1001"/>
      <c r="N57" s="1001"/>
      <c r="O57" s="1001"/>
      <c r="P57" s="1001"/>
      <c r="Q57" s="1401"/>
      <c r="R57" s="997"/>
    </row>
    <row r="58" spans="1:18" ht="30" customHeight="1">
      <c r="A58" s="992">
        <f>A56+1</f>
        <v>26</v>
      </c>
      <c r="B58" s="995" t="s">
        <v>2948</v>
      </c>
      <c r="C58" s="995" t="s">
        <v>1269</v>
      </c>
      <c r="D58" s="994" t="s">
        <v>2949</v>
      </c>
      <c r="E58" s="995"/>
      <c r="F58" s="995"/>
      <c r="G58" s="995"/>
      <c r="H58" s="995"/>
      <c r="I58" s="999"/>
      <c r="J58" s="999"/>
      <c r="K58" s="1001">
        <f>J55+J57</f>
        <v>602.83999999999992</v>
      </c>
      <c r="L58" s="993"/>
      <c r="M58" s="1001"/>
      <c r="N58" s="1001"/>
      <c r="O58" s="1001"/>
      <c r="P58" s="1001"/>
      <c r="Q58" s="996"/>
      <c r="R58" s="997"/>
    </row>
    <row r="59" spans="1:18" ht="30" customHeight="1">
      <c r="A59" s="992"/>
      <c r="B59" s="995"/>
      <c r="C59" s="995"/>
      <c r="D59" s="998"/>
      <c r="E59" s="995"/>
      <c r="F59" s="995"/>
      <c r="G59" s="995"/>
      <c r="H59" s="995"/>
      <c r="I59" s="999"/>
      <c r="J59" s="999">
        <v>307.21600000000001</v>
      </c>
      <c r="K59" s="1001"/>
      <c r="L59" s="1001"/>
      <c r="M59" s="1001"/>
      <c r="N59" s="1001"/>
      <c r="O59" s="1001"/>
      <c r="P59" s="1001"/>
      <c r="Q59" s="1399"/>
      <c r="R59" s="997"/>
    </row>
    <row r="60" spans="1:18" ht="30" customHeight="1">
      <c r="A60" s="992">
        <f>A58+1</f>
        <v>27</v>
      </c>
      <c r="B60" s="995" t="s">
        <v>251</v>
      </c>
      <c r="C60" s="995" t="s">
        <v>76</v>
      </c>
      <c r="D60" s="998"/>
      <c r="E60" s="995"/>
      <c r="F60" s="995"/>
      <c r="G60" s="995"/>
      <c r="H60" s="995"/>
      <c r="I60" s="999"/>
      <c r="J60" s="999"/>
      <c r="K60" s="1001"/>
      <c r="L60" s="993"/>
      <c r="M60" s="1001"/>
      <c r="N60" s="1001"/>
      <c r="O60" s="1001"/>
      <c r="P60" s="1001"/>
      <c r="Q60" s="1400"/>
      <c r="R60" s="997"/>
    </row>
    <row r="61" spans="1:18" ht="30" customHeight="1">
      <c r="A61" s="992"/>
      <c r="B61" s="995"/>
      <c r="C61" s="995"/>
      <c r="D61" s="998"/>
      <c r="E61" s="995"/>
      <c r="F61" s="995"/>
      <c r="G61" s="995"/>
      <c r="H61" s="995"/>
      <c r="I61" s="999"/>
      <c r="J61" s="999">
        <v>389.39699999999999</v>
      </c>
      <c r="K61" s="1001"/>
      <c r="L61" s="1001"/>
      <c r="M61" s="1001"/>
      <c r="N61" s="1001"/>
      <c r="O61" s="1001"/>
      <c r="P61" s="1001"/>
      <c r="Q61" s="1400"/>
      <c r="R61" s="997"/>
    </row>
    <row r="62" spans="1:18" ht="30" customHeight="1">
      <c r="A62" s="992">
        <f>A60+1</f>
        <v>28</v>
      </c>
      <c r="B62" s="995" t="s">
        <v>118</v>
      </c>
      <c r="C62" s="995" t="s">
        <v>53</v>
      </c>
      <c r="D62" s="998"/>
      <c r="E62" s="995"/>
      <c r="F62" s="995"/>
      <c r="G62" s="995"/>
      <c r="H62" s="995"/>
      <c r="I62" s="999"/>
      <c r="J62" s="999"/>
      <c r="K62" s="1001"/>
      <c r="L62" s="993"/>
      <c r="M62" s="1001"/>
      <c r="N62" s="1001"/>
      <c r="O62" s="1001"/>
      <c r="P62" s="1001"/>
      <c r="Q62" s="1400"/>
      <c r="R62" s="997"/>
    </row>
    <row r="63" spans="1:18" ht="30" customHeight="1">
      <c r="A63" s="992"/>
      <c r="B63" s="995"/>
      <c r="C63" s="995"/>
      <c r="D63" s="998"/>
      <c r="E63" s="995"/>
      <c r="F63" s="995"/>
      <c r="G63" s="995"/>
      <c r="H63" s="995"/>
      <c r="I63" s="999"/>
      <c r="J63" s="999">
        <v>368.79199999999997</v>
      </c>
      <c r="K63" s="1001"/>
      <c r="L63" s="1001"/>
      <c r="M63" s="1001"/>
      <c r="N63" s="1001"/>
      <c r="O63" s="1001"/>
      <c r="P63" s="1001"/>
      <c r="Q63" s="1400"/>
      <c r="R63" s="997"/>
    </row>
    <row r="64" spans="1:18" ht="30" customHeight="1">
      <c r="A64" s="992">
        <f>A62+1</f>
        <v>29</v>
      </c>
      <c r="B64" s="995" t="s">
        <v>134</v>
      </c>
      <c r="C64" s="995" t="s">
        <v>76</v>
      </c>
      <c r="D64" s="998"/>
      <c r="E64" s="995"/>
      <c r="F64" s="995"/>
      <c r="G64" s="995"/>
      <c r="H64" s="995"/>
      <c r="I64" s="999"/>
      <c r="J64" s="999"/>
      <c r="K64" s="1001">
        <f>J59+J61+J63</f>
        <v>1065.405</v>
      </c>
      <c r="L64" s="993"/>
      <c r="M64" s="1001"/>
      <c r="N64" s="1001"/>
      <c r="O64" s="1001"/>
      <c r="P64" s="1001"/>
      <c r="Q64" s="1400"/>
      <c r="R64" s="997"/>
    </row>
    <row r="65" spans="1:18" ht="30" customHeight="1">
      <c r="A65" s="992"/>
      <c r="B65" s="995"/>
      <c r="C65" s="995"/>
      <c r="D65" s="1002"/>
      <c r="E65" s="995"/>
      <c r="F65" s="995"/>
      <c r="G65" s="995"/>
      <c r="H65" s="995"/>
      <c r="I65" s="999"/>
      <c r="J65" s="999">
        <v>404.38600000000002</v>
      </c>
      <c r="K65" s="1001"/>
      <c r="L65" s="1001"/>
      <c r="M65" s="1001"/>
      <c r="N65" s="1001"/>
      <c r="O65" s="1001"/>
      <c r="P65" s="1001"/>
      <c r="Q65" s="1400"/>
      <c r="R65" s="997"/>
    </row>
    <row r="66" spans="1:18" ht="30" customHeight="1">
      <c r="A66" s="992">
        <f>A64+1</f>
        <v>30</v>
      </c>
      <c r="B66" s="995" t="s">
        <v>163</v>
      </c>
      <c r="C66" s="995" t="s">
        <v>62</v>
      </c>
      <c r="D66" s="1002"/>
      <c r="E66" s="995"/>
      <c r="F66" s="995"/>
      <c r="G66" s="995"/>
      <c r="H66" s="995"/>
      <c r="I66" s="999"/>
      <c r="J66" s="999"/>
      <c r="K66" s="1001"/>
      <c r="L66" s="993"/>
      <c r="M66" s="1001"/>
      <c r="N66" s="1001"/>
      <c r="O66" s="1001"/>
      <c r="P66" s="1001"/>
      <c r="Q66" s="1400"/>
      <c r="R66" s="997"/>
    </row>
    <row r="67" spans="1:18" ht="30" customHeight="1">
      <c r="A67" s="992"/>
      <c r="B67" s="995"/>
      <c r="C67" s="995"/>
      <c r="D67" s="1002"/>
      <c r="E67" s="995"/>
      <c r="F67" s="995"/>
      <c r="G67" s="995"/>
      <c r="H67" s="995"/>
      <c r="I67" s="999"/>
      <c r="J67" s="999">
        <v>378.13499999999999</v>
      </c>
      <c r="K67" s="1001"/>
      <c r="L67" s="1001"/>
      <c r="M67" s="1001"/>
      <c r="N67" s="1001"/>
      <c r="O67" s="1001"/>
      <c r="P67" s="1001"/>
      <c r="Q67" s="1400"/>
      <c r="R67" s="997"/>
    </row>
    <row r="68" spans="1:18" ht="30" customHeight="1">
      <c r="A68" s="992">
        <f>A66+1</f>
        <v>31</v>
      </c>
      <c r="B68" s="995" t="s">
        <v>151</v>
      </c>
      <c r="C68" s="995" t="s">
        <v>62</v>
      </c>
      <c r="D68" s="1002"/>
      <c r="E68" s="995"/>
      <c r="F68" s="995"/>
      <c r="G68" s="995"/>
      <c r="H68" s="995"/>
      <c r="I68" s="999"/>
      <c r="J68" s="999"/>
      <c r="K68" s="1001"/>
      <c r="L68" s="1001"/>
      <c r="M68" s="1001"/>
      <c r="N68" s="1001"/>
      <c r="O68" s="1001"/>
      <c r="P68" s="1001"/>
      <c r="Q68" s="1400"/>
      <c r="R68" s="997"/>
    </row>
    <row r="69" spans="1:18" ht="30" customHeight="1">
      <c r="A69" s="992"/>
      <c r="B69" s="995"/>
      <c r="C69" s="995"/>
      <c r="D69" s="1002"/>
      <c r="E69" s="995"/>
      <c r="F69" s="995"/>
      <c r="G69" s="995"/>
      <c r="H69" s="995"/>
      <c r="I69" s="999"/>
      <c r="J69" s="999">
        <v>370.48200000000003</v>
      </c>
      <c r="K69" s="1001"/>
      <c r="L69" s="1001"/>
      <c r="M69" s="1001"/>
      <c r="N69" s="1001"/>
      <c r="O69" s="1001"/>
      <c r="P69" s="1001"/>
      <c r="Q69" s="1401"/>
      <c r="R69" s="997"/>
    </row>
    <row r="70" spans="1:18" ht="30" customHeight="1">
      <c r="A70" s="992">
        <f>A68+1</f>
        <v>32</v>
      </c>
      <c r="B70" s="995" t="s">
        <v>2950</v>
      </c>
      <c r="C70" s="995" t="s">
        <v>1277</v>
      </c>
      <c r="D70" s="994" t="s">
        <v>2951</v>
      </c>
      <c r="E70" s="995"/>
      <c r="F70" s="995"/>
      <c r="G70" s="995"/>
      <c r="H70" s="995"/>
      <c r="I70" s="999"/>
      <c r="J70" s="999"/>
      <c r="K70" s="1001"/>
      <c r="L70" s="993"/>
      <c r="M70" s="1001"/>
      <c r="N70" s="1001"/>
      <c r="O70" s="1001"/>
      <c r="P70" s="1001"/>
      <c r="Q70" s="996"/>
      <c r="R70" s="997"/>
    </row>
    <row r="71" spans="1:18" ht="30" customHeight="1">
      <c r="A71" s="992"/>
      <c r="B71" s="995"/>
      <c r="C71" s="995"/>
      <c r="D71" s="1002"/>
      <c r="E71" s="995"/>
      <c r="F71" s="995"/>
      <c r="G71" s="995"/>
      <c r="H71" s="995"/>
      <c r="I71" s="999"/>
      <c r="J71" s="999">
        <v>199.386</v>
      </c>
      <c r="K71" s="1001"/>
      <c r="L71" s="1001"/>
      <c r="M71" s="1001"/>
      <c r="N71" s="1001"/>
      <c r="O71" s="1001"/>
      <c r="P71" s="1001"/>
      <c r="Q71" s="996"/>
      <c r="R71" s="997"/>
    </row>
    <row r="72" spans="1:18" ht="30" customHeight="1">
      <c r="A72" s="992">
        <f>A70+1</f>
        <v>33</v>
      </c>
      <c r="B72" s="995" t="s">
        <v>2952</v>
      </c>
      <c r="C72" s="995" t="s">
        <v>1319</v>
      </c>
      <c r="D72" s="994" t="s">
        <v>2953</v>
      </c>
      <c r="E72" s="995"/>
      <c r="F72" s="995"/>
      <c r="G72" s="995"/>
      <c r="H72" s="995"/>
      <c r="I72" s="999"/>
      <c r="J72" s="999"/>
      <c r="K72" s="1001"/>
      <c r="L72" s="993" t="s">
        <v>2967</v>
      </c>
      <c r="M72" s="1001"/>
      <c r="N72" s="1001"/>
      <c r="O72" s="1001"/>
      <c r="P72" s="1001"/>
      <c r="Q72" s="996"/>
      <c r="R72" s="997"/>
    </row>
    <row r="73" spans="1:18" ht="30" customHeight="1">
      <c r="A73" s="992"/>
      <c r="B73" s="995"/>
      <c r="C73" s="995"/>
      <c r="D73" s="1002"/>
      <c r="E73" s="995"/>
      <c r="F73" s="995"/>
      <c r="G73" s="995"/>
      <c r="H73" s="995"/>
      <c r="I73" s="999"/>
      <c r="J73" s="999">
        <v>294.00900000000001</v>
      </c>
      <c r="K73" s="1001"/>
      <c r="L73" s="1001"/>
      <c r="M73" s="1001"/>
      <c r="N73" s="1001"/>
      <c r="O73" s="1001"/>
      <c r="P73" s="1001"/>
      <c r="Q73" s="1399"/>
      <c r="R73" s="997"/>
    </row>
    <row r="74" spans="1:18" ht="30" customHeight="1">
      <c r="A74" s="992">
        <f>A72+1</f>
        <v>34</v>
      </c>
      <c r="B74" s="995" t="s">
        <v>2954</v>
      </c>
      <c r="C74" s="995" t="s">
        <v>76</v>
      </c>
      <c r="D74" s="1002"/>
      <c r="E74" s="995"/>
      <c r="F74" s="995"/>
      <c r="G74" s="995"/>
      <c r="H74" s="995"/>
      <c r="I74" s="999"/>
      <c r="J74" s="999"/>
      <c r="K74" s="1001"/>
      <c r="L74" s="1001"/>
      <c r="M74" s="1001"/>
      <c r="N74" s="1001"/>
      <c r="O74" s="1001"/>
      <c r="P74" s="1001"/>
      <c r="Q74" s="1400"/>
      <c r="R74" s="997"/>
    </row>
    <row r="75" spans="1:18" ht="30" customHeight="1">
      <c r="A75" s="992"/>
      <c r="B75" s="995"/>
      <c r="C75" s="995"/>
      <c r="D75" s="1002"/>
      <c r="E75" s="995"/>
      <c r="F75" s="995"/>
      <c r="G75" s="995"/>
      <c r="H75" s="995"/>
      <c r="I75" s="999"/>
      <c r="J75" s="999">
        <v>312.70800000000003</v>
      </c>
      <c r="K75" s="1001"/>
      <c r="L75" s="1001"/>
      <c r="M75" s="1001"/>
      <c r="N75" s="1001"/>
      <c r="O75" s="1001"/>
      <c r="P75" s="1001"/>
      <c r="Q75" s="1400"/>
      <c r="R75" s="997"/>
    </row>
    <row r="76" spans="1:18" ht="30" customHeight="1">
      <c r="A76" s="992">
        <f>A74+1</f>
        <v>35</v>
      </c>
      <c r="B76" s="995" t="s">
        <v>2955</v>
      </c>
      <c r="C76" s="995" t="s">
        <v>76</v>
      </c>
      <c r="D76" s="1002"/>
      <c r="E76" s="995"/>
      <c r="F76" s="995"/>
      <c r="G76" s="995"/>
      <c r="H76" s="995"/>
      <c r="I76" s="999" t="s">
        <v>3348</v>
      </c>
      <c r="J76" s="999"/>
      <c r="K76" s="1001">
        <f>J65+J67+J69+J71+J73+J75</f>
        <v>1959.106</v>
      </c>
      <c r="L76" s="1001" t="s">
        <v>2967</v>
      </c>
      <c r="M76" s="1001" t="s">
        <v>22</v>
      </c>
      <c r="N76" s="1001"/>
      <c r="O76" s="1001"/>
      <c r="P76" s="1001"/>
      <c r="Q76" s="1400"/>
      <c r="R76" s="997"/>
    </row>
    <row r="77" spans="1:18" ht="30" customHeight="1">
      <c r="A77" s="992"/>
      <c r="B77" s="995"/>
      <c r="C77" s="995"/>
      <c r="D77" s="1002"/>
      <c r="E77" s="995"/>
      <c r="F77" s="995"/>
      <c r="G77" s="995"/>
      <c r="H77" s="995"/>
      <c r="I77" s="999"/>
      <c r="J77" s="999">
        <v>321.89299999999997</v>
      </c>
      <c r="K77" s="1001"/>
      <c r="L77" s="1001"/>
      <c r="M77" s="1001"/>
      <c r="N77" s="1001"/>
      <c r="O77" s="1001"/>
      <c r="P77" s="1001"/>
      <c r="Q77" s="1400"/>
      <c r="R77" s="1003" t="s">
        <v>2956</v>
      </c>
    </row>
    <row r="78" spans="1:18" ht="30" customHeight="1">
      <c r="A78" s="992">
        <f>A76+1</f>
        <v>36</v>
      </c>
      <c r="B78" s="995" t="s">
        <v>2957</v>
      </c>
      <c r="C78" s="995" t="s">
        <v>76</v>
      </c>
      <c r="D78" s="1002"/>
      <c r="E78" s="995"/>
      <c r="F78" s="995"/>
      <c r="G78" s="995"/>
      <c r="H78" s="995"/>
      <c r="I78" s="999" t="s">
        <v>3348</v>
      </c>
      <c r="J78" s="999"/>
      <c r="K78" s="1001">
        <f>J77</f>
        <v>321.89299999999997</v>
      </c>
      <c r="L78" s="1001" t="s">
        <v>2967</v>
      </c>
      <c r="M78" s="1001" t="s">
        <v>1009</v>
      </c>
      <c r="N78" s="1001"/>
      <c r="O78" s="1001"/>
      <c r="P78" s="1001"/>
      <c r="Q78" s="1400"/>
      <c r="R78" s="997"/>
    </row>
    <row r="79" spans="1:18" ht="30" customHeight="1">
      <c r="A79" s="992"/>
      <c r="B79" s="995"/>
      <c r="C79" s="995"/>
      <c r="D79" s="1002"/>
      <c r="E79" s="995"/>
      <c r="F79" s="995"/>
      <c r="G79" s="995"/>
      <c r="H79" s="995"/>
      <c r="I79" s="999"/>
      <c r="J79" s="999">
        <v>382.47500000000002</v>
      </c>
      <c r="K79" s="1001"/>
      <c r="L79" s="1001"/>
      <c r="M79" s="1001"/>
      <c r="N79" s="1001"/>
      <c r="O79" s="1001"/>
      <c r="P79" s="1001"/>
      <c r="Q79" s="1401"/>
      <c r="R79" s="997"/>
    </row>
    <row r="80" spans="1:18" ht="30" customHeight="1">
      <c r="A80" s="992">
        <f>A78+1</f>
        <v>37</v>
      </c>
      <c r="B80" s="995" t="s">
        <v>2958</v>
      </c>
      <c r="C80" s="995" t="s">
        <v>1269</v>
      </c>
      <c r="D80" s="994" t="s">
        <v>2959</v>
      </c>
      <c r="E80" s="995"/>
      <c r="F80" s="995"/>
      <c r="G80" s="995"/>
      <c r="H80" s="995"/>
      <c r="I80" s="999" t="s">
        <v>3348</v>
      </c>
      <c r="J80" s="999"/>
      <c r="K80" s="1001"/>
      <c r="L80" s="1001" t="s">
        <v>2967</v>
      </c>
      <c r="M80" s="1001" t="s">
        <v>1009</v>
      </c>
      <c r="N80" s="1001" t="s">
        <v>1009</v>
      </c>
      <c r="O80" s="1001"/>
      <c r="P80" s="1001"/>
      <c r="Q80" s="996"/>
      <c r="R80" s="997"/>
    </row>
    <row r="81" spans="1:18" ht="30" customHeight="1">
      <c r="A81" s="992"/>
      <c r="B81" s="995"/>
      <c r="C81" s="995"/>
      <c r="D81" s="1002"/>
      <c r="E81" s="995"/>
      <c r="F81" s="995"/>
      <c r="G81" s="995"/>
      <c r="H81" s="995"/>
      <c r="I81" s="999"/>
      <c r="J81" s="999">
        <v>388.11</v>
      </c>
      <c r="K81" s="1001"/>
      <c r="L81" s="1001"/>
      <c r="M81" s="1001"/>
      <c r="N81" s="1001"/>
      <c r="O81" s="1001"/>
      <c r="P81" s="1001"/>
      <c r="Q81" s="996"/>
      <c r="R81" s="997"/>
    </row>
    <row r="82" spans="1:18" ht="30" customHeight="1">
      <c r="A82" s="992">
        <f>A80+1</f>
        <v>38</v>
      </c>
      <c r="B82" s="995" t="s">
        <v>2960</v>
      </c>
      <c r="C82" s="995" t="s">
        <v>1269</v>
      </c>
      <c r="D82" s="994" t="s">
        <v>2961</v>
      </c>
      <c r="E82" s="995"/>
      <c r="F82" s="995"/>
      <c r="G82" s="995"/>
      <c r="H82" s="995"/>
      <c r="I82" s="999" t="s">
        <v>3348</v>
      </c>
      <c r="J82" s="999"/>
      <c r="K82" s="1001"/>
      <c r="L82" s="1001" t="s">
        <v>2967</v>
      </c>
      <c r="M82" s="1001" t="s">
        <v>1009</v>
      </c>
      <c r="N82" s="1001"/>
      <c r="O82" s="1001"/>
      <c r="P82" s="1001"/>
      <c r="Q82" s="996"/>
      <c r="R82" s="997"/>
    </row>
    <row r="83" spans="1:18" ht="30" customHeight="1">
      <c r="A83" s="992"/>
      <c r="B83" s="995"/>
      <c r="C83" s="995"/>
      <c r="D83" s="1002"/>
      <c r="E83" s="995"/>
      <c r="F83" s="995"/>
      <c r="G83" s="995"/>
      <c r="H83" s="995"/>
      <c r="I83" s="999"/>
      <c r="J83" s="999">
        <v>382.67500000000001</v>
      </c>
      <c r="K83" s="1001"/>
      <c r="L83" s="1001"/>
      <c r="M83" s="1001"/>
      <c r="N83" s="1001"/>
      <c r="O83" s="1001"/>
      <c r="P83" s="1001"/>
      <c r="Q83" s="1399"/>
      <c r="R83" s="997"/>
    </row>
    <row r="84" spans="1:18" ht="30" customHeight="1">
      <c r="A84" s="992">
        <f>A82+1</f>
        <v>39</v>
      </c>
      <c r="B84" s="995" t="s">
        <v>394</v>
      </c>
      <c r="C84" s="995" t="s">
        <v>76</v>
      </c>
      <c r="D84" s="1002"/>
      <c r="E84" s="995"/>
      <c r="F84" s="995"/>
      <c r="G84" s="995"/>
      <c r="H84" s="995"/>
      <c r="I84" s="999" t="s">
        <v>897</v>
      </c>
      <c r="J84" s="999"/>
      <c r="K84" s="1001">
        <f>J79+J81+J83</f>
        <v>1153.26</v>
      </c>
      <c r="L84" s="993" t="s">
        <v>2967</v>
      </c>
      <c r="M84" s="1001" t="s">
        <v>1009</v>
      </c>
      <c r="N84" s="1001" t="s">
        <v>1009</v>
      </c>
      <c r="O84" s="1001"/>
      <c r="P84" s="1001"/>
      <c r="Q84" s="1400"/>
      <c r="R84" s="997"/>
    </row>
    <row r="85" spans="1:18" ht="30" customHeight="1">
      <c r="A85" s="992"/>
      <c r="B85" s="995"/>
      <c r="C85" s="995"/>
      <c r="D85" s="1002"/>
      <c r="E85" s="995"/>
      <c r="F85" s="995"/>
      <c r="G85" s="995"/>
      <c r="H85" s="995"/>
      <c r="I85" s="999"/>
      <c r="J85" s="999">
        <v>390.44600000000003</v>
      </c>
      <c r="K85" s="1001"/>
      <c r="L85" s="1001"/>
      <c r="M85" s="1001"/>
      <c r="N85" s="1001"/>
      <c r="O85" s="1001"/>
      <c r="P85" s="1001"/>
      <c r="Q85" s="1400"/>
      <c r="R85" s="997"/>
    </row>
    <row r="86" spans="1:18" ht="30" customHeight="1">
      <c r="A86" s="992">
        <f>A84+1</f>
        <v>40</v>
      </c>
      <c r="B86" s="995" t="s">
        <v>850</v>
      </c>
      <c r="C86" s="995" t="s">
        <v>76</v>
      </c>
      <c r="D86" s="1002"/>
      <c r="E86" s="995"/>
      <c r="F86" s="995"/>
      <c r="G86" s="995"/>
      <c r="H86" s="995"/>
      <c r="I86" s="999" t="s">
        <v>897</v>
      </c>
      <c r="J86" s="1004"/>
      <c r="K86" s="1001">
        <f>J85</f>
        <v>390.44600000000003</v>
      </c>
      <c r="L86" s="993" t="s">
        <v>2967</v>
      </c>
      <c r="M86" s="1001" t="s">
        <v>1009</v>
      </c>
      <c r="N86" s="1001" t="s">
        <v>1009</v>
      </c>
      <c r="O86" s="1001"/>
      <c r="P86" s="1001"/>
      <c r="Q86" s="1400"/>
      <c r="R86" s="997"/>
    </row>
    <row r="87" spans="1:18" ht="30" customHeight="1">
      <c r="A87" s="992"/>
      <c r="B87" s="995"/>
      <c r="C87" s="995"/>
      <c r="D87" s="1002"/>
      <c r="E87" s="995"/>
      <c r="F87" s="995"/>
      <c r="G87" s="995"/>
      <c r="H87" s="995"/>
      <c r="I87" s="999"/>
      <c r="J87" s="999">
        <v>361.75099999999998</v>
      </c>
      <c r="K87" s="1001"/>
      <c r="L87" s="1001"/>
      <c r="M87" s="1001"/>
      <c r="N87" s="1001"/>
      <c r="O87" s="1001"/>
      <c r="P87" s="1001"/>
      <c r="Q87" s="1400"/>
      <c r="R87" s="1005"/>
    </row>
    <row r="88" spans="1:18" ht="30" customHeight="1">
      <c r="A88" s="992">
        <f>A86+1</f>
        <v>41</v>
      </c>
      <c r="B88" s="995" t="s">
        <v>853</v>
      </c>
      <c r="C88" s="995" t="s">
        <v>76</v>
      </c>
      <c r="D88" s="1002"/>
      <c r="E88" s="995"/>
      <c r="F88" s="995"/>
      <c r="G88" s="995"/>
      <c r="H88" s="995"/>
      <c r="I88" s="999" t="s">
        <v>1767</v>
      </c>
      <c r="J88" s="1000"/>
      <c r="K88" s="1009"/>
      <c r="L88" s="1009" t="s">
        <v>2967</v>
      </c>
      <c r="M88" s="1001" t="s">
        <v>1009</v>
      </c>
      <c r="N88" s="1001" t="s">
        <v>1009</v>
      </c>
      <c r="O88" s="1001"/>
      <c r="P88" s="1001"/>
      <c r="Q88" s="1400"/>
      <c r="R88" s="1005"/>
    </row>
    <row r="89" spans="1:18" ht="30" customHeight="1">
      <c r="A89" s="992"/>
      <c r="B89" s="995"/>
      <c r="C89" s="995"/>
      <c r="D89" s="1002"/>
      <c r="E89" s="995"/>
      <c r="F89" s="995"/>
      <c r="G89" s="995"/>
      <c r="H89" s="995"/>
      <c r="I89" s="999"/>
      <c r="J89" s="999">
        <v>396.03500000000003</v>
      </c>
      <c r="K89" s="1001"/>
      <c r="L89" s="1001"/>
      <c r="M89" s="1001"/>
      <c r="N89" s="1001"/>
      <c r="O89" s="1001"/>
      <c r="P89" s="1001"/>
      <c r="Q89" s="1401"/>
      <c r="R89" s="1005"/>
    </row>
    <row r="90" spans="1:18" ht="30" customHeight="1">
      <c r="A90" s="992">
        <f>A88+1</f>
        <v>42</v>
      </c>
      <c r="B90" s="995" t="s">
        <v>2963</v>
      </c>
      <c r="C90" s="995" t="s">
        <v>1361</v>
      </c>
      <c r="D90" s="994" t="s">
        <v>2964</v>
      </c>
      <c r="E90" s="995"/>
      <c r="F90" s="995"/>
      <c r="G90" s="995"/>
      <c r="H90" s="995"/>
      <c r="I90" s="999" t="s">
        <v>3348</v>
      </c>
      <c r="J90" s="999"/>
      <c r="K90" s="1001"/>
      <c r="L90" s="993" t="s">
        <v>2967</v>
      </c>
      <c r="M90" s="1001" t="s">
        <v>1009</v>
      </c>
      <c r="N90" s="1001" t="s">
        <v>1009</v>
      </c>
      <c r="O90" s="1001"/>
      <c r="P90" s="1001"/>
      <c r="Q90" s="996"/>
      <c r="R90" s="1005"/>
    </row>
    <row r="91" spans="1:18" ht="30" customHeight="1">
      <c r="A91" s="992"/>
      <c r="B91" s="995"/>
      <c r="C91" s="995"/>
      <c r="D91" s="1002"/>
      <c r="E91" s="995"/>
      <c r="F91" s="995"/>
      <c r="G91" s="995"/>
      <c r="H91" s="995"/>
      <c r="I91" s="999"/>
      <c r="J91" s="999">
        <v>435.86200000000002</v>
      </c>
      <c r="K91" s="1001"/>
      <c r="L91" s="1001"/>
      <c r="M91" s="1001"/>
      <c r="N91" s="1001"/>
      <c r="O91" s="1001"/>
      <c r="P91" s="1001"/>
      <c r="Q91" s="1399"/>
      <c r="R91" s="1005"/>
    </row>
    <row r="92" spans="1:18" ht="30" customHeight="1">
      <c r="A92" s="992">
        <f>A90+1</f>
        <v>43</v>
      </c>
      <c r="B92" s="995" t="s">
        <v>538</v>
      </c>
      <c r="C92" s="995" t="s">
        <v>249</v>
      </c>
      <c r="D92" s="1002"/>
      <c r="E92" s="995"/>
      <c r="F92" s="995"/>
      <c r="G92" s="995"/>
      <c r="H92" s="995"/>
      <c r="I92" s="999" t="s">
        <v>3348</v>
      </c>
      <c r="J92" s="999"/>
      <c r="K92" s="1001">
        <f>J91</f>
        <v>435.86200000000002</v>
      </c>
      <c r="L92" s="1001" t="s">
        <v>2967</v>
      </c>
      <c r="M92" s="1001" t="s">
        <v>1009</v>
      </c>
      <c r="N92" s="1001"/>
      <c r="O92" s="1001"/>
      <c r="P92" s="1001"/>
      <c r="Q92" s="1400"/>
      <c r="R92" s="1005"/>
    </row>
    <row r="93" spans="1:18" ht="30" customHeight="1">
      <c r="A93" s="992"/>
      <c r="B93" s="995"/>
      <c r="C93" s="995"/>
      <c r="D93" s="1002"/>
      <c r="E93" s="995"/>
      <c r="F93" s="995"/>
      <c r="G93" s="995"/>
      <c r="H93" s="995"/>
      <c r="I93" s="999"/>
      <c r="J93" s="999">
        <v>333.94499999999999</v>
      </c>
      <c r="K93" s="1001"/>
      <c r="L93" s="1001"/>
      <c r="M93" s="1001"/>
      <c r="N93" s="1001"/>
      <c r="O93" s="1001"/>
      <c r="P93" s="1001"/>
      <c r="Q93" s="1400"/>
      <c r="R93" s="1005"/>
    </row>
    <row r="94" spans="1:18" ht="30" customHeight="1">
      <c r="A94" s="992">
        <f>A92+1</f>
        <v>44</v>
      </c>
      <c r="B94" s="995" t="s">
        <v>529</v>
      </c>
      <c r="C94" s="995" t="s">
        <v>76</v>
      </c>
      <c r="D94" s="1002"/>
      <c r="E94" s="995"/>
      <c r="F94" s="995"/>
      <c r="G94" s="995"/>
      <c r="H94" s="995"/>
      <c r="I94" s="999" t="s">
        <v>3348</v>
      </c>
      <c r="J94" s="999"/>
      <c r="K94" s="1001"/>
      <c r="L94" s="993" t="s">
        <v>2967</v>
      </c>
      <c r="M94" s="1001" t="s">
        <v>1009</v>
      </c>
      <c r="N94" s="1001" t="s">
        <v>1009</v>
      </c>
      <c r="O94" s="1001"/>
      <c r="P94" s="1001"/>
      <c r="Q94" s="1400"/>
      <c r="R94" s="1005"/>
    </row>
    <row r="95" spans="1:18" ht="30" customHeight="1">
      <c r="A95" s="992"/>
      <c r="B95" s="995"/>
      <c r="C95" s="995"/>
      <c r="D95" s="1002"/>
      <c r="E95" s="995"/>
      <c r="F95" s="995"/>
      <c r="G95" s="995"/>
      <c r="H95" s="995"/>
      <c r="I95" s="999"/>
      <c r="J95" s="999">
        <v>502.83600000000001</v>
      </c>
      <c r="K95" s="1001"/>
      <c r="L95" s="1001"/>
      <c r="M95" s="1001"/>
      <c r="N95" s="1001"/>
      <c r="O95" s="1001"/>
      <c r="P95" s="1001"/>
      <c r="Q95" s="1401"/>
      <c r="R95" s="1005"/>
    </row>
    <row r="96" spans="1:18" ht="30" customHeight="1">
      <c r="A96" s="992">
        <f>A94+1</f>
        <v>45</v>
      </c>
      <c r="B96" s="995" t="s">
        <v>2965</v>
      </c>
      <c r="C96" s="995" t="s">
        <v>2221</v>
      </c>
      <c r="D96" s="994" t="s">
        <v>2253</v>
      </c>
      <c r="E96" s="995">
        <v>2</v>
      </c>
      <c r="F96" s="995">
        <v>2</v>
      </c>
      <c r="G96" s="995">
        <v>2</v>
      </c>
      <c r="H96" s="995">
        <v>2</v>
      </c>
      <c r="I96" s="999"/>
      <c r="J96" s="999"/>
      <c r="K96" s="1001"/>
      <c r="L96" s="993"/>
      <c r="M96" s="1001"/>
      <c r="N96" s="1001"/>
      <c r="O96" s="1001"/>
      <c r="P96" s="1001"/>
      <c r="Q96" s="996"/>
      <c r="R96" s="1005"/>
    </row>
    <row r="97" spans="1:18" ht="30" customHeight="1">
      <c r="A97" s="992"/>
      <c r="B97" s="995"/>
      <c r="C97" s="995"/>
      <c r="D97" s="1006"/>
      <c r="E97" s="995"/>
      <c r="F97" s="995"/>
      <c r="G97" s="995"/>
      <c r="H97" s="995"/>
      <c r="I97" s="999"/>
      <c r="J97" s="999">
        <v>326.31099999999998</v>
      </c>
      <c r="K97" s="1001"/>
      <c r="L97" s="1001"/>
      <c r="M97" s="1001"/>
      <c r="N97" s="1001"/>
      <c r="O97" s="1001"/>
      <c r="P97" s="1001"/>
      <c r="Q97" s="996"/>
      <c r="R97" s="1005"/>
    </row>
    <row r="98" spans="1:18" ht="30" customHeight="1">
      <c r="A98" s="992">
        <f>A96+1</f>
        <v>46</v>
      </c>
      <c r="B98" s="995" t="s">
        <v>2966</v>
      </c>
      <c r="C98" s="995" t="s">
        <v>1957</v>
      </c>
      <c r="D98" s="994" t="s">
        <v>2255</v>
      </c>
      <c r="E98" s="995"/>
      <c r="F98" s="995"/>
      <c r="G98" s="995"/>
      <c r="H98" s="995"/>
      <c r="I98" s="999" t="s">
        <v>3348</v>
      </c>
      <c r="J98" s="999"/>
      <c r="K98" s="1001"/>
      <c r="L98" s="993" t="s">
        <v>2967</v>
      </c>
      <c r="M98" s="1001" t="s">
        <v>22</v>
      </c>
      <c r="N98" s="1001"/>
      <c r="O98" s="1001"/>
      <c r="P98" s="1001"/>
      <c r="Q98" s="996"/>
      <c r="R98" s="1005"/>
    </row>
    <row r="99" spans="1:18" ht="30" customHeight="1">
      <c r="A99" s="992"/>
      <c r="B99" s="995"/>
      <c r="C99" s="995"/>
      <c r="D99" s="1002"/>
      <c r="E99" s="995"/>
      <c r="F99" s="995"/>
      <c r="G99" s="995"/>
      <c r="H99" s="995"/>
      <c r="I99" s="999"/>
      <c r="J99" s="999">
        <v>415.29</v>
      </c>
      <c r="K99" s="1001"/>
      <c r="L99" s="1001"/>
      <c r="M99" s="1001"/>
      <c r="N99" s="1001"/>
      <c r="O99" s="1001"/>
      <c r="P99" s="1001"/>
      <c r="Q99" s="1399"/>
      <c r="R99" s="1005"/>
    </row>
    <row r="100" spans="1:18" ht="30" customHeight="1">
      <c r="A100" s="992">
        <f>A98+1</f>
        <v>47</v>
      </c>
      <c r="B100" s="995" t="s">
        <v>497</v>
      </c>
      <c r="C100" s="995" t="s">
        <v>62</v>
      </c>
      <c r="D100" s="1002"/>
      <c r="E100" s="995"/>
      <c r="F100" s="995"/>
      <c r="G100" s="995"/>
      <c r="H100" s="995"/>
      <c r="I100" s="999"/>
      <c r="J100" s="999"/>
      <c r="K100" s="1001"/>
      <c r="L100" s="993" t="s">
        <v>2967</v>
      </c>
      <c r="M100" s="1001"/>
      <c r="N100" s="1001"/>
      <c r="O100" s="1001"/>
      <c r="P100" s="1001"/>
      <c r="Q100" s="1400"/>
      <c r="R100" s="1005"/>
    </row>
    <row r="101" spans="1:18" ht="30" customHeight="1">
      <c r="A101" s="992"/>
      <c r="B101" s="995"/>
      <c r="C101" s="995"/>
      <c r="D101" s="1002"/>
      <c r="E101" s="995"/>
      <c r="F101" s="995"/>
      <c r="G101" s="995"/>
      <c r="H101" s="995"/>
      <c r="I101" s="999"/>
      <c r="J101" s="999">
        <v>422.42200000000003</v>
      </c>
      <c r="K101" s="1001"/>
      <c r="L101" s="1001"/>
      <c r="M101" s="1001"/>
      <c r="N101" s="1001"/>
      <c r="O101" s="1001"/>
      <c r="P101" s="1001"/>
      <c r="Q101" s="1400"/>
      <c r="R101" s="1005"/>
    </row>
    <row r="102" spans="1:18" ht="30" customHeight="1">
      <c r="A102" s="992">
        <f>A100+1</f>
        <v>48</v>
      </c>
      <c r="B102" s="995" t="s">
        <v>495</v>
      </c>
      <c r="C102" s="1027" t="s">
        <v>249</v>
      </c>
      <c r="D102" s="1002"/>
      <c r="E102" s="995"/>
      <c r="F102" s="995"/>
      <c r="G102" s="995"/>
      <c r="H102" s="995"/>
      <c r="I102" s="999" t="s">
        <v>1767</v>
      </c>
      <c r="J102" s="999"/>
      <c r="K102" s="1001"/>
      <c r="L102" s="993" t="s">
        <v>2967</v>
      </c>
      <c r="M102" s="1001" t="s">
        <v>1009</v>
      </c>
      <c r="N102" s="1001" t="s">
        <v>1009</v>
      </c>
      <c r="O102" s="1001" t="s">
        <v>22</v>
      </c>
      <c r="P102" s="1001"/>
      <c r="Q102" s="1400"/>
      <c r="R102" s="1005"/>
    </row>
    <row r="103" spans="1:18" ht="30" customHeight="1">
      <c r="A103" s="992"/>
      <c r="B103" s="995"/>
      <c r="C103" s="995"/>
      <c r="D103" s="1002"/>
      <c r="E103" s="995"/>
      <c r="F103" s="995"/>
      <c r="G103" s="995"/>
      <c r="H103" s="995"/>
      <c r="I103" s="999"/>
      <c r="J103" s="999">
        <v>418.37299999999999</v>
      </c>
      <c r="K103" s="1001"/>
      <c r="L103" s="1001"/>
      <c r="M103" s="1001"/>
      <c r="N103" s="1001"/>
      <c r="O103" s="1001"/>
      <c r="P103" s="1001"/>
      <c r="Q103" s="1400"/>
      <c r="R103" s="1005"/>
    </row>
    <row r="104" spans="1:18" ht="30" customHeight="1">
      <c r="A104" s="992">
        <f>A102+1</f>
        <v>49</v>
      </c>
      <c r="B104" s="995" t="s">
        <v>490</v>
      </c>
      <c r="C104" s="995" t="s">
        <v>53</v>
      </c>
      <c r="D104" s="1002"/>
      <c r="E104" s="995"/>
      <c r="F104" s="995"/>
      <c r="G104" s="995"/>
      <c r="H104" s="995"/>
      <c r="I104" s="999" t="s">
        <v>1767</v>
      </c>
      <c r="J104" s="999"/>
      <c r="K104" s="1001"/>
      <c r="L104" s="993" t="s">
        <v>2967</v>
      </c>
      <c r="M104" s="1001" t="s">
        <v>1009</v>
      </c>
      <c r="N104" s="1001"/>
      <c r="O104" s="1001"/>
      <c r="P104" s="1001"/>
      <c r="Q104" s="1400"/>
      <c r="R104" s="1005"/>
    </row>
    <row r="105" spans="1:18" ht="30" customHeight="1">
      <c r="A105" s="992"/>
      <c r="B105" s="995"/>
      <c r="C105" s="995"/>
      <c r="D105" s="1002"/>
      <c r="E105" s="995"/>
      <c r="F105" s="995"/>
      <c r="G105" s="995"/>
      <c r="H105" s="995"/>
      <c r="I105" s="999"/>
      <c r="J105" s="999">
        <v>410.137</v>
      </c>
      <c r="K105" s="1001"/>
      <c r="L105" s="1001"/>
      <c r="M105" s="1001"/>
      <c r="N105" s="1001"/>
      <c r="O105" s="1001"/>
      <c r="P105" s="1001"/>
      <c r="Q105" s="1401"/>
      <c r="R105" s="1005"/>
    </row>
    <row r="106" spans="1:18" ht="30" customHeight="1">
      <c r="A106" s="992">
        <f>A104+1</f>
        <v>50</v>
      </c>
      <c r="B106" s="995" t="s">
        <v>2968</v>
      </c>
      <c r="C106" s="995" t="s">
        <v>90</v>
      </c>
      <c r="D106" s="994" t="s">
        <v>2969</v>
      </c>
      <c r="E106" s="995"/>
      <c r="F106" s="995"/>
      <c r="G106" s="995"/>
      <c r="H106" s="995"/>
      <c r="I106" s="999" t="s">
        <v>1767</v>
      </c>
      <c r="J106" s="1000"/>
      <c r="K106" s="1001">
        <f>J93+J95+J97+J99+J101+J103+J105</f>
        <v>2829.3139999999999</v>
      </c>
      <c r="L106" s="993" t="s">
        <v>2967</v>
      </c>
      <c r="M106" s="1001" t="s">
        <v>1009</v>
      </c>
      <c r="N106" s="1001" t="s">
        <v>1009</v>
      </c>
      <c r="O106" s="1001"/>
      <c r="P106" s="1001"/>
      <c r="Q106" s="996"/>
      <c r="R106" s="1005"/>
    </row>
    <row r="107" spans="1:18" ht="30" customHeight="1">
      <c r="A107" s="992"/>
      <c r="B107" s="995"/>
      <c r="C107" s="995"/>
      <c r="D107" s="1002"/>
      <c r="E107" s="995"/>
      <c r="F107" s="995"/>
      <c r="G107" s="995"/>
      <c r="H107" s="995"/>
      <c r="I107" s="999"/>
      <c r="J107" s="1000">
        <v>422.214</v>
      </c>
      <c r="K107" s="993"/>
      <c r="L107" s="993"/>
      <c r="M107" s="993"/>
      <c r="N107" s="993"/>
      <c r="O107" s="993"/>
      <c r="P107" s="993"/>
      <c r="Q107" s="1399"/>
      <c r="R107" s="997"/>
    </row>
    <row r="108" spans="1:18" ht="30" customHeight="1">
      <c r="A108" s="992">
        <f>A106+1</f>
        <v>51</v>
      </c>
      <c r="B108" s="995" t="s">
        <v>458</v>
      </c>
      <c r="C108" s="995" t="s">
        <v>62</v>
      </c>
      <c r="D108" s="1002"/>
      <c r="E108" s="995"/>
      <c r="F108" s="995"/>
      <c r="G108" s="995"/>
      <c r="H108" s="995"/>
      <c r="I108" s="999" t="s">
        <v>1767</v>
      </c>
      <c r="J108" s="1000"/>
      <c r="K108" s="993"/>
      <c r="L108" s="995" t="s">
        <v>2967</v>
      </c>
      <c r="M108" s="993" t="s">
        <v>1009</v>
      </c>
      <c r="N108" s="993" t="s">
        <v>1009</v>
      </c>
      <c r="O108" s="993"/>
      <c r="P108" s="993"/>
      <c r="Q108" s="1400"/>
      <c r="R108" s="997"/>
    </row>
    <row r="109" spans="1:18" ht="30" customHeight="1">
      <c r="A109" s="992"/>
      <c r="B109" s="995"/>
      <c r="C109" s="995"/>
      <c r="D109" s="1002"/>
      <c r="E109" s="995"/>
      <c r="F109" s="995"/>
      <c r="G109" s="995"/>
      <c r="H109" s="995"/>
      <c r="I109" s="999"/>
      <c r="J109" s="1000">
        <v>387.35700000000003</v>
      </c>
      <c r="K109" s="993"/>
      <c r="L109" s="993"/>
      <c r="M109" s="993"/>
      <c r="N109" s="993"/>
      <c r="O109" s="993"/>
      <c r="P109" s="993"/>
      <c r="Q109" s="1400"/>
      <c r="R109" s="997"/>
    </row>
    <row r="110" spans="1:18" ht="30" customHeight="1">
      <c r="A110" s="992">
        <f>A108+1</f>
        <v>52</v>
      </c>
      <c r="B110" s="995" t="s">
        <v>402</v>
      </c>
      <c r="C110" s="995" t="s">
        <v>53</v>
      </c>
      <c r="D110" s="998"/>
      <c r="E110" s="995"/>
      <c r="F110" s="995"/>
      <c r="G110" s="995"/>
      <c r="H110" s="995"/>
      <c r="I110" s="999" t="s">
        <v>1767</v>
      </c>
      <c r="J110" s="1000"/>
      <c r="K110" s="993"/>
      <c r="L110" s="993" t="s">
        <v>2967</v>
      </c>
      <c r="M110" s="993" t="s">
        <v>1009</v>
      </c>
      <c r="N110" s="993"/>
      <c r="O110" s="993"/>
      <c r="P110" s="993"/>
      <c r="Q110" s="1400"/>
      <c r="R110" s="997"/>
    </row>
    <row r="111" spans="1:18" ht="30" customHeight="1">
      <c r="A111" s="992"/>
      <c r="B111" s="995"/>
      <c r="C111" s="995"/>
      <c r="D111" s="1002"/>
      <c r="E111" s="995"/>
      <c r="F111" s="995"/>
      <c r="G111" s="995"/>
      <c r="H111" s="995"/>
      <c r="I111" s="999"/>
      <c r="J111" s="1000">
        <v>406.68799999999999</v>
      </c>
      <c r="K111" s="993"/>
      <c r="L111" s="993"/>
      <c r="M111" s="993"/>
      <c r="N111" s="993"/>
      <c r="O111" s="993"/>
      <c r="P111" s="993"/>
      <c r="Q111" s="1401"/>
      <c r="R111" s="997"/>
    </row>
    <row r="112" spans="1:18" ht="30" customHeight="1">
      <c r="A112" s="992">
        <f>A110+1</f>
        <v>53</v>
      </c>
      <c r="B112" s="995" t="s">
        <v>2970</v>
      </c>
      <c r="C112" s="995" t="s">
        <v>1269</v>
      </c>
      <c r="D112" s="994" t="s">
        <v>2971</v>
      </c>
      <c r="E112" s="995"/>
      <c r="F112" s="995"/>
      <c r="G112" s="995"/>
      <c r="H112" s="995"/>
      <c r="I112" s="999" t="s">
        <v>1767</v>
      </c>
      <c r="J112" s="1000"/>
      <c r="K112" s="993"/>
      <c r="L112" s="993" t="s">
        <v>2967</v>
      </c>
      <c r="M112" s="993" t="s">
        <v>1009</v>
      </c>
      <c r="N112" s="993" t="s">
        <v>1009</v>
      </c>
      <c r="O112" s="993"/>
      <c r="P112" s="993"/>
      <c r="Q112" s="996"/>
      <c r="R112" s="997"/>
    </row>
    <row r="113" spans="1:18" ht="30" customHeight="1">
      <c r="A113" s="992"/>
      <c r="B113" s="995"/>
      <c r="C113" s="995"/>
      <c r="D113" s="1002"/>
      <c r="E113" s="995"/>
      <c r="F113" s="995"/>
      <c r="G113" s="995"/>
      <c r="H113" s="995"/>
      <c r="I113" s="999"/>
      <c r="J113" s="1000">
        <v>316.25299999999999</v>
      </c>
      <c r="K113" s="993"/>
      <c r="L113" s="993"/>
      <c r="M113" s="993"/>
      <c r="N113" s="993"/>
      <c r="O113" s="993"/>
      <c r="P113" s="993"/>
      <c r="Q113" s="996"/>
      <c r="R113" s="997"/>
    </row>
    <row r="114" spans="1:18" ht="30" customHeight="1">
      <c r="A114" s="992">
        <f>A112+1</f>
        <v>54</v>
      </c>
      <c r="B114" s="995" t="s">
        <v>2972</v>
      </c>
      <c r="C114" s="995" t="s">
        <v>1981</v>
      </c>
      <c r="D114" s="994" t="s">
        <v>2266</v>
      </c>
      <c r="E114" s="995"/>
      <c r="F114" s="995"/>
      <c r="G114" s="995"/>
      <c r="H114" s="995"/>
      <c r="I114" s="999" t="s">
        <v>897</v>
      </c>
      <c r="J114" s="1000"/>
      <c r="K114" s="993"/>
      <c r="L114" s="993" t="s">
        <v>2967</v>
      </c>
      <c r="M114" s="993" t="s">
        <v>1009</v>
      </c>
      <c r="N114" s="993" t="s">
        <v>1009</v>
      </c>
      <c r="O114" s="993"/>
      <c r="P114" s="993"/>
      <c r="Q114" s="996"/>
      <c r="R114" s="997"/>
    </row>
    <row r="115" spans="1:18" ht="59" customHeight="1">
      <c r="A115" s="992"/>
      <c r="B115" s="995"/>
      <c r="C115" s="995"/>
      <c r="D115" s="1006"/>
      <c r="E115" s="995"/>
      <c r="F115" s="995"/>
      <c r="G115" s="995"/>
      <c r="H115" s="995"/>
      <c r="I115" s="999"/>
      <c r="J115" s="1000">
        <v>248.423</v>
      </c>
      <c r="K115" s="993"/>
      <c r="L115" s="993"/>
      <c r="M115" s="993"/>
      <c r="N115" s="993"/>
      <c r="O115" s="993"/>
      <c r="P115" s="993"/>
      <c r="Q115" s="996"/>
      <c r="R115" s="1007" t="s">
        <v>2973</v>
      </c>
    </row>
    <row r="116" spans="1:18" ht="30" customHeight="1">
      <c r="A116" s="992">
        <f>A114+1</f>
        <v>55</v>
      </c>
      <c r="B116" s="995" t="s">
        <v>2974</v>
      </c>
      <c r="C116" s="995" t="s">
        <v>1957</v>
      </c>
      <c r="D116" s="994" t="s">
        <v>2267</v>
      </c>
      <c r="E116" s="995"/>
      <c r="F116" s="995"/>
      <c r="G116" s="995"/>
      <c r="H116" s="995"/>
      <c r="I116" s="999"/>
      <c r="J116" s="1000"/>
      <c r="K116" s="993"/>
      <c r="L116" s="993"/>
      <c r="M116" s="993"/>
      <c r="N116" s="993"/>
      <c r="O116" s="993"/>
      <c r="P116" s="993"/>
      <c r="Q116" s="996"/>
      <c r="R116" s="997"/>
    </row>
    <row r="117" spans="1:18" ht="30" customHeight="1">
      <c r="A117" s="992"/>
      <c r="B117" s="995"/>
      <c r="C117" s="995"/>
      <c r="D117" s="998"/>
      <c r="E117" s="995"/>
      <c r="F117" s="995"/>
      <c r="G117" s="995"/>
      <c r="H117" s="995"/>
      <c r="I117" s="999"/>
      <c r="J117" s="1000">
        <v>427.32799999999997</v>
      </c>
      <c r="K117" s="993"/>
      <c r="L117" s="993"/>
      <c r="M117" s="993"/>
      <c r="N117" s="993"/>
      <c r="O117" s="993"/>
      <c r="P117" s="993"/>
      <c r="Q117" s="1399"/>
      <c r="R117" s="997"/>
    </row>
    <row r="118" spans="1:18" ht="30" customHeight="1">
      <c r="A118" s="992">
        <f>A116+1</f>
        <v>56</v>
      </c>
      <c r="B118" s="995" t="s">
        <v>2225</v>
      </c>
      <c r="C118" s="995" t="s">
        <v>76</v>
      </c>
      <c r="D118" s="998"/>
      <c r="E118" s="995"/>
      <c r="F118" s="995"/>
      <c r="G118" s="995"/>
      <c r="H118" s="995"/>
      <c r="I118" s="999" t="s">
        <v>1767</v>
      </c>
      <c r="J118" s="1000"/>
      <c r="K118" s="993">
        <f>J107+J109+J111+J113+J115+J117</f>
        <v>2208.2629999999999</v>
      </c>
      <c r="L118" s="993" t="s">
        <v>2967</v>
      </c>
      <c r="M118" s="993" t="s">
        <v>1009</v>
      </c>
      <c r="N118" s="993" t="s">
        <v>1009</v>
      </c>
      <c r="O118" s="993" t="s">
        <v>1009</v>
      </c>
      <c r="P118" s="993"/>
      <c r="Q118" s="1400"/>
      <c r="R118" s="997"/>
    </row>
    <row r="119" spans="1:18" ht="30" customHeight="1">
      <c r="A119" s="992"/>
      <c r="B119" s="995"/>
      <c r="C119" s="995"/>
      <c r="D119" s="1002"/>
      <c r="E119" s="995"/>
      <c r="F119" s="995"/>
      <c r="G119" s="995"/>
      <c r="H119" s="995"/>
      <c r="I119" s="999"/>
      <c r="J119" s="1000">
        <v>413.23399999999998</v>
      </c>
      <c r="K119" s="993"/>
      <c r="L119" s="993"/>
      <c r="M119" s="993"/>
      <c r="N119" s="993"/>
      <c r="O119" s="993"/>
      <c r="P119" s="993"/>
      <c r="Q119" s="1400"/>
      <c r="R119" s="997"/>
    </row>
    <row r="120" spans="1:18" ht="30" customHeight="1">
      <c r="A120" s="992">
        <f>A118+1</f>
        <v>57</v>
      </c>
      <c r="B120" s="995" t="s">
        <v>2226</v>
      </c>
      <c r="C120" s="995" t="s">
        <v>62</v>
      </c>
      <c r="D120" s="1002"/>
      <c r="E120" s="995"/>
      <c r="F120" s="995"/>
      <c r="G120" s="995"/>
      <c r="H120" s="995"/>
      <c r="I120" s="999" t="s">
        <v>1767</v>
      </c>
      <c r="J120" s="1000"/>
      <c r="K120" s="993"/>
      <c r="L120" s="993" t="s">
        <v>2967</v>
      </c>
      <c r="M120" s="993" t="s">
        <v>1009</v>
      </c>
      <c r="N120" s="993" t="s">
        <v>1009</v>
      </c>
      <c r="O120" s="993" t="s">
        <v>1009</v>
      </c>
      <c r="P120" s="993"/>
      <c r="Q120" s="1400"/>
      <c r="R120" s="997"/>
    </row>
    <row r="121" spans="1:18" ht="30" customHeight="1">
      <c r="A121" s="992"/>
      <c r="B121" s="995"/>
      <c r="C121" s="995"/>
      <c r="D121" s="1002"/>
      <c r="E121" s="995"/>
      <c r="F121" s="995"/>
      <c r="G121" s="995"/>
      <c r="H121" s="995"/>
      <c r="I121" s="999"/>
      <c r="J121" s="1000">
        <v>414.71899999999999</v>
      </c>
      <c r="K121" s="993"/>
      <c r="L121" s="993"/>
      <c r="M121" s="993"/>
      <c r="N121" s="993"/>
      <c r="O121" s="993"/>
      <c r="P121" s="993"/>
      <c r="Q121" s="1400"/>
      <c r="R121" s="997"/>
    </row>
    <row r="122" spans="1:18" ht="30" customHeight="1">
      <c r="A122" s="992">
        <f>A120+1</f>
        <v>58</v>
      </c>
      <c r="B122" s="995" t="s">
        <v>2227</v>
      </c>
      <c r="C122" s="995" t="s">
        <v>62</v>
      </c>
      <c r="D122" s="1002"/>
      <c r="E122" s="995"/>
      <c r="F122" s="995"/>
      <c r="G122" s="995"/>
      <c r="H122" s="995"/>
      <c r="I122" s="999" t="s">
        <v>1767</v>
      </c>
      <c r="J122" s="1000"/>
      <c r="K122" s="993"/>
      <c r="L122" s="993" t="s">
        <v>2967</v>
      </c>
      <c r="M122" s="993" t="s">
        <v>1009</v>
      </c>
      <c r="N122" s="993" t="s">
        <v>1009</v>
      </c>
      <c r="O122" s="993"/>
      <c r="P122" s="993"/>
      <c r="Q122" s="1400"/>
      <c r="R122" s="997"/>
    </row>
    <row r="123" spans="1:18" ht="30" customHeight="1">
      <c r="A123" s="992"/>
      <c r="B123" s="995"/>
      <c r="C123" s="995"/>
      <c r="D123" s="1002"/>
      <c r="E123" s="995"/>
      <c r="F123" s="995"/>
      <c r="G123" s="995"/>
      <c r="H123" s="995"/>
      <c r="I123" s="999"/>
      <c r="J123" s="1000">
        <v>426.17200000000003</v>
      </c>
      <c r="K123" s="993"/>
      <c r="L123" s="993"/>
      <c r="M123" s="993"/>
      <c r="N123" s="993"/>
      <c r="O123" s="993"/>
      <c r="P123" s="993"/>
      <c r="Q123" s="1401"/>
      <c r="R123" s="997"/>
    </row>
    <row r="124" spans="1:18" ht="30" customHeight="1">
      <c r="A124" s="1041">
        <f>A122+1</f>
        <v>59</v>
      </c>
      <c r="B124" s="995" t="s">
        <v>2975</v>
      </c>
      <c r="C124" s="995" t="s">
        <v>90</v>
      </c>
      <c r="D124" s="1029" t="s">
        <v>2270</v>
      </c>
      <c r="E124" s="995"/>
      <c r="F124" s="995"/>
      <c r="G124" s="995"/>
      <c r="H124" s="995"/>
      <c r="I124" s="999" t="s">
        <v>1767</v>
      </c>
      <c r="J124" s="999"/>
      <c r="K124" s="993"/>
      <c r="L124" s="995" t="s">
        <v>2967</v>
      </c>
      <c r="M124" s="995" t="s">
        <v>1009</v>
      </c>
      <c r="N124" s="995" t="s">
        <v>1009</v>
      </c>
      <c r="O124" s="995"/>
      <c r="P124" s="995"/>
      <c r="Q124" s="1044"/>
      <c r="R124" s="1065"/>
    </row>
    <row r="125" spans="1:18" ht="30" customHeight="1">
      <c r="A125" s="992"/>
      <c r="B125" s="995"/>
      <c r="C125" s="995"/>
      <c r="D125" s="1006"/>
      <c r="E125" s="995"/>
      <c r="F125" s="995"/>
      <c r="G125" s="995"/>
      <c r="H125" s="995"/>
      <c r="I125" s="999"/>
      <c r="J125" s="1000">
        <v>404.81</v>
      </c>
      <c r="K125" s="993"/>
      <c r="L125" s="993"/>
      <c r="M125" s="993"/>
      <c r="N125" s="993"/>
      <c r="O125" s="993"/>
      <c r="P125" s="993"/>
      <c r="Q125" s="1399"/>
      <c r="R125" s="997"/>
    </row>
    <row r="126" spans="1:18" ht="30" customHeight="1">
      <c r="A126" s="992">
        <f>A124+1</f>
        <v>60</v>
      </c>
      <c r="B126" s="995" t="s">
        <v>2230</v>
      </c>
      <c r="C126" s="995" t="s">
        <v>62</v>
      </c>
      <c r="D126" s="1006"/>
      <c r="E126" s="995"/>
      <c r="F126" s="995"/>
      <c r="G126" s="995"/>
      <c r="H126" s="995"/>
      <c r="I126" s="999" t="s">
        <v>1767</v>
      </c>
      <c r="J126" s="1000"/>
      <c r="K126" s="993"/>
      <c r="L126" s="993" t="s">
        <v>2967</v>
      </c>
      <c r="M126" s="993" t="s">
        <v>1009</v>
      </c>
      <c r="N126" s="993" t="s">
        <v>1009</v>
      </c>
      <c r="O126" s="993"/>
      <c r="P126" s="993"/>
      <c r="Q126" s="1400"/>
      <c r="R126" s="997"/>
    </row>
    <row r="127" spans="1:18" ht="30" customHeight="1">
      <c r="A127" s="992"/>
      <c r="B127" s="995"/>
      <c r="C127" s="995"/>
      <c r="D127" s="1006"/>
      <c r="E127" s="995"/>
      <c r="F127" s="995"/>
      <c r="G127" s="995"/>
      <c r="H127" s="995"/>
      <c r="I127" s="999"/>
      <c r="J127" s="1000">
        <v>392.738</v>
      </c>
      <c r="K127" s="993"/>
      <c r="L127" s="993"/>
      <c r="M127" s="993"/>
      <c r="N127" s="993"/>
      <c r="O127" s="993"/>
      <c r="P127" s="993"/>
      <c r="Q127" s="1400"/>
      <c r="R127" s="997"/>
    </row>
    <row r="128" spans="1:18" ht="30" customHeight="1">
      <c r="A128" s="992">
        <f>A126+1</f>
        <v>61</v>
      </c>
      <c r="B128" s="995" t="s">
        <v>2231</v>
      </c>
      <c r="C128" s="995" t="s">
        <v>1269</v>
      </c>
      <c r="D128" s="1006"/>
      <c r="E128" s="995"/>
      <c r="F128" s="995"/>
      <c r="G128" s="995"/>
      <c r="H128" s="995"/>
      <c r="I128" s="999" t="s">
        <v>1767</v>
      </c>
      <c r="J128" s="1000"/>
      <c r="K128" s="993"/>
      <c r="L128" s="993" t="s">
        <v>2967</v>
      </c>
      <c r="M128" s="993" t="s">
        <v>1009</v>
      </c>
      <c r="N128" s="993" t="s">
        <v>1009</v>
      </c>
      <c r="O128" s="993"/>
      <c r="P128" s="993"/>
      <c r="Q128" s="1400"/>
      <c r="R128" s="997"/>
    </row>
    <row r="129" spans="1:18" ht="30" customHeight="1">
      <c r="A129" s="992"/>
      <c r="B129" s="995"/>
      <c r="C129" s="995"/>
      <c r="D129" s="1006"/>
      <c r="E129" s="995"/>
      <c r="F129" s="995"/>
      <c r="G129" s="995"/>
      <c r="H129" s="995"/>
      <c r="I129" s="999"/>
      <c r="J129" s="1000">
        <v>391.93900000000002</v>
      </c>
      <c r="K129" s="993"/>
      <c r="L129" s="993"/>
      <c r="M129" s="993"/>
      <c r="N129" s="993"/>
      <c r="O129" s="993"/>
      <c r="P129" s="993"/>
      <c r="Q129" s="1400"/>
      <c r="R129" s="997"/>
    </row>
    <row r="130" spans="1:18" ht="30" customHeight="1">
      <c r="A130" s="992">
        <f>A128+1</f>
        <v>62</v>
      </c>
      <c r="B130" s="995" t="s">
        <v>2232</v>
      </c>
      <c r="C130" s="995" t="s">
        <v>76</v>
      </c>
      <c r="D130" s="1006"/>
      <c r="E130" s="995"/>
      <c r="F130" s="995"/>
      <c r="G130" s="995"/>
      <c r="H130" s="995"/>
      <c r="I130" s="999"/>
      <c r="J130" s="1000"/>
      <c r="K130" s="993">
        <f>J119+J121+J123+J125+J127+J129</f>
        <v>2443.6119999999996</v>
      </c>
      <c r="L130" s="993"/>
      <c r="M130" s="993"/>
      <c r="N130" s="993"/>
      <c r="O130" s="993"/>
      <c r="P130" s="993"/>
      <c r="Q130" s="1400"/>
      <c r="R130" s="997"/>
    </row>
    <row r="131" spans="1:18" ht="30" customHeight="1">
      <c r="A131" s="992"/>
      <c r="B131" s="995"/>
      <c r="C131" s="995"/>
      <c r="D131" s="1006"/>
      <c r="E131" s="995"/>
      <c r="F131" s="995"/>
      <c r="G131" s="995"/>
      <c r="H131" s="995"/>
      <c r="I131" s="999"/>
      <c r="J131" s="1000">
        <v>440.91</v>
      </c>
      <c r="K131" s="993"/>
      <c r="L131" s="993"/>
      <c r="M131" s="993"/>
      <c r="N131" s="993"/>
      <c r="O131" s="993"/>
      <c r="P131" s="993"/>
      <c r="Q131" s="1401"/>
      <c r="R131" s="997"/>
    </row>
    <row r="132" spans="1:18" ht="30" customHeight="1">
      <c r="A132" s="992">
        <f>A130+1</f>
        <v>63</v>
      </c>
      <c r="B132" s="995" t="s">
        <v>2976</v>
      </c>
      <c r="C132" s="995" t="s">
        <v>1981</v>
      </c>
      <c r="D132" s="1029" t="s">
        <v>2977</v>
      </c>
      <c r="E132" s="995">
        <v>2</v>
      </c>
      <c r="F132" s="995">
        <v>2</v>
      </c>
      <c r="G132" s="995">
        <v>2</v>
      </c>
      <c r="H132" s="995">
        <v>2</v>
      </c>
      <c r="I132" s="999"/>
      <c r="J132" s="1000"/>
      <c r="K132" s="993"/>
      <c r="L132" s="993"/>
      <c r="M132" s="993"/>
      <c r="N132" s="993"/>
      <c r="O132" s="993"/>
      <c r="P132" s="993"/>
      <c r="Q132" s="996"/>
      <c r="R132" s="997"/>
    </row>
    <row r="133" spans="1:18" ht="30" customHeight="1">
      <c r="A133" s="992"/>
      <c r="B133" s="995"/>
      <c r="C133" s="995"/>
      <c r="D133" s="1006"/>
      <c r="E133" s="995"/>
      <c r="F133" s="995"/>
      <c r="G133" s="995"/>
      <c r="H133" s="995"/>
      <c r="I133" s="999"/>
      <c r="J133" s="1000">
        <v>310.90499999999997</v>
      </c>
      <c r="K133" s="993"/>
      <c r="L133" s="993"/>
      <c r="M133" s="993"/>
      <c r="N133" s="993"/>
      <c r="O133" s="993"/>
      <c r="P133" s="993"/>
      <c r="Q133" s="996"/>
      <c r="R133" s="1003" t="s">
        <v>3147</v>
      </c>
    </row>
    <row r="134" spans="1:18" ht="30" customHeight="1">
      <c r="A134" s="992">
        <f>A132+1</f>
        <v>64</v>
      </c>
      <c r="B134" s="995" t="s">
        <v>2978</v>
      </c>
      <c r="C134" s="1008" t="s">
        <v>2236</v>
      </c>
      <c r="D134" s="994" t="s">
        <v>2979</v>
      </c>
      <c r="E134" s="995"/>
      <c r="F134" s="995"/>
      <c r="G134" s="995"/>
      <c r="H134" s="995"/>
      <c r="I134" s="999" t="s">
        <v>1767</v>
      </c>
      <c r="J134" s="1000"/>
      <c r="K134" s="993">
        <f>J131+J133</f>
        <v>751.81500000000005</v>
      </c>
      <c r="L134" s="993" t="s">
        <v>2967</v>
      </c>
      <c r="M134" s="993" t="s">
        <v>1009</v>
      </c>
      <c r="N134" s="993"/>
      <c r="O134" s="993"/>
      <c r="P134" s="993"/>
      <c r="Q134" s="996"/>
      <c r="R134" s="997"/>
    </row>
    <row r="135" spans="1:18" ht="42.5" customHeight="1">
      <c r="A135" s="992"/>
      <c r="B135" s="995"/>
      <c r="C135" s="995"/>
      <c r="D135" s="1006"/>
      <c r="E135" s="995"/>
      <c r="F135" s="995"/>
      <c r="G135" s="995"/>
      <c r="H135" s="995"/>
      <c r="I135" s="999"/>
      <c r="J135" s="1000">
        <v>240.52699999999999</v>
      </c>
      <c r="K135" s="993"/>
      <c r="L135" s="993"/>
      <c r="M135" s="993"/>
      <c r="N135" s="993"/>
      <c r="O135" s="993"/>
      <c r="P135" s="993"/>
      <c r="Q135" s="996"/>
      <c r="R135" s="1007" t="s">
        <v>2980</v>
      </c>
    </row>
    <row r="136" spans="1:18" ht="30" customHeight="1">
      <c r="A136" s="992">
        <f>A134+1</f>
        <v>65</v>
      </c>
      <c r="B136" s="995" t="s">
        <v>2981</v>
      </c>
      <c r="C136" s="995" t="s">
        <v>1319</v>
      </c>
      <c r="D136" s="994" t="s">
        <v>2982</v>
      </c>
      <c r="E136" s="995"/>
      <c r="F136" s="995"/>
      <c r="G136" s="995"/>
      <c r="H136" s="995"/>
      <c r="I136" s="999" t="s">
        <v>2768</v>
      </c>
      <c r="J136" s="1000"/>
      <c r="K136" s="993"/>
      <c r="L136" s="993" t="s">
        <v>2967</v>
      </c>
      <c r="M136" s="993" t="s">
        <v>1009</v>
      </c>
      <c r="N136" s="993" t="s">
        <v>1009</v>
      </c>
      <c r="O136" s="993"/>
      <c r="P136" s="993"/>
      <c r="Q136" s="996"/>
      <c r="R136" s="997"/>
    </row>
    <row r="137" spans="1:18" ht="30" customHeight="1">
      <c r="A137" s="992"/>
      <c r="B137" s="995"/>
      <c r="C137" s="995"/>
      <c r="D137" s="1002"/>
      <c r="E137" s="995"/>
      <c r="F137" s="995"/>
      <c r="G137" s="995"/>
      <c r="H137" s="995"/>
      <c r="I137" s="999"/>
      <c r="J137" s="1000">
        <v>389</v>
      </c>
      <c r="K137" s="993"/>
      <c r="L137" s="993"/>
      <c r="M137" s="993"/>
      <c r="N137" s="993"/>
      <c r="O137" s="993"/>
      <c r="P137" s="993"/>
      <c r="Q137" s="1399"/>
      <c r="R137" s="997"/>
    </row>
    <row r="138" spans="1:18" ht="30" customHeight="1">
      <c r="A138" s="992">
        <f>A136+1</f>
        <v>66</v>
      </c>
      <c r="B138" s="995" t="s">
        <v>2240</v>
      </c>
      <c r="C138" s="995" t="s">
        <v>90</v>
      </c>
      <c r="D138" s="1002"/>
      <c r="E138" s="995"/>
      <c r="F138" s="995"/>
      <c r="G138" s="995"/>
      <c r="H138" s="995"/>
      <c r="I138" s="999" t="s">
        <v>1767</v>
      </c>
      <c r="J138" s="1000"/>
      <c r="K138" s="993"/>
      <c r="L138" s="993" t="s">
        <v>2967</v>
      </c>
      <c r="M138" s="993" t="s">
        <v>1009</v>
      </c>
      <c r="N138" s="993" t="s">
        <v>1009</v>
      </c>
      <c r="O138" s="993"/>
      <c r="P138" s="993"/>
      <c r="Q138" s="1400"/>
      <c r="R138" s="997"/>
    </row>
    <row r="139" spans="1:18" ht="30" customHeight="1">
      <c r="A139" s="992"/>
      <c r="B139" s="995"/>
      <c r="C139" s="995"/>
      <c r="D139" s="1002"/>
      <c r="E139" s="995"/>
      <c r="F139" s="995"/>
      <c r="G139" s="995"/>
      <c r="H139" s="995"/>
      <c r="I139" s="999"/>
      <c r="J139" s="1000">
        <v>468.31799999999998</v>
      </c>
      <c r="K139" s="993"/>
      <c r="L139" s="993"/>
      <c r="M139" s="993"/>
      <c r="N139" s="993"/>
      <c r="O139" s="993"/>
      <c r="P139" s="993"/>
      <c r="Q139" s="1401"/>
      <c r="R139" s="997"/>
    </row>
    <row r="140" spans="1:18" ht="30" customHeight="1">
      <c r="A140" s="992">
        <f>A138+1</f>
        <v>67</v>
      </c>
      <c r="B140" s="995" t="s">
        <v>2983</v>
      </c>
      <c r="C140" s="995" t="s">
        <v>2236</v>
      </c>
      <c r="D140" s="994" t="s">
        <v>2984</v>
      </c>
      <c r="E140" s="995"/>
      <c r="F140" s="995"/>
      <c r="G140" s="995"/>
      <c r="H140" s="995"/>
      <c r="I140" s="999"/>
      <c r="J140" s="1000"/>
      <c r="K140" s="993">
        <f>J135+J137+J139</f>
        <v>1097.845</v>
      </c>
      <c r="L140" s="993"/>
      <c r="M140" s="993"/>
      <c r="N140" s="993"/>
      <c r="O140" s="993"/>
      <c r="P140" s="993"/>
      <c r="Q140" s="996"/>
      <c r="R140" s="997"/>
    </row>
    <row r="141" spans="1:18" ht="44.5" customHeight="1">
      <c r="A141" s="992"/>
      <c r="B141" s="995"/>
      <c r="C141" s="995"/>
      <c r="D141" s="1006"/>
      <c r="E141" s="995"/>
      <c r="F141" s="995"/>
      <c r="G141" s="995"/>
      <c r="H141" s="995"/>
      <c r="I141" s="999"/>
      <c r="J141" s="1000">
        <v>242.66300000000001</v>
      </c>
      <c r="K141" s="993"/>
      <c r="L141" s="993"/>
      <c r="M141" s="993"/>
      <c r="N141" s="993"/>
      <c r="O141" s="993"/>
      <c r="P141" s="993"/>
      <c r="Q141" s="996"/>
      <c r="R141" s="1007" t="s">
        <v>2985</v>
      </c>
    </row>
    <row r="142" spans="1:18" ht="30" customHeight="1">
      <c r="A142" s="992">
        <f>A140+1</f>
        <v>68</v>
      </c>
      <c r="B142" s="995" t="s">
        <v>2986</v>
      </c>
      <c r="C142" s="995" t="s">
        <v>1999</v>
      </c>
      <c r="D142" s="994" t="s">
        <v>2279</v>
      </c>
      <c r="E142" s="995"/>
      <c r="F142" s="995"/>
      <c r="G142" s="995"/>
      <c r="H142" s="995"/>
      <c r="I142" s="999"/>
      <c r="J142" s="1000"/>
      <c r="K142" s="993"/>
      <c r="L142" s="993"/>
      <c r="M142" s="993"/>
      <c r="N142" s="993"/>
      <c r="O142" s="993"/>
      <c r="P142" s="993"/>
      <c r="Q142" s="996"/>
      <c r="R142" s="997"/>
    </row>
    <row r="143" spans="1:18" ht="30" customHeight="1">
      <c r="A143" s="992"/>
      <c r="B143" s="995"/>
      <c r="C143" s="995"/>
      <c r="D143" s="1002"/>
      <c r="E143" s="995"/>
      <c r="F143" s="995"/>
      <c r="G143" s="995"/>
      <c r="H143" s="995"/>
      <c r="I143" s="999"/>
      <c r="J143" s="1000">
        <v>408.25799999999998</v>
      </c>
      <c r="K143" s="993"/>
      <c r="L143" s="993"/>
      <c r="M143" s="993"/>
      <c r="N143" s="993"/>
      <c r="O143" s="993"/>
      <c r="P143" s="993"/>
      <c r="Q143" s="1399"/>
      <c r="R143" s="997"/>
    </row>
    <row r="144" spans="1:18" ht="30" customHeight="1">
      <c r="A144" s="992">
        <f>A142+1</f>
        <v>69</v>
      </c>
      <c r="B144" s="995" t="s">
        <v>2245</v>
      </c>
      <c r="C144" s="995" t="s">
        <v>76</v>
      </c>
      <c r="D144" s="1002"/>
      <c r="E144" s="995"/>
      <c r="F144" s="995"/>
      <c r="G144" s="995"/>
      <c r="H144" s="995"/>
      <c r="I144" s="999" t="s">
        <v>1767</v>
      </c>
      <c r="J144" s="1000"/>
      <c r="K144" s="993"/>
      <c r="L144" s="993" t="s">
        <v>2967</v>
      </c>
      <c r="M144" s="993" t="s">
        <v>1009</v>
      </c>
      <c r="N144" s="993" t="s">
        <v>1009</v>
      </c>
      <c r="O144" s="993"/>
      <c r="P144" s="993"/>
      <c r="Q144" s="1400"/>
      <c r="R144" s="997"/>
    </row>
    <row r="145" spans="1:18" ht="30" customHeight="1">
      <c r="A145" s="992"/>
      <c r="B145" s="995"/>
      <c r="C145" s="995"/>
      <c r="D145" s="1002"/>
      <c r="E145" s="995"/>
      <c r="F145" s="995"/>
      <c r="G145" s="995"/>
      <c r="H145" s="995"/>
      <c r="I145" s="999"/>
      <c r="J145" s="1000">
        <v>337.476</v>
      </c>
      <c r="K145" s="993"/>
      <c r="L145" s="993"/>
      <c r="M145" s="993"/>
      <c r="N145" s="993"/>
      <c r="O145" s="993"/>
      <c r="P145" s="993"/>
      <c r="Q145" s="1400"/>
      <c r="R145" s="997"/>
    </row>
    <row r="146" spans="1:18" ht="30" customHeight="1">
      <c r="A146" s="992">
        <f>A144+1</f>
        <v>70</v>
      </c>
      <c r="B146" s="995" t="s">
        <v>2246</v>
      </c>
      <c r="C146" s="995" t="s">
        <v>62</v>
      </c>
      <c r="D146" s="1002"/>
      <c r="E146" s="995"/>
      <c r="F146" s="995"/>
      <c r="G146" s="995"/>
      <c r="H146" s="995"/>
      <c r="I146" s="999" t="s">
        <v>1767</v>
      </c>
      <c r="J146" s="1000"/>
      <c r="K146" s="993"/>
      <c r="L146" s="993" t="s">
        <v>2967</v>
      </c>
      <c r="M146" s="993" t="s">
        <v>1009</v>
      </c>
      <c r="N146" s="993" t="s">
        <v>1009</v>
      </c>
      <c r="O146" s="993"/>
      <c r="P146" s="993"/>
      <c r="Q146" s="1400"/>
      <c r="R146" s="997"/>
    </row>
    <row r="147" spans="1:18" ht="30" customHeight="1">
      <c r="A147" s="992"/>
      <c r="B147" s="995"/>
      <c r="C147" s="995"/>
      <c r="D147" s="1002"/>
      <c r="E147" s="995"/>
      <c r="F147" s="995"/>
      <c r="G147" s="995"/>
      <c r="H147" s="995"/>
      <c r="I147" s="999"/>
      <c r="J147" s="1000">
        <v>403.41800000000001</v>
      </c>
      <c r="K147" s="993"/>
      <c r="L147" s="993"/>
      <c r="M147" s="993"/>
      <c r="N147" s="993"/>
      <c r="O147" s="993"/>
      <c r="P147" s="993"/>
      <c r="Q147" s="1401"/>
      <c r="R147" s="997"/>
    </row>
    <row r="148" spans="1:18" ht="30" customHeight="1">
      <c r="A148" s="992">
        <f>A146+1</f>
        <v>71</v>
      </c>
      <c r="B148" s="995" t="s">
        <v>2987</v>
      </c>
      <c r="C148" s="995" t="s">
        <v>1992</v>
      </c>
      <c r="D148" s="994" t="s">
        <v>2282</v>
      </c>
      <c r="E148" s="995"/>
      <c r="F148" s="995"/>
      <c r="G148" s="995"/>
      <c r="H148" s="995"/>
      <c r="I148" s="999"/>
      <c r="J148" s="1000"/>
      <c r="K148" s="993">
        <f>J145+J147</f>
        <v>740.89400000000001</v>
      </c>
      <c r="L148" s="993"/>
      <c r="M148" s="993"/>
      <c r="N148" s="993"/>
      <c r="O148" s="993"/>
      <c r="P148" s="993"/>
      <c r="Q148" s="996"/>
      <c r="R148" s="997"/>
    </row>
    <row r="149" spans="1:18" ht="30" customHeight="1">
      <c r="A149" s="992"/>
      <c r="B149" s="995"/>
      <c r="C149" s="995"/>
      <c r="D149" s="1006"/>
      <c r="E149" s="995"/>
      <c r="F149" s="995"/>
      <c r="G149" s="995"/>
      <c r="H149" s="995"/>
      <c r="I149" s="999"/>
      <c r="J149" s="1000">
        <v>251.51599999999999</v>
      </c>
      <c r="K149" s="993"/>
      <c r="L149" s="993"/>
      <c r="M149" s="993"/>
      <c r="N149" s="993"/>
      <c r="O149" s="993"/>
      <c r="P149" s="993"/>
      <c r="Q149" s="996"/>
      <c r="R149" s="1003" t="s">
        <v>2988</v>
      </c>
    </row>
    <row r="150" spans="1:18" ht="30" customHeight="1">
      <c r="A150" s="992">
        <f>A148+1</f>
        <v>72</v>
      </c>
      <c r="B150" s="995" t="s">
        <v>2989</v>
      </c>
      <c r="C150" s="995" t="s">
        <v>2221</v>
      </c>
      <c r="D150" s="994" t="s">
        <v>2329</v>
      </c>
      <c r="E150" s="995"/>
      <c r="F150" s="995"/>
      <c r="G150" s="995"/>
      <c r="H150" s="995"/>
      <c r="I150" s="999"/>
      <c r="J150" s="1000"/>
      <c r="K150" s="993">
        <f>J149</f>
        <v>251.51599999999999</v>
      </c>
      <c r="L150" s="993"/>
      <c r="M150" s="993"/>
      <c r="N150" s="993"/>
      <c r="O150" s="993"/>
      <c r="P150" s="993"/>
      <c r="Q150" s="996"/>
      <c r="R150" s="997"/>
    </row>
    <row r="151" spans="1:18" ht="30" customHeight="1">
      <c r="A151" s="992"/>
      <c r="B151" s="995"/>
      <c r="C151" s="995"/>
      <c r="D151" s="1002"/>
      <c r="E151" s="995"/>
      <c r="F151" s="995"/>
      <c r="G151" s="995"/>
      <c r="H151" s="995"/>
      <c r="I151" s="999"/>
      <c r="J151" s="1000">
        <v>445.12599999999998</v>
      </c>
      <c r="K151" s="993"/>
      <c r="L151" s="993"/>
      <c r="M151" s="993"/>
      <c r="N151" s="993"/>
      <c r="O151" s="993"/>
      <c r="P151" s="993"/>
      <c r="Q151" s="996"/>
      <c r="R151" s="997"/>
    </row>
    <row r="152" spans="1:18" ht="30" customHeight="1">
      <c r="A152" s="1041">
        <f>A150+1</f>
        <v>73</v>
      </c>
      <c r="B152" s="995" t="s">
        <v>2990</v>
      </c>
      <c r="C152" s="995" t="s">
        <v>1269</v>
      </c>
      <c r="D152" s="1029" t="s">
        <v>2991</v>
      </c>
      <c r="E152" s="995"/>
      <c r="F152" s="995"/>
      <c r="G152" s="995"/>
      <c r="H152" s="995"/>
      <c r="I152" s="999" t="s">
        <v>1767</v>
      </c>
      <c r="J152" s="999"/>
      <c r="K152" s="1008"/>
      <c r="L152" s="995" t="s">
        <v>2967</v>
      </c>
      <c r="M152" s="995" t="s">
        <v>1009</v>
      </c>
      <c r="N152" s="995" t="s">
        <v>1009</v>
      </c>
      <c r="O152" s="995"/>
      <c r="P152" s="995"/>
      <c r="Q152" s="1044"/>
      <c r="R152" s="1065"/>
    </row>
    <row r="153" spans="1:18" ht="30" customHeight="1">
      <c r="A153" s="992"/>
      <c r="B153" s="995"/>
      <c r="C153" s="995"/>
      <c r="D153" s="1002"/>
      <c r="E153" s="995"/>
      <c r="F153" s="995"/>
      <c r="G153" s="995"/>
      <c r="H153" s="995"/>
      <c r="I153" s="999"/>
      <c r="J153" s="1000">
        <v>387.7</v>
      </c>
      <c r="K153" s="993"/>
      <c r="L153" s="993"/>
      <c r="M153" s="993"/>
      <c r="N153" s="993"/>
      <c r="O153" s="993"/>
      <c r="P153" s="993"/>
      <c r="Q153" s="1399"/>
      <c r="R153" s="997"/>
    </row>
    <row r="154" spans="1:18" ht="30" customHeight="1">
      <c r="A154" s="1041">
        <f>A152+1</f>
        <v>74</v>
      </c>
      <c r="B154" s="1112" t="s">
        <v>3192</v>
      </c>
      <c r="C154" s="995" t="s">
        <v>249</v>
      </c>
      <c r="D154" s="1006"/>
      <c r="E154" s="995"/>
      <c r="F154" s="995"/>
      <c r="G154" s="995"/>
      <c r="H154" s="995"/>
      <c r="I154" s="999" t="s">
        <v>1767</v>
      </c>
      <c r="J154" s="999"/>
      <c r="K154" s="993"/>
      <c r="L154" s="995" t="s">
        <v>2967</v>
      </c>
      <c r="M154" s="995" t="s">
        <v>1009</v>
      </c>
      <c r="N154" s="995" t="s">
        <v>1009</v>
      </c>
      <c r="O154" s="995"/>
      <c r="P154" s="995"/>
      <c r="Q154" s="1402"/>
      <c r="R154" s="1065"/>
    </row>
    <row r="155" spans="1:18" ht="30" customHeight="1">
      <c r="A155" s="992"/>
      <c r="B155" s="995"/>
      <c r="C155" s="995"/>
      <c r="D155" s="1002"/>
      <c r="E155" s="995"/>
      <c r="F155" s="995"/>
      <c r="G155" s="995"/>
      <c r="H155" s="995"/>
      <c r="I155" s="999"/>
      <c r="J155" s="1000">
        <v>449.34800000000001</v>
      </c>
      <c r="K155" s="993"/>
      <c r="L155" s="993"/>
      <c r="M155" s="993"/>
      <c r="N155" s="993"/>
      <c r="O155" s="993"/>
      <c r="P155" s="993"/>
      <c r="Q155" s="1401"/>
      <c r="R155" s="997"/>
    </row>
    <row r="156" spans="1:18" ht="30" customHeight="1">
      <c r="A156" s="992">
        <f>A154+1</f>
        <v>75</v>
      </c>
      <c r="B156" s="995" t="s">
        <v>2992</v>
      </c>
      <c r="C156" s="995" t="s">
        <v>1277</v>
      </c>
      <c r="D156" s="994" t="s">
        <v>2993</v>
      </c>
      <c r="E156" s="995"/>
      <c r="F156" s="995"/>
      <c r="G156" s="995"/>
      <c r="H156" s="995"/>
      <c r="I156" s="999"/>
      <c r="J156" s="1000"/>
      <c r="K156" s="993">
        <f>J151+J153+J155</f>
        <v>1282.174</v>
      </c>
      <c r="L156" s="995" t="s">
        <v>1658</v>
      </c>
      <c r="M156" s="993"/>
      <c r="N156" s="993"/>
      <c r="O156" s="993"/>
      <c r="P156" s="993"/>
      <c r="Q156" s="996"/>
      <c r="R156" s="997"/>
    </row>
    <row r="157" spans="1:18" ht="30" customHeight="1">
      <c r="A157" s="992"/>
      <c r="B157" s="995"/>
      <c r="C157" s="995"/>
      <c r="D157" s="1002"/>
      <c r="E157" s="995"/>
      <c r="F157" s="995"/>
      <c r="G157" s="995"/>
      <c r="H157" s="995"/>
      <c r="I157" s="999"/>
      <c r="J157" s="1000">
        <v>408.79300000000001</v>
      </c>
      <c r="K157" s="993"/>
      <c r="L157" s="993"/>
      <c r="M157" s="993"/>
      <c r="N157" s="993"/>
      <c r="O157" s="993"/>
      <c r="P157" s="993"/>
      <c r="Q157" s="1399"/>
      <c r="R157" s="997"/>
    </row>
    <row r="158" spans="1:18" ht="30" customHeight="1">
      <c r="A158" s="1041">
        <f>A156+1</f>
        <v>76</v>
      </c>
      <c r="B158" s="1112" t="s">
        <v>3291</v>
      </c>
      <c r="C158" s="995" t="s">
        <v>62</v>
      </c>
      <c r="D158" s="1006"/>
      <c r="E158" s="995"/>
      <c r="F158" s="995"/>
      <c r="G158" s="995"/>
      <c r="H158" s="995"/>
      <c r="I158" s="999" t="s">
        <v>1767</v>
      </c>
      <c r="J158" s="999"/>
      <c r="K158" s="1008"/>
      <c r="L158" s="995" t="s">
        <v>2967</v>
      </c>
      <c r="M158" s="995" t="s">
        <v>1009</v>
      </c>
      <c r="N158" s="995" t="s">
        <v>1009</v>
      </c>
      <c r="O158" s="995"/>
      <c r="P158" s="995"/>
      <c r="Q158" s="1402"/>
      <c r="R158" s="1065"/>
    </row>
    <row r="159" spans="1:18" ht="30" customHeight="1">
      <c r="A159" s="992"/>
      <c r="B159" s="995"/>
      <c r="C159" s="995"/>
      <c r="D159" s="1002"/>
      <c r="E159" s="995"/>
      <c r="F159" s="995"/>
      <c r="G159" s="995"/>
      <c r="H159" s="995"/>
      <c r="I159" s="999"/>
      <c r="J159" s="1000">
        <v>425.48700000000002</v>
      </c>
      <c r="K159" s="993"/>
      <c r="L159" s="993"/>
      <c r="M159" s="993"/>
      <c r="N159" s="993"/>
      <c r="O159" s="993"/>
      <c r="P159" s="993"/>
      <c r="Q159" s="1401"/>
      <c r="R159" s="997"/>
    </row>
    <row r="160" spans="1:18" ht="30" customHeight="1">
      <c r="A160" s="992">
        <f>A158+1</f>
        <v>77</v>
      </c>
      <c r="B160" s="995" t="s">
        <v>2994</v>
      </c>
      <c r="C160" s="995" t="s">
        <v>1981</v>
      </c>
      <c r="D160" s="994" t="s">
        <v>2995</v>
      </c>
      <c r="E160" s="995"/>
      <c r="F160" s="995"/>
      <c r="G160" s="995"/>
      <c r="H160" s="995"/>
      <c r="I160" s="999" t="s">
        <v>2768</v>
      </c>
      <c r="J160" s="1000"/>
      <c r="K160" s="993">
        <f>J157+J159</f>
        <v>834.28</v>
      </c>
      <c r="L160" s="993" t="s">
        <v>2967</v>
      </c>
      <c r="M160" s="993" t="s">
        <v>1009</v>
      </c>
      <c r="N160" s="993" t="s">
        <v>1009</v>
      </c>
      <c r="O160" s="993"/>
      <c r="P160" s="993"/>
      <c r="Q160" s="996"/>
      <c r="R160" s="997"/>
    </row>
    <row r="161" spans="1:18" ht="30" customHeight="1">
      <c r="A161" s="992"/>
      <c r="B161" s="995"/>
      <c r="C161" s="995"/>
      <c r="D161" s="1002"/>
      <c r="E161" s="995"/>
      <c r="F161" s="995"/>
      <c r="G161" s="995"/>
      <c r="H161" s="995"/>
      <c r="I161" s="999"/>
      <c r="J161" s="1000">
        <v>386.79899999999998</v>
      </c>
      <c r="K161" s="993"/>
      <c r="L161" s="993"/>
      <c r="M161" s="993"/>
      <c r="N161" s="993"/>
      <c r="O161" s="993"/>
      <c r="P161" s="993"/>
      <c r="Q161" s="1399"/>
      <c r="R161" s="997"/>
    </row>
    <row r="162" spans="1:18" ht="30" customHeight="1">
      <c r="A162" s="992">
        <f>A160+1</f>
        <v>78</v>
      </c>
      <c r="B162" s="995" t="s">
        <v>2296</v>
      </c>
      <c r="C162" s="995" t="s">
        <v>62</v>
      </c>
      <c r="D162" s="1002"/>
      <c r="E162" s="995"/>
      <c r="F162" s="995"/>
      <c r="G162" s="995"/>
      <c r="H162" s="995"/>
      <c r="I162" s="999"/>
      <c r="J162" s="1000"/>
      <c r="K162" s="993"/>
      <c r="L162" s="995" t="s">
        <v>1658</v>
      </c>
      <c r="M162" s="993"/>
      <c r="N162" s="993"/>
      <c r="O162" s="993"/>
      <c r="P162" s="993"/>
      <c r="Q162" s="1400"/>
      <c r="R162" s="997"/>
    </row>
    <row r="163" spans="1:18" ht="30" customHeight="1">
      <c r="A163" s="992"/>
      <c r="B163" s="995"/>
      <c r="C163" s="995"/>
      <c r="D163" s="1002"/>
      <c r="E163" s="995"/>
      <c r="F163" s="995"/>
      <c r="G163" s="995"/>
      <c r="H163" s="995"/>
      <c r="I163" s="999"/>
      <c r="J163" s="1000">
        <v>380.77</v>
      </c>
      <c r="K163" s="993"/>
      <c r="L163" s="993"/>
      <c r="M163" s="993"/>
      <c r="N163" s="993"/>
      <c r="O163" s="993"/>
      <c r="P163" s="993"/>
      <c r="Q163" s="1400"/>
      <c r="R163" s="997"/>
    </row>
    <row r="164" spans="1:18" ht="30" customHeight="1">
      <c r="A164" s="992">
        <f>A162+1</f>
        <v>79</v>
      </c>
      <c r="B164" s="995" t="s">
        <v>2297</v>
      </c>
      <c r="C164" s="995" t="s">
        <v>62</v>
      </c>
      <c r="D164" s="1002"/>
      <c r="E164" s="995"/>
      <c r="F164" s="995"/>
      <c r="G164" s="995"/>
      <c r="H164" s="995"/>
      <c r="I164" s="999" t="s">
        <v>1767</v>
      </c>
      <c r="J164" s="1000"/>
      <c r="K164" s="993"/>
      <c r="L164" s="995" t="s">
        <v>2967</v>
      </c>
      <c r="M164" s="993" t="s">
        <v>1009</v>
      </c>
      <c r="N164" s="993" t="s">
        <v>1009</v>
      </c>
      <c r="O164" s="993" t="s">
        <v>1009</v>
      </c>
      <c r="P164" s="993"/>
      <c r="Q164" s="1400"/>
      <c r="R164" s="997"/>
    </row>
    <row r="165" spans="1:18" ht="30" customHeight="1">
      <c r="A165" s="992"/>
      <c r="B165" s="995"/>
      <c r="C165" s="995"/>
      <c r="D165" s="1002"/>
      <c r="E165" s="995"/>
      <c r="F165" s="995"/>
      <c r="G165" s="995"/>
      <c r="H165" s="995"/>
      <c r="I165" s="999"/>
      <c r="J165" s="1000">
        <v>421.31400000000002</v>
      </c>
      <c r="K165" s="993"/>
      <c r="L165" s="993"/>
      <c r="M165" s="993"/>
      <c r="N165" s="993"/>
      <c r="O165" s="993"/>
      <c r="P165" s="993"/>
      <c r="Q165" s="1401"/>
      <c r="R165" s="997"/>
    </row>
    <row r="166" spans="1:18" ht="30" customHeight="1">
      <c r="A166" s="992">
        <f>A164+1</f>
        <v>80</v>
      </c>
      <c r="B166" s="995" t="s">
        <v>2996</v>
      </c>
      <c r="C166" s="995" t="s">
        <v>2221</v>
      </c>
      <c r="D166" s="994" t="s">
        <v>2997</v>
      </c>
      <c r="E166" s="995"/>
      <c r="F166" s="995"/>
      <c r="G166" s="995"/>
      <c r="H166" s="995"/>
      <c r="I166" s="999"/>
      <c r="J166" s="1000"/>
      <c r="K166" s="993">
        <f>J161+J163+J165</f>
        <v>1188.883</v>
      </c>
      <c r="L166" s="993"/>
      <c r="M166" s="993"/>
      <c r="N166" s="993"/>
      <c r="O166" s="993"/>
      <c r="P166" s="993"/>
      <c r="Q166" s="996"/>
      <c r="R166" s="997"/>
    </row>
    <row r="167" spans="1:18" ht="57.5" customHeight="1">
      <c r="A167" s="992"/>
      <c r="B167" s="995"/>
      <c r="C167" s="995"/>
      <c r="D167" s="1006"/>
      <c r="E167" s="995"/>
      <c r="F167" s="995"/>
      <c r="G167" s="995"/>
      <c r="H167" s="995"/>
      <c r="I167" s="999"/>
      <c r="J167" s="1000">
        <v>211.06299999999999</v>
      </c>
      <c r="K167" s="993"/>
      <c r="L167" s="993"/>
      <c r="M167" s="993"/>
      <c r="N167" s="993"/>
      <c r="O167" s="993"/>
      <c r="P167" s="993"/>
      <c r="Q167" s="996"/>
      <c r="R167" s="1007" t="s">
        <v>2998</v>
      </c>
    </row>
    <row r="168" spans="1:18" ht="30" customHeight="1">
      <c r="A168" s="992">
        <f>A166+1</f>
        <v>81</v>
      </c>
      <c r="B168" s="995" t="s">
        <v>2999</v>
      </c>
      <c r="C168" s="995" t="s">
        <v>2221</v>
      </c>
      <c r="D168" s="994" t="s">
        <v>2335</v>
      </c>
      <c r="E168" s="995"/>
      <c r="F168" s="995"/>
      <c r="G168" s="995"/>
      <c r="H168" s="995"/>
      <c r="I168" s="999"/>
      <c r="J168" s="1000"/>
      <c r="K168" s="993"/>
      <c r="L168" s="993"/>
      <c r="M168" s="993"/>
      <c r="N168" s="993"/>
      <c r="O168" s="993"/>
      <c r="P168" s="993"/>
      <c r="Q168" s="996"/>
      <c r="R168" s="997"/>
    </row>
    <row r="169" spans="1:18" ht="30" customHeight="1">
      <c r="A169" s="992"/>
      <c r="B169" s="995"/>
      <c r="C169" s="995"/>
      <c r="D169" s="1002"/>
      <c r="E169" s="995"/>
      <c r="F169" s="995"/>
      <c r="G169" s="995"/>
      <c r="H169" s="995"/>
      <c r="I169" s="999"/>
      <c r="J169" s="1000">
        <v>385.10300000000001</v>
      </c>
      <c r="K169" s="993"/>
      <c r="L169" s="993"/>
      <c r="M169" s="993"/>
      <c r="N169" s="993"/>
      <c r="O169" s="993"/>
      <c r="P169" s="993"/>
      <c r="Q169" s="1399"/>
      <c r="R169" s="997"/>
    </row>
    <row r="170" spans="1:18" ht="30" customHeight="1">
      <c r="A170" s="992">
        <f>A168+1</f>
        <v>82</v>
      </c>
      <c r="B170" s="1112" t="s">
        <v>2887</v>
      </c>
      <c r="C170" s="995" t="s">
        <v>62</v>
      </c>
      <c r="D170" s="1002"/>
      <c r="E170" s="995"/>
      <c r="F170" s="995"/>
      <c r="G170" s="995"/>
      <c r="H170" s="995"/>
      <c r="I170" s="999" t="s">
        <v>1767</v>
      </c>
      <c r="J170" s="1000"/>
      <c r="K170" s="993"/>
      <c r="L170" s="993" t="s">
        <v>2967</v>
      </c>
      <c r="M170" s="993" t="s">
        <v>1009</v>
      </c>
      <c r="N170" s="993" t="s">
        <v>1009</v>
      </c>
      <c r="O170" s="993" t="s">
        <v>1009</v>
      </c>
      <c r="P170" s="993"/>
      <c r="Q170" s="1400"/>
      <c r="R170" s="997"/>
    </row>
    <row r="171" spans="1:18" ht="30" customHeight="1">
      <c r="A171" s="992"/>
      <c r="B171" s="995"/>
      <c r="C171" s="995"/>
      <c r="D171" s="1002"/>
      <c r="E171" s="995"/>
      <c r="F171" s="995"/>
      <c r="G171" s="995"/>
      <c r="H171" s="995"/>
      <c r="I171" s="999"/>
      <c r="J171" s="1000">
        <v>233.126</v>
      </c>
      <c r="K171" s="993"/>
      <c r="L171" s="993"/>
      <c r="M171" s="993"/>
      <c r="N171" s="993"/>
      <c r="O171" s="993"/>
      <c r="P171" s="993"/>
      <c r="Q171" s="1401"/>
      <c r="R171" s="997"/>
    </row>
    <row r="172" spans="1:18" ht="30" customHeight="1">
      <c r="A172" s="992">
        <f>A170+1</f>
        <v>83</v>
      </c>
      <c r="B172" s="995" t="s">
        <v>2904</v>
      </c>
      <c r="C172" s="995" t="s">
        <v>1319</v>
      </c>
      <c r="D172" s="994" t="s">
        <v>2336</v>
      </c>
      <c r="E172" s="995"/>
      <c r="F172" s="995"/>
      <c r="G172" s="995"/>
      <c r="H172" s="995"/>
      <c r="I172" s="999" t="s">
        <v>1767</v>
      </c>
      <c r="J172" s="1000"/>
      <c r="K172" s="993"/>
      <c r="L172" s="993" t="s">
        <v>2967</v>
      </c>
      <c r="M172" s="993" t="s">
        <v>1009</v>
      </c>
      <c r="N172" s="993" t="s">
        <v>1009</v>
      </c>
      <c r="O172" s="993"/>
      <c r="P172" s="993"/>
      <c r="Q172" s="996"/>
      <c r="R172" s="997"/>
    </row>
    <row r="173" spans="1:18" ht="30" customHeight="1">
      <c r="A173" s="992"/>
      <c r="B173" s="995"/>
      <c r="C173" s="995"/>
      <c r="D173" s="1002"/>
      <c r="E173" s="995"/>
      <c r="F173" s="995"/>
      <c r="G173" s="995"/>
      <c r="H173" s="995"/>
      <c r="I173" s="999"/>
      <c r="J173" s="1000">
        <v>411.24</v>
      </c>
      <c r="K173" s="993"/>
      <c r="L173" s="993"/>
      <c r="M173" s="993"/>
      <c r="N173" s="993"/>
      <c r="O173" s="993"/>
      <c r="P173" s="993"/>
      <c r="Q173" s="1399"/>
      <c r="R173" s="997"/>
    </row>
    <row r="174" spans="1:18" ht="30" customHeight="1">
      <c r="A174" s="1041">
        <f>A172+1</f>
        <v>84</v>
      </c>
      <c r="B174" s="995" t="s">
        <v>2305</v>
      </c>
      <c r="C174" s="995" t="s">
        <v>62</v>
      </c>
      <c r="D174" s="1006"/>
      <c r="E174" s="995"/>
      <c r="F174" s="995"/>
      <c r="G174" s="995"/>
      <c r="H174" s="995"/>
      <c r="I174" s="999" t="s">
        <v>1767</v>
      </c>
      <c r="J174" s="999"/>
      <c r="K174" s="1008">
        <f>J167+J169+J171+J173</f>
        <v>1240.5319999999999</v>
      </c>
      <c r="L174" s="995" t="s">
        <v>2967</v>
      </c>
      <c r="M174" s="1008" t="s">
        <v>1009</v>
      </c>
      <c r="N174" s="995"/>
      <c r="O174" s="995"/>
      <c r="P174" s="995"/>
      <c r="Q174" s="1402"/>
      <c r="R174" s="1065"/>
    </row>
    <row r="175" spans="1:18" ht="30" customHeight="1">
      <c r="A175" s="992"/>
      <c r="B175" s="995"/>
      <c r="C175" s="995"/>
      <c r="D175" s="1002"/>
      <c r="E175" s="995"/>
      <c r="F175" s="995"/>
      <c r="G175" s="995"/>
      <c r="H175" s="995"/>
      <c r="I175" s="999"/>
      <c r="J175" s="1000">
        <v>320.97899999999998</v>
      </c>
      <c r="K175" s="993"/>
      <c r="L175" s="993"/>
      <c r="M175" s="993"/>
      <c r="N175" s="993"/>
      <c r="O175" s="993"/>
      <c r="P175" s="993"/>
      <c r="Q175" s="1400"/>
      <c r="R175" s="997"/>
    </row>
    <row r="176" spans="1:18" ht="30" customHeight="1">
      <c r="A176" s="992">
        <f>A174+1</f>
        <v>85</v>
      </c>
      <c r="B176" s="995" t="s">
        <v>2306</v>
      </c>
      <c r="C176" s="995" t="s">
        <v>76</v>
      </c>
      <c r="D176" s="1002"/>
      <c r="E176" s="995"/>
      <c r="F176" s="995"/>
      <c r="G176" s="995"/>
      <c r="H176" s="995"/>
      <c r="I176" s="999" t="s">
        <v>1767</v>
      </c>
      <c r="J176" s="1000"/>
      <c r="K176" s="1009">
        <f>J175</f>
        <v>320.97899999999998</v>
      </c>
      <c r="L176" s="1009" t="s">
        <v>2967</v>
      </c>
      <c r="M176" s="1009" t="s">
        <v>1009</v>
      </c>
      <c r="N176" s="1009" t="s">
        <v>1009</v>
      </c>
      <c r="O176" s="1009"/>
      <c r="P176" s="1009"/>
      <c r="Q176" s="1400"/>
      <c r="R176" s="1010"/>
    </row>
    <row r="177" spans="1:18" ht="30" customHeight="1">
      <c r="A177" s="992"/>
      <c r="B177" s="995"/>
      <c r="C177" s="995"/>
      <c r="D177" s="1002"/>
      <c r="E177" s="995"/>
      <c r="F177" s="995"/>
      <c r="G177" s="995"/>
      <c r="H177" s="995"/>
      <c r="I177" s="999"/>
      <c r="J177" s="1000">
        <v>448.791</v>
      </c>
      <c r="K177" s="993"/>
      <c r="L177" s="993"/>
      <c r="M177" s="993"/>
      <c r="N177" s="993"/>
      <c r="O177" s="993"/>
      <c r="P177" s="993"/>
      <c r="Q177" s="1401"/>
      <c r="R177" s="997"/>
    </row>
    <row r="178" spans="1:18" ht="30" customHeight="1">
      <c r="A178" s="992">
        <f>A176+1</f>
        <v>86</v>
      </c>
      <c r="B178" s="995" t="s">
        <v>3000</v>
      </c>
      <c r="C178" s="995" t="s">
        <v>1992</v>
      </c>
      <c r="D178" s="994" t="s">
        <v>2337</v>
      </c>
      <c r="E178" s="995"/>
      <c r="F178" s="995"/>
      <c r="G178" s="995"/>
      <c r="H178" s="995"/>
      <c r="I178" s="999" t="s">
        <v>2768</v>
      </c>
      <c r="J178" s="1000"/>
      <c r="K178" s="993"/>
      <c r="L178" s="993" t="s">
        <v>2967</v>
      </c>
      <c r="M178" s="993" t="s">
        <v>1009</v>
      </c>
      <c r="N178" s="993"/>
      <c r="O178" s="993"/>
      <c r="P178" s="993"/>
      <c r="Q178" s="996"/>
      <c r="R178" s="997"/>
    </row>
    <row r="179" spans="1:18" ht="30" customHeight="1">
      <c r="A179" s="992"/>
      <c r="B179" s="995"/>
      <c r="C179" s="995"/>
      <c r="D179" s="1006"/>
      <c r="E179" s="995"/>
      <c r="F179" s="995"/>
      <c r="G179" s="995"/>
      <c r="H179" s="995"/>
      <c r="I179" s="999"/>
      <c r="J179" s="1000">
        <v>247.685</v>
      </c>
      <c r="K179" s="993"/>
      <c r="L179" s="993"/>
      <c r="M179" s="993"/>
      <c r="N179" s="993"/>
      <c r="O179" s="993"/>
      <c r="P179" s="993"/>
      <c r="Q179" s="996"/>
      <c r="R179" s="1003" t="s">
        <v>3001</v>
      </c>
    </row>
    <row r="180" spans="1:18" ht="30" customHeight="1">
      <c r="A180" s="992">
        <f>A178+1</f>
        <v>87</v>
      </c>
      <c r="B180" s="995" t="s">
        <v>3002</v>
      </c>
      <c r="C180" s="1042" t="s">
        <v>1992</v>
      </c>
      <c r="D180" s="994" t="s">
        <v>2338</v>
      </c>
      <c r="E180" s="995"/>
      <c r="F180" s="995"/>
      <c r="G180" s="995"/>
      <c r="H180" s="995"/>
      <c r="I180" s="999" t="s">
        <v>2768</v>
      </c>
      <c r="J180" s="1000"/>
      <c r="K180" s="993"/>
      <c r="L180" s="993" t="s">
        <v>2967</v>
      </c>
      <c r="M180" s="993" t="s">
        <v>1009</v>
      </c>
      <c r="N180" s="993" t="s">
        <v>1009</v>
      </c>
      <c r="O180" s="993"/>
      <c r="P180" s="993"/>
      <c r="Q180" s="996"/>
      <c r="R180" s="997"/>
    </row>
    <row r="181" spans="1:18" ht="30" customHeight="1">
      <c r="A181" s="992"/>
      <c r="B181" s="995"/>
      <c r="C181" s="995"/>
      <c r="D181" s="1002"/>
      <c r="E181" s="995"/>
      <c r="F181" s="995"/>
      <c r="G181" s="995"/>
      <c r="H181" s="995"/>
      <c r="I181" s="999"/>
      <c r="J181" s="1000">
        <v>360.87799999999999</v>
      </c>
      <c r="K181" s="993"/>
      <c r="L181" s="993"/>
      <c r="M181" s="993"/>
      <c r="N181" s="993"/>
      <c r="O181" s="993"/>
      <c r="P181" s="993"/>
      <c r="Q181" s="1399"/>
      <c r="R181" s="997"/>
    </row>
    <row r="182" spans="1:18" ht="30" customHeight="1">
      <c r="A182" s="992">
        <f>A180+1</f>
        <v>88</v>
      </c>
      <c r="B182" s="1112" t="s">
        <v>2908</v>
      </c>
      <c r="C182" s="995" t="s">
        <v>62</v>
      </c>
      <c r="D182" s="1002"/>
      <c r="E182" s="995"/>
      <c r="F182" s="995"/>
      <c r="G182" s="995"/>
      <c r="H182" s="995"/>
      <c r="I182" s="999" t="s">
        <v>1767</v>
      </c>
      <c r="J182" s="1000"/>
      <c r="K182" s="993"/>
      <c r="L182" s="993" t="s">
        <v>2967</v>
      </c>
      <c r="M182" s="993" t="s">
        <v>1009</v>
      </c>
      <c r="N182" s="993" t="s">
        <v>1009</v>
      </c>
      <c r="O182" s="993" t="s">
        <v>1009</v>
      </c>
      <c r="P182" s="993"/>
      <c r="Q182" s="1400"/>
      <c r="R182" s="997"/>
    </row>
    <row r="183" spans="1:18" ht="30" customHeight="1">
      <c r="A183" s="992"/>
      <c r="B183" s="995"/>
      <c r="C183" s="995"/>
      <c r="D183" s="1002"/>
      <c r="E183" s="995"/>
      <c r="F183" s="995"/>
      <c r="G183" s="995"/>
      <c r="H183" s="995"/>
      <c r="I183" s="999"/>
      <c r="J183" s="1000">
        <v>415.64299999999997</v>
      </c>
      <c r="K183" s="993"/>
      <c r="L183" s="993"/>
      <c r="M183" s="993"/>
      <c r="N183" s="993"/>
      <c r="O183" s="993"/>
      <c r="P183" s="993"/>
      <c r="Q183" s="1400"/>
      <c r="R183" s="997"/>
    </row>
    <row r="184" spans="1:18" ht="30" customHeight="1">
      <c r="A184" s="992">
        <f>A182+1</f>
        <v>89</v>
      </c>
      <c r="B184" s="995" t="s">
        <v>2312</v>
      </c>
      <c r="C184" s="995" t="s">
        <v>53</v>
      </c>
      <c r="D184" s="1002"/>
      <c r="E184" s="995"/>
      <c r="F184" s="995"/>
      <c r="G184" s="995"/>
      <c r="H184" s="995"/>
      <c r="I184" s="999" t="s">
        <v>1767</v>
      </c>
      <c r="J184" s="1000"/>
      <c r="K184" s="1009">
        <f>J177+J179+J181+J183</f>
        <v>1472.9970000000001</v>
      </c>
      <c r="L184" s="993" t="s">
        <v>2967</v>
      </c>
      <c r="M184" s="1009" t="s">
        <v>1009</v>
      </c>
      <c r="N184" s="1009"/>
      <c r="O184" s="1009" t="s">
        <v>1009</v>
      </c>
      <c r="P184" s="1009"/>
      <c r="Q184" s="1400"/>
      <c r="R184" s="1010"/>
    </row>
    <row r="185" spans="1:18" ht="30" customHeight="1">
      <c r="A185" s="992"/>
      <c r="B185" s="995"/>
      <c r="C185" s="995"/>
      <c r="D185" s="1002"/>
      <c r="E185" s="995"/>
      <c r="F185" s="995"/>
      <c r="G185" s="995"/>
      <c r="H185" s="995"/>
      <c r="I185" s="999"/>
      <c r="J185" s="1000">
        <v>379.75099999999998</v>
      </c>
      <c r="K185" s="993"/>
      <c r="L185" s="993"/>
      <c r="M185" s="993"/>
      <c r="N185" s="993"/>
      <c r="O185" s="993"/>
      <c r="P185" s="993"/>
      <c r="Q185" s="1400"/>
      <c r="R185" s="997"/>
    </row>
    <row r="186" spans="1:18" ht="30" customHeight="1">
      <c r="A186" s="992">
        <f>A184+1</f>
        <v>90</v>
      </c>
      <c r="B186" s="995" t="s">
        <v>2313</v>
      </c>
      <c r="C186" s="995" t="s">
        <v>76</v>
      </c>
      <c r="D186" s="1002"/>
      <c r="E186" s="995"/>
      <c r="F186" s="995"/>
      <c r="G186" s="995"/>
      <c r="H186" s="995"/>
      <c r="I186" s="999" t="s">
        <v>1767</v>
      </c>
      <c r="J186" s="1000"/>
      <c r="K186" s="993"/>
      <c r="L186" s="993" t="s">
        <v>2967</v>
      </c>
      <c r="M186" s="993" t="s">
        <v>1009</v>
      </c>
      <c r="N186" s="993"/>
      <c r="O186" s="993" t="s">
        <v>1009</v>
      </c>
      <c r="P186" s="993"/>
      <c r="Q186" s="1400"/>
      <c r="R186" s="997"/>
    </row>
    <row r="187" spans="1:18" ht="30" customHeight="1">
      <c r="A187" s="992"/>
      <c r="B187" s="995"/>
      <c r="C187" s="995"/>
      <c r="D187" s="1002"/>
      <c r="E187" s="995"/>
      <c r="F187" s="995"/>
      <c r="G187" s="995"/>
      <c r="H187" s="995"/>
      <c r="I187" s="999"/>
      <c r="J187" s="1000">
        <v>298.88400000000001</v>
      </c>
      <c r="K187" s="993"/>
      <c r="L187" s="993"/>
      <c r="M187" s="993"/>
      <c r="N187" s="993"/>
      <c r="O187" s="993"/>
      <c r="P187" s="993"/>
      <c r="Q187" s="1401"/>
      <c r="R187" s="997"/>
    </row>
    <row r="188" spans="1:18" ht="30" customHeight="1">
      <c r="A188" s="992">
        <f>A186+1</f>
        <v>91</v>
      </c>
      <c r="B188" s="995" t="s">
        <v>3003</v>
      </c>
      <c r="C188" s="995" t="s">
        <v>1277</v>
      </c>
      <c r="D188" s="994" t="s">
        <v>3004</v>
      </c>
      <c r="E188" s="995"/>
      <c r="F188" s="995"/>
      <c r="G188" s="995"/>
      <c r="H188" s="995"/>
      <c r="I188" s="999" t="s">
        <v>1767</v>
      </c>
      <c r="J188" s="1000"/>
      <c r="K188" s="993"/>
      <c r="L188" s="993" t="s">
        <v>2967</v>
      </c>
      <c r="M188" s="993" t="s">
        <v>1009</v>
      </c>
      <c r="N188" s="993" t="s">
        <v>1009</v>
      </c>
      <c r="O188" s="993" t="s">
        <v>1009</v>
      </c>
      <c r="P188" s="993"/>
      <c r="Q188" s="996"/>
      <c r="R188" s="997"/>
    </row>
    <row r="189" spans="1:18" ht="30" customHeight="1">
      <c r="A189" s="992"/>
      <c r="B189" s="995"/>
      <c r="C189" s="995"/>
      <c r="D189" s="1002"/>
      <c r="E189" s="995"/>
      <c r="F189" s="995"/>
      <c r="G189" s="995"/>
      <c r="H189" s="995"/>
      <c r="I189" s="999"/>
      <c r="J189" s="1000">
        <v>314.66399999999999</v>
      </c>
      <c r="K189" s="993"/>
      <c r="L189" s="993"/>
      <c r="M189" s="993"/>
      <c r="N189" s="993"/>
      <c r="O189" s="993"/>
      <c r="P189" s="993"/>
      <c r="Q189" s="1399"/>
      <c r="R189" s="997"/>
    </row>
    <row r="190" spans="1:18" ht="30" customHeight="1">
      <c r="A190" s="992">
        <f>A188+1</f>
        <v>92</v>
      </c>
      <c r="B190" s="1112" t="s">
        <v>2888</v>
      </c>
      <c r="C190" s="995" t="s">
        <v>76</v>
      </c>
      <c r="D190" s="1002"/>
      <c r="E190" s="995"/>
      <c r="F190" s="995"/>
      <c r="G190" s="995"/>
      <c r="H190" s="995"/>
      <c r="I190" s="999" t="s">
        <v>1767</v>
      </c>
      <c r="J190" s="1000"/>
      <c r="K190" s="993"/>
      <c r="L190" s="993" t="s">
        <v>2967</v>
      </c>
      <c r="M190" s="993" t="s">
        <v>1009</v>
      </c>
      <c r="N190" s="993" t="s">
        <v>1009</v>
      </c>
      <c r="O190" s="993"/>
      <c r="P190" s="993"/>
      <c r="Q190" s="1400"/>
      <c r="R190" s="997"/>
    </row>
    <row r="191" spans="1:18" ht="30" customHeight="1">
      <c r="A191" s="992"/>
      <c r="B191" s="995"/>
      <c r="C191" s="995"/>
      <c r="D191" s="1002"/>
      <c r="E191" s="995"/>
      <c r="F191" s="995"/>
      <c r="G191" s="995"/>
      <c r="H191" s="995"/>
      <c r="I191" s="999"/>
      <c r="J191" s="1000">
        <v>301.75700000000001</v>
      </c>
      <c r="K191" s="993"/>
      <c r="L191" s="993"/>
      <c r="M191" s="993"/>
      <c r="N191" s="993"/>
      <c r="O191" s="993"/>
      <c r="P191" s="993"/>
      <c r="Q191" s="1400"/>
      <c r="R191" s="997"/>
    </row>
    <row r="192" spans="1:18" ht="30" customHeight="1">
      <c r="A192" s="992">
        <f>A190+1</f>
        <v>93</v>
      </c>
      <c r="B192" s="995" t="s">
        <v>2896</v>
      </c>
      <c r="C192" s="995" t="s">
        <v>76</v>
      </c>
      <c r="D192" s="1002"/>
      <c r="E192" s="995"/>
      <c r="F192" s="995"/>
      <c r="G192" s="995"/>
      <c r="H192" s="995"/>
      <c r="I192" s="999" t="s">
        <v>1767</v>
      </c>
      <c r="J192" s="1000"/>
      <c r="K192" s="993"/>
      <c r="L192" s="993" t="s">
        <v>2967</v>
      </c>
      <c r="M192" s="993" t="s">
        <v>1009</v>
      </c>
      <c r="N192" s="993"/>
      <c r="O192" s="993" t="s">
        <v>1009</v>
      </c>
      <c r="P192" s="993"/>
      <c r="Q192" s="1400"/>
      <c r="R192" s="997"/>
    </row>
    <row r="193" spans="1:18" ht="30" customHeight="1">
      <c r="A193" s="992"/>
      <c r="B193" s="995"/>
      <c r="C193" s="995"/>
      <c r="D193" s="1002"/>
      <c r="E193" s="995"/>
      <c r="F193" s="995"/>
      <c r="G193" s="995"/>
      <c r="H193" s="995"/>
      <c r="I193" s="999"/>
      <c r="J193" s="1000">
        <v>272.654</v>
      </c>
      <c r="K193" s="993"/>
      <c r="L193" s="993"/>
      <c r="M193" s="993"/>
      <c r="N193" s="993"/>
      <c r="O193" s="993"/>
      <c r="P193" s="993"/>
      <c r="Q193" s="1401"/>
      <c r="R193" s="997"/>
    </row>
    <row r="194" spans="1:18" ht="30" customHeight="1">
      <c r="A194" s="992">
        <f>A192+1</f>
        <v>94</v>
      </c>
      <c r="B194" s="995" t="s">
        <v>3005</v>
      </c>
      <c r="C194" s="995" t="s">
        <v>1269</v>
      </c>
      <c r="D194" s="994" t="s">
        <v>2340</v>
      </c>
      <c r="E194" s="995"/>
      <c r="F194" s="995"/>
      <c r="G194" s="995"/>
      <c r="H194" s="995"/>
      <c r="I194" s="999" t="s">
        <v>1767</v>
      </c>
      <c r="J194" s="1000"/>
      <c r="K194" s="1009">
        <f>J185+J187+J189+J191+J193</f>
        <v>1567.71</v>
      </c>
      <c r="L194" s="1009" t="s">
        <v>2967</v>
      </c>
      <c r="M194" s="1009" t="s">
        <v>1009</v>
      </c>
      <c r="N194" s="1009" t="s">
        <v>1009</v>
      </c>
      <c r="O194" s="1009" t="s">
        <v>1009</v>
      </c>
      <c r="P194" s="1009"/>
      <c r="Q194" s="996"/>
      <c r="R194" s="1010"/>
    </row>
    <row r="195" spans="1:18" ht="30" customHeight="1">
      <c r="A195" s="992"/>
      <c r="B195" s="995"/>
      <c r="C195" s="995"/>
      <c r="D195" s="1002"/>
      <c r="E195" s="995"/>
      <c r="F195" s="995"/>
      <c r="G195" s="995"/>
      <c r="H195" s="995"/>
      <c r="I195" s="999"/>
      <c r="J195" s="1000">
        <v>411.54199999999997</v>
      </c>
      <c r="K195" s="993"/>
      <c r="L195" s="993"/>
      <c r="M195" s="993"/>
      <c r="N195" s="993"/>
      <c r="O195" s="993"/>
      <c r="P195" s="993"/>
      <c r="Q195" s="996"/>
      <c r="R195" s="997"/>
    </row>
    <row r="196" spans="1:18" ht="30" customHeight="1">
      <c r="A196" s="992">
        <f>A194+1</f>
        <v>95</v>
      </c>
      <c r="B196" s="995" t="s">
        <v>3006</v>
      </c>
      <c r="C196" s="995" t="s">
        <v>1361</v>
      </c>
      <c r="D196" s="994" t="s">
        <v>3007</v>
      </c>
      <c r="E196" s="995"/>
      <c r="F196" s="995"/>
      <c r="G196" s="995"/>
      <c r="H196" s="995"/>
      <c r="I196" s="999" t="s">
        <v>1767</v>
      </c>
      <c r="J196" s="1000"/>
      <c r="K196" s="993"/>
      <c r="L196" s="993" t="s">
        <v>2967</v>
      </c>
      <c r="M196" s="993" t="s">
        <v>1009</v>
      </c>
      <c r="N196" s="993" t="s">
        <v>1009</v>
      </c>
      <c r="O196" s="993" t="s">
        <v>1009</v>
      </c>
      <c r="P196" s="993"/>
      <c r="Q196" s="996"/>
      <c r="R196" s="997"/>
    </row>
    <row r="197" spans="1:18" ht="30" customHeight="1">
      <c r="A197" s="992"/>
      <c r="B197" s="995"/>
      <c r="C197" s="995"/>
      <c r="D197" s="1002"/>
      <c r="E197" s="995"/>
      <c r="F197" s="995"/>
      <c r="G197" s="995"/>
      <c r="H197" s="995"/>
      <c r="I197" s="999"/>
      <c r="J197" s="1000">
        <v>375.05399999999997</v>
      </c>
      <c r="K197" s="993"/>
      <c r="L197" s="993"/>
      <c r="M197" s="993"/>
      <c r="N197" s="993"/>
      <c r="O197" s="993"/>
      <c r="P197" s="993"/>
      <c r="Q197" s="1399"/>
      <c r="R197" s="997"/>
    </row>
    <row r="198" spans="1:18" ht="30" customHeight="1">
      <c r="A198" s="992">
        <f>A196+1</f>
        <v>96</v>
      </c>
      <c r="B198" s="1112" t="s">
        <v>3140</v>
      </c>
      <c r="C198" s="995" t="s">
        <v>76</v>
      </c>
      <c r="D198" s="1002"/>
      <c r="E198" s="995"/>
      <c r="F198" s="995"/>
      <c r="G198" s="995"/>
      <c r="H198" s="995"/>
      <c r="I198" s="999" t="s">
        <v>1767</v>
      </c>
      <c r="J198" s="1000"/>
      <c r="K198" s="993"/>
      <c r="L198" s="993" t="s">
        <v>2967</v>
      </c>
      <c r="M198" s="993" t="s">
        <v>1009</v>
      </c>
      <c r="N198" s="993" t="s">
        <v>1009</v>
      </c>
      <c r="O198" s="993"/>
      <c r="P198" s="993"/>
      <c r="Q198" s="1400"/>
      <c r="R198" s="997"/>
    </row>
    <row r="199" spans="1:18" ht="30" customHeight="1">
      <c r="A199" s="992"/>
      <c r="B199" s="995"/>
      <c r="C199" s="995"/>
      <c r="D199" s="1002"/>
      <c r="E199" s="995"/>
      <c r="F199" s="995"/>
      <c r="G199" s="995"/>
      <c r="H199" s="995"/>
      <c r="I199" s="999"/>
      <c r="J199" s="1000">
        <v>357.80099999999999</v>
      </c>
      <c r="K199" s="993"/>
      <c r="L199" s="993"/>
      <c r="M199" s="993"/>
      <c r="N199" s="993"/>
      <c r="O199" s="993"/>
      <c r="P199" s="993"/>
      <c r="Q199" s="1400"/>
      <c r="R199" s="997"/>
    </row>
    <row r="200" spans="1:18" ht="30" customHeight="1">
      <c r="A200" s="992">
        <f>A198+1</f>
        <v>97</v>
      </c>
      <c r="B200" s="1112" t="s">
        <v>2895</v>
      </c>
      <c r="C200" s="995" t="s">
        <v>76</v>
      </c>
      <c r="D200" s="1002"/>
      <c r="E200" s="995"/>
      <c r="F200" s="995"/>
      <c r="G200" s="995"/>
      <c r="H200" s="995"/>
      <c r="I200" s="999" t="s">
        <v>1767</v>
      </c>
      <c r="J200" s="1000"/>
      <c r="K200" s="993"/>
      <c r="L200" s="993" t="s">
        <v>2967</v>
      </c>
      <c r="M200" s="993" t="s">
        <v>1009</v>
      </c>
      <c r="N200" s="993" t="s">
        <v>1009</v>
      </c>
      <c r="O200" s="993" t="s">
        <v>1009</v>
      </c>
      <c r="P200" s="993"/>
      <c r="Q200" s="1400"/>
      <c r="R200" s="997"/>
    </row>
    <row r="201" spans="1:18" ht="30" customHeight="1">
      <c r="A201" s="992"/>
      <c r="B201" s="995"/>
      <c r="C201" s="995"/>
      <c r="D201" s="1002"/>
      <c r="E201" s="995"/>
      <c r="F201" s="995"/>
      <c r="G201" s="995"/>
      <c r="H201" s="995"/>
      <c r="I201" s="999"/>
      <c r="J201" s="1000">
        <v>338.209</v>
      </c>
      <c r="K201" s="993"/>
      <c r="L201" s="993"/>
      <c r="M201" s="993"/>
      <c r="N201" s="993"/>
      <c r="O201" s="993"/>
      <c r="P201" s="993"/>
      <c r="Q201" s="1400"/>
      <c r="R201" s="997"/>
    </row>
    <row r="202" spans="1:18" ht="30" customHeight="1">
      <c r="A202" s="992">
        <f>A200+1</f>
        <v>98</v>
      </c>
      <c r="B202" s="1112" t="s">
        <v>2906</v>
      </c>
      <c r="C202" s="995" t="s">
        <v>76</v>
      </c>
      <c r="D202" s="1002"/>
      <c r="E202" s="995"/>
      <c r="F202" s="995"/>
      <c r="G202" s="995"/>
      <c r="H202" s="995"/>
      <c r="I202" s="999" t="s">
        <v>1767</v>
      </c>
      <c r="J202" s="1000"/>
      <c r="K202" s="1009">
        <f>J195+J197+J199+J201</f>
        <v>1482.606</v>
      </c>
      <c r="L202" s="993" t="s">
        <v>2967</v>
      </c>
      <c r="M202" s="993" t="s">
        <v>1009</v>
      </c>
      <c r="N202" s="1009" t="s">
        <v>1009</v>
      </c>
      <c r="O202" s="1009" t="s">
        <v>1009</v>
      </c>
      <c r="P202" s="1009"/>
      <c r="Q202" s="1400"/>
      <c r="R202" s="1010"/>
    </row>
    <row r="203" spans="1:18" ht="30" customHeight="1">
      <c r="A203" s="992"/>
      <c r="B203" s="995"/>
      <c r="C203" s="995"/>
      <c r="D203" s="1002"/>
      <c r="E203" s="995"/>
      <c r="F203" s="995"/>
      <c r="G203" s="995"/>
      <c r="H203" s="995"/>
      <c r="I203" s="999"/>
      <c r="J203" s="1000">
        <v>358.79300000000001</v>
      </c>
      <c r="K203" s="993"/>
      <c r="L203" s="993"/>
      <c r="M203" s="993"/>
      <c r="N203" s="993"/>
      <c r="O203" s="993"/>
      <c r="P203" s="993"/>
      <c r="Q203" s="1400"/>
      <c r="R203" s="997"/>
    </row>
    <row r="204" spans="1:18" ht="30" customHeight="1">
      <c r="A204" s="992">
        <f>A202+1</f>
        <v>99</v>
      </c>
      <c r="B204" s="1112" t="s">
        <v>3143</v>
      </c>
      <c r="C204" s="995" t="s">
        <v>76</v>
      </c>
      <c r="D204" s="1002"/>
      <c r="E204" s="995"/>
      <c r="F204" s="995"/>
      <c r="G204" s="995"/>
      <c r="H204" s="995"/>
      <c r="I204" s="999" t="s">
        <v>1767</v>
      </c>
      <c r="J204" s="1000"/>
      <c r="K204" s="993">
        <f>J193+J195+J197+J199+J201+J203</f>
        <v>2114.0529999999999</v>
      </c>
      <c r="L204" s="993" t="s">
        <v>2967</v>
      </c>
      <c r="M204" s="993" t="s">
        <v>1009</v>
      </c>
      <c r="N204" s="993" t="s">
        <v>1009</v>
      </c>
      <c r="O204" s="993" t="s">
        <v>1009</v>
      </c>
      <c r="P204" s="993"/>
      <c r="Q204" s="1400"/>
      <c r="R204" s="997"/>
    </row>
    <row r="205" spans="1:18" ht="30" customHeight="1">
      <c r="A205" s="992"/>
      <c r="B205" s="995"/>
      <c r="C205" s="995"/>
      <c r="D205" s="1002"/>
      <c r="E205" s="995"/>
      <c r="F205" s="995"/>
      <c r="G205" s="995"/>
      <c r="H205" s="995"/>
      <c r="I205" s="999"/>
      <c r="J205" s="1000">
        <v>321.16199999999998</v>
      </c>
      <c r="K205" s="993"/>
      <c r="L205" s="993"/>
      <c r="M205" s="993"/>
      <c r="N205" s="993"/>
      <c r="O205" s="993"/>
      <c r="P205" s="993"/>
      <c r="Q205" s="1401"/>
      <c r="R205" s="997"/>
    </row>
    <row r="206" spans="1:18" ht="30" customHeight="1">
      <c r="A206" s="992">
        <f>A204+1</f>
        <v>100</v>
      </c>
      <c r="B206" s="995" t="s">
        <v>3008</v>
      </c>
      <c r="C206" s="995" t="s">
        <v>1277</v>
      </c>
      <c r="D206" s="994" t="s">
        <v>3009</v>
      </c>
      <c r="E206" s="995"/>
      <c r="F206" s="995"/>
      <c r="G206" s="995"/>
      <c r="H206" s="995"/>
      <c r="I206" s="999" t="s">
        <v>1767</v>
      </c>
      <c r="J206" s="1000"/>
      <c r="K206" s="993"/>
      <c r="L206" s="993" t="s">
        <v>2967</v>
      </c>
      <c r="M206" s="993" t="s">
        <v>1009</v>
      </c>
      <c r="N206" s="993" t="s">
        <v>1009</v>
      </c>
      <c r="O206" s="993" t="s">
        <v>1009</v>
      </c>
      <c r="P206" s="993"/>
      <c r="Q206" s="996"/>
      <c r="R206" s="997"/>
    </row>
    <row r="207" spans="1:18" ht="30" customHeight="1">
      <c r="A207" s="992"/>
      <c r="B207" s="995"/>
      <c r="C207" s="995"/>
      <c r="D207" s="1002"/>
      <c r="E207" s="995"/>
      <c r="F207" s="995"/>
      <c r="G207" s="995"/>
      <c r="H207" s="995"/>
      <c r="I207" s="999"/>
      <c r="J207" s="1000">
        <v>243.93600000000001</v>
      </c>
      <c r="K207" s="993"/>
      <c r="L207" s="993"/>
      <c r="M207" s="993"/>
      <c r="N207" s="993"/>
      <c r="O207" s="993"/>
      <c r="P207" s="993"/>
      <c r="Q207" s="996"/>
      <c r="R207" s="997"/>
    </row>
    <row r="208" spans="1:18" ht="30" customHeight="1">
      <c r="A208" s="992">
        <f>A206+1</f>
        <v>101</v>
      </c>
      <c r="B208" s="995" t="s">
        <v>2413</v>
      </c>
      <c r="C208" s="995" t="s">
        <v>1999</v>
      </c>
      <c r="D208" s="994" t="s">
        <v>3010</v>
      </c>
      <c r="E208" s="995"/>
      <c r="F208" s="995"/>
      <c r="G208" s="995"/>
      <c r="H208" s="995"/>
      <c r="I208" s="999" t="s">
        <v>1767</v>
      </c>
      <c r="J208" s="1000"/>
      <c r="K208" s="1009">
        <f>J203+J205+J207</f>
        <v>923.89099999999996</v>
      </c>
      <c r="L208" s="1009" t="s">
        <v>2967</v>
      </c>
      <c r="M208" s="1009" t="s">
        <v>1009</v>
      </c>
      <c r="N208" s="1009" t="s">
        <v>1009</v>
      </c>
      <c r="O208" s="1009" t="s">
        <v>22</v>
      </c>
      <c r="P208" s="1009"/>
      <c r="Q208" s="996"/>
      <c r="R208" s="1010"/>
    </row>
    <row r="209" spans="1:18" ht="30" customHeight="1">
      <c r="A209" s="992"/>
      <c r="B209" s="995"/>
      <c r="C209" s="995"/>
      <c r="D209" s="1002"/>
      <c r="E209" s="995"/>
      <c r="F209" s="995"/>
      <c r="G209" s="995"/>
      <c r="H209" s="995"/>
      <c r="I209" s="999"/>
      <c r="J209" s="1000">
        <v>406.69200000000001</v>
      </c>
      <c r="K209" s="993"/>
      <c r="L209" s="993"/>
      <c r="M209" s="993"/>
      <c r="N209" s="993"/>
      <c r="O209" s="993"/>
      <c r="P209" s="993"/>
      <c r="Q209" s="1399"/>
      <c r="R209" s="997"/>
    </row>
    <row r="210" spans="1:18" ht="30" customHeight="1">
      <c r="A210" s="992">
        <f>A208+1</f>
        <v>102</v>
      </c>
      <c r="B210" s="1112" t="s">
        <v>2907</v>
      </c>
      <c r="C210" s="995" t="s">
        <v>76</v>
      </c>
      <c r="D210" s="1002"/>
      <c r="E210" s="995"/>
      <c r="F210" s="995"/>
      <c r="G210" s="995"/>
      <c r="H210" s="995"/>
      <c r="I210" s="999" t="s">
        <v>1767</v>
      </c>
      <c r="J210" s="1000"/>
      <c r="K210" s="993"/>
      <c r="L210" s="993" t="s">
        <v>2967</v>
      </c>
      <c r="M210" s="993" t="s">
        <v>1009</v>
      </c>
      <c r="N210" s="993" t="s">
        <v>1009</v>
      </c>
      <c r="O210" s="993" t="s">
        <v>1009</v>
      </c>
      <c r="P210" s="993"/>
      <c r="Q210" s="1400"/>
      <c r="R210" s="997"/>
    </row>
    <row r="211" spans="1:18" ht="30" customHeight="1">
      <c r="A211" s="992"/>
      <c r="B211" s="995"/>
      <c r="C211" s="995"/>
      <c r="D211" s="1002"/>
      <c r="E211" s="995"/>
      <c r="F211" s="995"/>
      <c r="G211" s="995"/>
      <c r="H211" s="995"/>
      <c r="I211" s="999"/>
      <c r="J211" s="1000">
        <v>387.95</v>
      </c>
      <c r="K211" s="993"/>
      <c r="L211" s="993"/>
      <c r="M211" s="993"/>
      <c r="N211" s="993"/>
      <c r="O211" s="993"/>
      <c r="P211" s="993"/>
      <c r="Q211" s="1400"/>
      <c r="R211" s="997"/>
    </row>
    <row r="212" spans="1:18" ht="30" customHeight="1">
      <c r="A212" s="992">
        <f>A210+1</f>
        <v>103</v>
      </c>
      <c r="B212" s="1112" t="s">
        <v>2897</v>
      </c>
      <c r="C212" s="995" t="s">
        <v>76</v>
      </c>
      <c r="D212" s="1002"/>
      <c r="E212" s="995"/>
      <c r="F212" s="995"/>
      <c r="G212" s="995"/>
      <c r="H212" s="995"/>
      <c r="I212" s="999" t="s">
        <v>1767</v>
      </c>
      <c r="J212" s="1000"/>
      <c r="K212" s="993"/>
      <c r="L212" s="993" t="s">
        <v>2967</v>
      </c>
      <c r="M212" s="993" t="s">
        <v>1009</v>
      </c>
      <c r="N212" s="993" t="s">
        <v>1009</v>
      </c>
      <c r="O212" s="993" t="s">
        <v>1009</v>
      </c>
      <c r="P212" s="993"/>
      <c r="Q212" s="1400"/>
      <c r="R212" s="997"/>
    </row>
    <row r="213" spans="1:18" ht="30" customHeight="1">
      <c r="A213" s="992"/>
      <c r="B213" s="995"/>
      <c r="C213" s="995"/>
      <c r="D213" s="1002"/>
      <c r="E213" s="995"/>
      <c r="F213" s="995"/>
      <c r="G213" s="995"/>
      <c r="H213" s="995"/>
      <c r="I213" s="999"/>
      <c r="J213" s="1000">
        <v>401.31700000000001</v>
      </c>
      <c r="K213" s="993"/>
      <c r="L213" s="993"/>
      <c r="M213" s="993"/>
      <c r="N213" s="993"/>
      <c r="O213" s="993"/>
      <c r="P213" s="993"/>
      <c r="Q213" s="1400"/>
      <c r="R213" s="997"/>
    </row>
    <row r="214" spans="1:18" ht="30" customHeight="1">
      <c r="A214" s="992">
        <f>A212+1</f>
        <v>104</v>
      </c>
      <c r="B214" s="1112" t="s">
        <v>3142</v>
      </c>
      <c r="C214" s="995" t="s">
        <v>62</v>
      </c>
      <c r="D214" s="1002"/>
      <c r="E214" s="995"/>
      <c r="F214" s="995"/>
      <c r="G214" s="995"/>
      <c r="H214" s="995"/>
      <c r="I214" s="999" t="s">
        <v>1767</v>
      </c>
      <c r="J214" s="1000"/>
      <c r="K214" s="993">
        <f>J203+J205+J207+J209+J211+J213</f>
        <v>2119.8500000000004</v>
      </c>
      <c r="L214" s="993" t="s">
        <v>2967</v>
      </c>
      <c r="M214" s="993" t="s">
        <v>1009</v>
      </c>
      <c r="N214" s="993" t="s">
        <v>1009</v>
      </c>
      <c r="O214" s="993" t="s">
        <v>1009</v>
      </c>
      <c r="P214" s="993"/>
      <c r="Q214" s="1400"/>
      <c r="R214" s="997"/>
    </row>
    <row r="215" spans="1:18" ht="30" customHeight="1">
      <c r="A215" s="992"/>
      <c r="B215" s="995"/>
      <c r="C215" s="995"/>
      <c r="D215" s="1002"/>
      <c r="E215" s="995"/>
      <c r="F215" s="995"/>
      <c r="G215" s="995"/>
      <c r="H215" s="995"/>
      <c r="I215" s="999"/>
      <c r="J215" s="1000">
        <v>419.63600000000002</v>
      </c>
      <c r="K215" s="993"/>
      <c r="L215" s="993"/>
      <c r="M215" s="993"/>
      <c r="N215" s="993"/>
      <c r="O215" s="993"/>
      <c r="P215" s="993"/>
      <c r="Q215" s="1401"/>
      <c r="R215" s="997"/>
    </row>
    <row r="216" spans="1:18" ht="30" customHeight="1">
      <c r="A216" s="992">
        <f>A214+1</f>
        <v>105</v>
      </c>
      <c r="B216" s="995" t="s">
        <v>3011</v>
      </c>
      <c r="C216" s="995" t="s">
        <v>90</v>
      </c>
      <c r="D216" s="994" t="s">
        <v>3012</v>
      </c>
      <c r="E216" s="995"/>
      <c r="F216" s="995"/>
      <c r="G216" s="995"/>
      <c r="H216" s="995"/>
      <c r="I216" s="999" t="s">
        <v>1767</v>
      </c>
      <c r="J216" s="1000"/>
      <c r="K216" s="993"/>
      <c r="L216" s="993" t="s">
        <v>2967</v>
      </c>
      <c r="M216" s="993" t="s">
        <v>1009</v>
      </c>
      <c r="N216" s="993" t="s">
        <v>1009</v>
      </c>
      <c r="O216" s="993" t="s">
        <v>1009</v>
      </c>
      <c r="P216" s="993"/>
      <c r="Q216" s="996"/>
      <c r="R216" s="997"/>
    </row>
    <row r="217" spans="1:18" ht="30" customHeight="1">
      <c r="A217" s="992"/>
      <c r="B217" s="995"/>
      <c r="C217" s="995"/>
      <c r="D217" s="1002"/>
      <c r="E217" s="995"/>
      <c r="F217" s="995"/>
      <c r="G217" s="995"/>
      <c r="H217" s="995"/>
      <c r="I217" s="999"/>
      <c r="J217" s="1000">
        <v>369.14100000000002</v>
      </c>
      <c r="K217" s="993"/>
      <c r="L217" s="993"/>
      <c r="M217" s="993"/>
      <c r="N217" s="993"/>
      <c r="O217" s="993"/>
      <c r="P217" s="993"/>
      <c r="Q217" s="1399"/>
      <c r="R217" s="997"/>
    </row>
    <row r="218" spans="1:18" ht="30" customHeight="1">
      <c r="A218" s="992">
        <f>A216+1</f>
        <v>106</v>
      </c>
      <c r="B218" s="1112" t="s">
        <v>3160</v>
      </c>
      <c r="C218" s="995" t="s">
        <v>62</v>
      </c>
      <c r="D218" s="1002"/>
      <c r="E218" s="995"/>
      <c r="F218" s="995"/>
      <c r="G218" s="995"/>
      <c r="H218" s="995"/>
      <c r="I218" s="999" t="s">
        <v>1767</v>
      </c>
      <c r="J218" s="1000"/>
      <c r="K218" s="993"/>
      <c r="L218" s="993" t="s">
        <v>2967</v>
      </c>
      <c r="M218" s="993" t="s">
        <v>1009</v>
      </c>
      <c r="N218" s="993" t="s">
        <v>1009</v>
      </c>
      <c r="O218" s="993" t="s">
        <v>1009</v>
      </c>
      <c r="P218" s="993"/>
      <c r="Q218" s="1400"/>
      <c r="R218" s="997"/>
    </row>
    <row r="219" spans="1:18" ht="30" customHeight="1">
      <c r="A219" s="992"/>
      <c r="B219" s="1187"/>
      <c r="C219" s="995"/>
      <c r="D219" s="1002"/>
      <c r="E219" s="995"/>
      <c r="F219" s="995"/>
      <c r="G219" s="995"/>
      <c r="H219" s="995"/>
      <c r="I219" s="999"/>
      <c r="J219" s="1000">
        <v>280.435</v>
      </c>
      <c r="K219" s="993"/>
      <c r="L219" s="993"/>
      <c r="M219" s="993"/>
      <c r="N219" s="993"/>
      <c r="O219" s="993"/>
      <c r="P219" s="993"/>
      <c r="Q219" s="1401"/>
      <c r="R219" s="997"/>
    </row>
    <row r="220" spans="1:18" ht="30" customHeight="1">
      <c r="A220" s="992">
        <f>A218+1</f>
        <v>107</v>
      </c>
      <c r="B220" s="995" t="s">
        <v>3013</v>
      </c>
      <c r="C220" s="995" t="s">
        <v>1269</v>
      </c>
      <c r="D220" s="994" t="s">
        <v>3014</v>
      </c>
      <c r="E220" s="995"/>
      <c r="F220" s="995"/>
      <c r="G220" s="995"/>
      <c r="H220" s="995"/>
      <c r="I220" s="999" t="s">
        <v>1767</v>
      </c>
      <c r="J220" s="1000"/>
      <c r="K220" s="1009">
        <f>J209+J211+J213+J215+J217+J219</f>
        <v>2265.1710000000003</v>
      </c>
      <c r="L220" s="1009" t="s">
        <v>2967</v>
      </c>
      <c r="M220" s="1009" t="s">
        <v>1009</v>
      </c>
      <c r="N220" s="1009" t="s">
        <v>1009</v>
      </c>
      <c r="O220" s="1009" t="s">
        <v>1009</v>
      </c>
      <c r="P220" s="1009"/>
      <c r="Q220" s="996"/>
      <c r="R220" s="1010"/>
    </row>
    <row r="221" spans="1:18" ht="30" customHeight="1">
      <c r="A221" s="992"/>
      <c r="B221" s="995"/>
      <c r="C221" s="995"/>
      <c r="D221" s="1002"/>
      <c r="E221" s="995"/>
      <c r="F221" s="995"/>
      <c r="G221" s="995"/>
      <c r="H221" s="995"/>
      <c r="I221" s="999"/>
      <c r="J221" s="1000">
        <v>392.60300000000001</v>
      </c>
      <c r="K221" s="993"/>
      <c r="L221" s="993"/>
      <c r="M221" s="993"/>
      <c r="N221" s="993"/>
      <c r="O221" s="993"/>
      <c r="P221" s="993"/>
      <c r="Q221" s="1399"/>
      <c r="R221" s="997"/>
    </row>
    <row r="222" spans="1:18" ht="30" customHeight="1">
      <c r="A222" s="992">
        <f>A220+1</f>
        <v>108</v>
      </c>
      <c r="B222" s="1112" t="s">
        <v>3187</v>
      </c>
      <c r="C222" s="995" t="s">
        <v>249</v>
      </c>
      <c r="D222" s="1002"/>
      <c r="E222" s="995"/>
      <c r="F222" s="995"/>
      <c r="G222" s="995"/>
      <c r="H222" s="995"/>
      <c r="I222" s="999" t="s">
        <v>1767</v>
      </c>
      <c r="J222" s="1000"/>
      <c r="K222" s="993"/>
      <c r="L222" s="993" t="s">
        <v>2967</v>
      </c>
      <c r="M222" s="993" t="s">
        <v>1009</v>
      </c>
      <c r="N222" s="993" t="s">
        <v>1009</v>
      </c>
      <c r="O222" s="993"/>
      <c r="P222" s="993"/>
      <c r="Q222" s="1400"/>
      <c r="R222" s="997"/>
    </row>
    <row r="223" spans="1:18" ht="30" customHeight="1">
      <c r="A223" s="992"/>
      <c r="B223" s="995"/>
      <c r="C223" s="995"/>
      <c r="D223" s="1002"/>
      <c r="E223" s="995"/>
      <c r="F223" s="995"/>
      <c r="G223" s="995"/>
      <c r="H223" s="995"/>
      <c r="I223" s="999"/>
      <c r="J223" s="1000">
        <v>384.166</v>
      </c>
      <c r="K223" s="993"/>
      <c r="L223" s="993"/>
      <c r="M223" s="993"/>
      <c r="N223" s="993"/>
      <c r="O223" s="993"/>
      <c r="P223" s="993"/>
      <c r="Q223" s="1401"/>
      <c r="R223" s="997"/>
    </row>
    <row r="224" spans="1:18" ht="30" customHeight="1">
      <c r="A224" s="992">
        <f>A222+1</f>
        <v>109</v>
      </c>
      <c r="B224" s="995" t="s">
        <v>3015</v>
      </c>
      <c r="C224" s="995" t="s">
        <v>1361</v>
      </c>
      <c r="D224" s="994" t="s">
        <v>3016</v>
      </c>
      <c r="E224" s="995"/>
      <c r="F224" s="995"/>
      <c r="G224" s="995"/>
      <c r="H224" s="995"/>
      <c r="I224" s="999" t="s">
        <v>1767</v>
      </c>
      <c r="J224" s="1000"/>
      <c r="K224" s="993"/>
      <c r="L224" s="993" t="s">
        <v>2967</v>
      </c>
      <c r="M224" s="993" t="s">
        <v>1009</v>
      </c>
      <c r="N224" s="993" t="s">
        <v>1009</v>
      </c>
      <c r="O224" s="993"/>
      <c r="P224" s="993"/>
      <c r="Q224" s="996"/>
      <c r="R224" s="997"/>
    </row>
    <row r="225" spans="1:18" ht="30" customHeight="1">
      <c r="A225" s="992"/>
      <c r="B225" s="995"/>
      <c r="C225" s="995"/>
      <c r="D225" s="1002"/>
      <c r="E225" s="995"/>
      <c r="F225" s="995"/>
      <c r="G225" s="995"/>
      <c r="H225" s="995"/>
      <c r="I225" s="999"/>
      <c r="J225" s="1000">
        <v>408.00299999999999</v>
      </c>
      <c r="K225" s="993"/>
      <c r="L225" s="993"/>
      <c r="M225" s="993"/>
      <c r="N225" s="993"/>
      <c r="O225" s="993"/>
      <c r="P225" s="993"/>
      <c r="Q225" s="996"/>
      <c r="R225" s="997"/>
    </row>
    <row r="226" spans="1:18" ht="30" customHeight="1">
      <c r="A226" s="992">
        <f>A224+1</f>
        <v>110</v>
      </c>
      <c r="B226" s="995" t="s">
        <v>3017</v>
      </c>
      <c r="C226" s="995" t="s">
        <v>1277</v>
      </c>
      <c r="D226" s="994" t="s">
        <v>3018</v>
      </c>
      <c r="E226" s="995"/>
      <c r="F226" s="995"/>
      <c r="G226" s="995"/>
      <c r="H226" s="995"/>
      <c r="I226" s="999"/>
      <c r="J226" s="1000"/>
      <c r="K226" s="993"/>
      <c r="L226" s="993" t="s">
        <v>1658</v>
      </c>
      <c r="M226" s="993"/>
      <c r="N226" s="993"/>
      <c r="O226" s="993"/>
      <c r="P226" s="993"/>
      <c r="Q226" s="996"/>
      <c r="R226" s="997"/>
    </row>
    <row r="227" spans="1:18" ht="30" customHeight="1">
      <c r="A227" s="992"/>
      <c r="B227" s="995"/>
      <c r="C227" s="995"/>
      <c r="D227" s="1002"/>
      <c r="E227" s="995"/>
      <c r="F227" s="995"/>
      <c r="G227" s="995"/>
      <c r="H227" s="995"/>
      <c r="I227" s="999"/>
      <c r="J227" s="1000">
        <v>390.238</v>
      </c>
      <c r="K227" s="993"/>
      <c r="L227" s="993"/>
      <c r="M227" s="993"/>
      <c r="N227" s="993"/>
      <c r="O227" s="993"/>
      <c r="P227" s="993"/>
      <c r="Q227" s="996"/>
      <c r="R227" s="997"/>
    </row>
    <row r="228" spans="1:18" ht="30" customHeight="1">
      <c r="A228" s="1041">
        <f>A226+1</f>
        <v>111</v>
      </c>
      <c r="B228" s="995" t="s">
        <v>3019</v>
      </c>
      <c r="C228" s="995" t="s">
        <v>1269</v>
      </c>
      <c r="D228" s="1029" t="s">
        <v>3020</v>
      </c>
      <c r="E228" s="995"/>
      <c r="F228" s="995"/>
      <c r="G228" s="995"/>
      <c r="H228" s="995"/>
      <c r="I228" s="999" t="s">
        <v>1767</v>
      </c>
      <c r="J228" s="999"/>
      <c r="K228" s="1061">
        <f>J221+J223+J225+J227</f>
        <v>1575.01</v>
      </c>
      <c r="L228" s="1043" t="s">
        <v>2967</v>
      </c>
      <c r="M228" s="1043" t="s">
        <v>1009</v>
      </c>
      <c r="N228" s="1043" t="s">
        <v>1009</v>
      </c>
      <c r="O228" s="1043"/>
      <c r="P228" s="1043"/>
      <c r="Q228" s="1044"/>
      <c r="R228" s="1066"/>
    </row>
    <row r="229" spans="1:18" ht="30" customHeight="1">
      <c r="A229" s="992"/>
      <c r="B229" s="995"/>
      <c r="C229" s="995"/>
      <c r="D229" s="1002"/>
      <c r="E229" s="995"/>
      <c r="F229" s="995"/>
      <c r="G229" s="995"/>
      <c r="H229" s="995"/>
      <c r="I229" s="999"/>
      <c r="J229" s="1000">
        <v>360.68299999999999</v>
      </c>
      <c r="K229" s="1009"/>
      <c r="L229" s="1009"/>
      <c r="M229" s="1009"/>
      <c r="N229" s="1009"/>
      <c r="O229" s="1009"/>
      <c r="P229" s="1009"/>
      <c r="Q229" s="1399"/>
      <c r="R229" s="1010"/>
    </row>
    <row r="230" spans="1:18" ht="30" customHeight="1">
      <c r="A230" s="1041">
        <f>A228+1</f>
        <v>112</v>
      </c>
      <c r="B230" s="995" t="s">
        <v>3021</v>
      </c>
      <c r="C230" s="995" t="s">
        <v>53</v>
      </c>
      <c r="D230" s="1006"/>
      <c r="E230" s="995"/>
      <c r="F230" s="995"/>
      <c r="G230" s="995"/>
      <c r="H230" s="995"/>
      <c r="I230" s="999" t="s">
        <v>1767</v>
      </c>
      <c r="J230" s="999"/>
      <c r="K230" s="1061">
        <f>J229</f>
        <v>360.68299999999999</v>
      </c>
      <c r="L230" s="1043" t="s">
        <v>2967</v>
      </c>
      <c r="M230" s="1043" t="s">
        <v>1009</v>
      </c>
      <c r="N230" s="1043" t="s">
        <v>1009</v>
      </c>
      <c r="O230" s="1043"/>
      <c r="P230" s="1043"/>
      <c r="Q230" s="1402"/>
      <c r="R230" s="1066"/>
    </row>
    <row r="231" spans="1:18" ht="30" customHeight="1">
      <c r="A231" s="992"/>
      <c r="B231" s="995"/>
      <c r="C231" s="995"/>
      <c r="D231" s="1002"/>
      <c r="E231" s="995"/>
      <c r="F231" s="995"/>
      <c r="G231" s="995"/>
      <c r="H231" s="995"/>
      <c r="I231" s="999"/>
      <c r="J231" s="1000">
        <v>350.52699999999999</v>
      </c>
      <c r="K231" s="1009"/>
      <c r="L231" s="1009"/>
      <c r="M231" s="1009"/>
      <c r="N231" s="1009"/>
      <c r="O231" s="1009"/>
      <c r="P231" s="1009"/>
      <c r="Q231" s="1401"/>
      <c r="R231" s="997"/>
    </row>
    <row r="232" spans="1:18" ht="30" customHeight="1">
      <c r="A232" s="1041">
        <f>A230+1</f>
        <v>113</v>
      </c>
      <c r="B232" s="995" t="s">
        <v>3022</v>
      </c>
      <c r="C232" s="995" t="s">
        <v>1319</v>
      </c>
      <c r="D232" s="1029" t="s">
        <v>3023</v>
      </c>
      <c r="E232" s="995"/>
      <c r="F232" s="995"/>
      <c r="G232" s="995"/>
      <c r="H232" s="995"/>
      <c r="I232" s="999" t="s">
        <v>1767</v>
      </c>
      <c r="J232" s="999"/>
      <c r="K232" s="1061">
        <f>J231</f>
        <v>350.52699999999999</v>
      </c>
      <c r="L232" s="1043" t="s">
        <v>2967</v>
      </c>
      <c r="M232" s="1043" t="s">
        <v>1009</v>
      </c>
      <c r="N232" s="1043" t="s">
        <v>1009</v>
      </c>
      <c r="O232" s="1043"/>
      <c r="P232" s="1043"/>
      <c r="Q232" s="1044"/>
      <c r="R232" s="1066"/>
    </row>
    <row r="233" spans="1:18" ht="30" customHeight="1">
      <c r="A233" s="992"/>
      <c r="B233" s="995"/>
      <c r="C233" s="995"/>
      <c r="D233" s="1002"/>
      <c r="E233" s="995"/>
      <c r="F233" s="995"/>
      <c r="G233" s="995"/>
      <c r="H233" s="995"/>
      <c r="I233" s="999"/>
      <c r="J233" s="1000">
        <v>380.322</v>
      </c>
      <c r="K233" s="1009"/>
      <c r="L233" s="1009"/>
      <c r="M233" s="1009"/>
      <c r="N233" s="1009"/>
      <c r="O233" s="1009"/>
      <c r="P233" s="1009"/>
      <c r="Q233" s="1399"/>
      <c r="R233" s="997"/>
    </row>
    <row r="234" spans="1:18" ht="30" customHeight="1">
      <c r="A234" s="992">
        <f>A232+1</f>
        <v>114</v>
      </c>
      <c r="B234" s="1112" t="s">
        <v>3161</v>
      </c>
      <c r="C234" s="995" t="s">
        <v>76</v>
      </c>
      <c r="D234" s="1002"/>
      <c r="E234" s="995"/>
      <c r="F234" s="995"/>
      <c r="G234" s="995"/>
      <c r="H234" s="995"/>
      <c r="I234" s="999" t="s">
        <v>1767</v>
      </c>
      <c r="J234" s="1000"/>
      <c r="K234" s="1009">
        <f>J233</f>
        <v>380.322</v>
      </c>
      <c r="L234" s="1009" t="s">
        <v>2967</v>
      </c>
      <c r="M234" s="1009" t="s">
        <v>1009</v>
      </c>
      <c r="N234" s="1009" t="s">
        <v>1009</v>
      </c>
      <c r="O234" s="1009" t="s">
        <v>22</v>
      </c>
      <c r="P234" s="1009"/>
      <c r="Q234" s="1400"/>
      <c r="R234" s="997"/>
    </row>
    <row r="235" spans="1:18" ht="30" customHeight="1">
      <c r="A235" s="992"/>
      <c r="B235" s="995"/>
      <c r="C235" s="995"/>
      <c r="D235" s="1002"/>
      <c r="E235" s="995"/>
      <c r="F235" s="995"/>
      <c r="G235" s="995"/>
      <c r="H235" s="995"/>
      <c r="I235" s="999"/>
      <c r="J235" s="1000">
        <v>331.6</v>
      </c>
      <c r="K235" s="993"/>
      <c r="L235" s="993"/>
      <c r="M235" s="993"/>
      <c r="N235" s="993"/>
      <c r="O235" s="993"/>
      <c r="P235" s="993"/>
      <c r="Q235" s="1401"/>
      <c r="R235" s="997"/>
    </row>
    <row r="236" spans="1:18" ht="30" customHeight="1">
      <c r="A236" s="1041">
        <f>A234+1</f>
        <v>115</v>
      </c>
      <c r="B236" s="995" t="s">
        <v>3024</v>
      </c>
      <c r="C236" s="995" t="s">
        <v>1269</v>
      </c>
      <c r="D236" s="1029" t="s">
        <v>3025</v>
      </c>
      <c r="E236" s="995"/>
      <c r="F236" s="995"/>
      <c r="G236" s="995"/>
      <c r="H236" s="995"/>
      <c r="I236" s="999" t="s">
        <v>1767</v>
      </c>
      <c r="J236" s="999"/>
      <c r="K236" s="1008"/>
      <c r="L236" s="995" t="s">
        <v>2967</v>
      </c>
      <c r="M236" s="995" t="s">
        <v>1009</v>
      </c>
      <c r="N236" s="995" t="s">
        <v>1009</v>
      </c>
      <c r="O236" s="995"/>
      <c r="P236" s="995"/>
      <c r="Q236" s="1044"/>
      <c r="R236" s="1066"/>
    </row>
    <row r="237" spans="1:18" ht="30" customHeight="1">
      <c r="A237" s="992"/>
      <c r="B237" s="995"/>
      <c r="C237" s="995"/>
      <c r="D237" s="1002"/>
      <c r="E237" s="995"/>
      <c r="F237" s="995"/>
      <c r="G237" s="995"/>
      <c r="H237" s="995"/>
      <c r="I237" s="999"/>
      <c r="J237" s="1000">
        <v>406.096</v>
      </c>
      <c r="K237" s="993"/>
      <c r="L237" s="993"/>
      <c r="M237" s="993"/>
      <c r="N237" s="993"/>
      <c r="O237" s="993"/>
      <c r="P237" s="993"/>
      <c r="Q237" s="1399"/>
      <c r="R237" s="997"/>
    </row>
    <row r="238" spans="1:18" ht="30" customHeight="1">
      <c r="A238" s="992">
        <f>A236+1</f>
        <v>116</v>
      </c>
      <c r="B238" s="1112" t="s">
        <v>3186</v>
      </c>
      <c r="C238" s="995" t="s">
        <v>62</v>
      </c>
      <c r="D238" s="1002"/>
      <c r="E238" s="995"/>
      <c r="F238" s="995"/>
      <c r="G238" s="995"/>
      <c r="H238" s="995"/>
      <c r="I238" s="999" t="s">
        <v>1767</v>
      </c>
      <c r="J238" s="1000"/>
      <c r="K238" s="993"/>
      <c r="L238" s="993" t="s">
        <v>2967</v>
      </c>
      <c r="M238" s="993" t="s">
        <v>1009</v>
      </c>
      <c r="N238" s="993" t="s">
        <v>1009</v>
      </c>
      <c r="O238" s="993"/>
      <c r="P238" s="993"/>
      <c r="Q238" s="1400"/>
      <c r="R238" s="997"/>
    </row>
    <row r="239" spans="1:18" ht="30" customHeight="1">
      <c r="A239" s="992"/>
      <c r="B239" s="995"/>
      <c r="C239" s="995"/>
      <c r="D239" s="1002"/>
      <c r="E239" s="995"/>
      <c r="F239" s="995"/>
      <c r="G239" s="995"/>
      <c r="H239" s="995"/>
      <c r="I239" s="999"/>
      <c r="J239" s="1000">
        <v>313.78800000000001</v>
      </c>
      <c r="K239" s="993"/>
      <c r="L239" s="993"/>
      <c r="M239" s="993"/>
      <c r="N239" s="993"/>
      <c r="O239" s="993"/>
      <c r="P239" s="993"/>
      <c r="Q239" s="1401"/>
      <c r="R239" s="997"/>
    </row>
    <row r="240" spans="1:18" ht="30" customHeight="1">
      <c r="A240" s="992">
        <f>A238+1</f>
        <v>117</v>
      </c>
      <c r="B240" s="995" t="s">
        <v>3026</v>
      </c>
      <c r="C240" s="995" t="s">
        <v>1999</v>
      </c>
      <c r="D240" s="994" t="s">
        <v>3027</v>
      </c>
      <c r="E240" s="995">
        <v>1</v>
      </c>
      <c r="F240" s="995">
        <v>1</v>
      </c>
      <c r="G240" s="995">
        <v>1</v>
      </c>
      <c r="H240" s="995">
        <v>1</v>
      </c>
      <c r="I240" s="999"/>
      <c r="J240" s="1000"/>
      <c r="K240" s="993"/>
      <c r="L240" s="993"/>
      <c r="M240" s="993"/>
      <c r="N240" s="993"/>
      <c r="O240" s="993"/>
      <c r="P240" s="993"/>
      <c r="Q240" s="996"/>
      <c r="R240" s="997"/>
    </row>
    <row r="241" spans="1:18" ht="30" customHeight="1">
      <c r="A241" s="992"/>
      <c r="B241" s="995"/>
      <c r="C241" s="995"/>
      <c r="D241" s="1002"/>
      <c r="E241" s="995"/>
      <c r="F241" s="995"/>
      <c r="G241" s="995"/>
      <c r="H241" s="995"/>
      <c r="I241" s="999"/>
      <c r="J241" s="1000">
        <v>413.22300000000001</v>
      </c>
      <c r="K241" s="993"/>
      <c r="L241" s="993"/>
      <c r="M241" s="993"/>
      <c r="N241" s="993"/>
      <c r="O241" s="993"/>
      <c r="P241" s="993"/>
      <c r="Q241" s="996"/>
      <c r="R241" s="997"/>
    </row>
    <row r="242" spans="1:18" ht="30" customHeight="1">
      <c r="A242" s="1041">
        <f>A240+1</f>
        <v>118</v>
      </c>
      <c r="B242" s="995" t="s">
        <v>2411</v>
      </c>
      <c r="C242" s="995" t="s">
        <v>1939</v>
      </c>
      <c r="D242" s="1029" t="s">
        <v>3028</v>
      </c>
      <c r="E242" s="995"/>
      <c r="F242" s="995"/>
      <c r="G242" s="995"/>
      <c r="H242" s="995"/>
      <c r="I242" s="999" t="s">
        <v>1767</v>
      </c>
      <c r="J242" s="999"/>
      <c r="K242" s="1008"/>
      <c r="L242" s="995" t="s">
        <v>2967</v>
      </c>
      <c r="M242" s="995" t="s">
        <v>1009</v>
      </c>
      <c r="N242" s="1009" t="s">
        <v>1009</v>
      </c>
      <c r="O242" s="995" t="s">
        <v>22</v>
      </c>
      <c r="P242" s="995"/>
      <c r="Q242" s="1044"/>
      <c r="R242" s="1066"/>
    </row>
    <row r="243" spans="1:18" ht="30" customHeight="1">
      <c r="A243" s="992"/>
      <c r="B243" s="995"/>
      <c r="C243" s="995"/>
      <c r="D243" s="1002"/>
      <c r="E243" s="995"/>
      <c r="F243" s="995"/>
      <c r="G243" s="995"/>
      <c r="H243" s="995"/>
      <c r="I243" s="999"/>
      <c r="J243" s="1000">
        <v>297.53899999999999</v>
      </c>
      <c r="K243" s="993"/>
      <c r="L243" s="993"/>
      <c r="M243" s="993"/>
      <c r="N243" s="993"/>
      <c r="O243" s="993"/>
      <c r="P243" s="993"/>
      <c r="Q243" s="1399"/>
      <c r="R243" s="997"/>
    </row>
    <row r="244" spans="1:18" ht="30" customHeight="1">
      <c r="A244" s="1041">
        <f>A242+1</f>
        <v>119</v>
      </c>
      <c r="B244" s="1112" t="s">
        <v>3249</v>
      </c>
      <c r="C244" s="995" t="s">
        <v>76</v>
      </c>
      <c r="D244" s="1006"/>
      <c r="E244" s="995"/>
      <c r="F244" s="995"/>
      <c r="G244" s="995"/>
      <c r="H244" s="995"/>
      <c r="I244" s="999" t="s">
        <v>1767</v>
      </c>
      <c r="J244" s="999"/>
      <c r="K244" s="1008"/>
      <c r="L244" s="995" t="s">
        <v>2967</v>
      </c>
      <c r="M244" s="995" t="s">
        <v>1009</v>
      </c>
      <c r="N244" s="1009" t="s">
        <v>1009</v>
      </c>
      <c r="O244" s="995"/>
      <c r="P244" s="995"/>
      <c r="Q244" s="1402"/>
      <c r="R244" s="1066"/>
    </row>
    <row r="245" spans="1:18" ht="30" customHeight="1">
      <c r="A245" s="992"/>
      <c r="B245" s="995"/>
      <c r="C245" s="995"/>
      <c r="D245" s="1002"/>
      <c r="E245" s="995"/>
      <c r="F245" s="995"/>
      <c r="G245" s="995"/>
      <c r="H245" s="995"/>
      <c r="I245" s="999"/>
      <c r="J245" s="1000">
        <v>283.67099999999999</v>
      </c>
      <c r="K245" s="993"/>
      <c r="L245" s="993"/>
      <c r="M245" s="993"/>
      <c r="N245" s="993"/>
      <c r="O245" s="993"/>
      <c r="P245" s="993"/>
      <c r="Q245" s="1401"/>
      <c r="R245" s="997"/>
    </row>
    <row r="246" spans="1:18" ht="30" customHeight="1">
      <c r="A246" s="992">
        <f>A244+1</f>
        <v>120</v>
      </c>
      <c r="B246" s="995" t="s">
        <v>2412</v>
      </c>
      <c r="C246" s="995" t="s">
        <v>1269</v>
      </c>
      <c r="D246" s="994"/>
      <c r="E246" s="995"/>
      <c r="F246" s="995"/>
      <c r="G246" s="995"/>
      <c r="H246" s="995"/>
      <c r="I246" s="999"/>
      <c r="J246" s="1000"/>
      <c r="K246" s="993"/>
      <c r="L246" s="993" t="s">
        <v>1658</v>
      </c>
      <c r="M246" s="993"/>
      <c r="N246" s="993"/>
      <c r="O246" s="993"/>
      <c r="P246" s="993"/>
      <c r="Q246" s="996"/>
      <c r="R246" s="997"/>
    </row>
    <row r="247" spans="1:18" ht="30" customHeight="1">
      <c r="A247" s="992"/>
      <c r="B247" s="995"/>
      <c r="C247" s="995"/>
      <c r="D247" s="1002"/>
      <c r="E247" s="995"/>
      <c r="F247" s="995"/>
      <c r="G247" s="995"/>
      <c r="H247" s="995"/>
      <c r="I247" s="999"/>
      <c r="J247" s="1000">
        <v>378.12</v>
      </c>
      <c r="K247" s="993"/>
      <c r="L247" s="993"/>
      <c r="M247" s="993"/>
      <c r="N247" s="993"/>
      <c r="O247" s="993"/>
      <c r="P247" s="993"/>
      <c r="Q247" s="996"/>
      <c r="R247" s="997"/>
    </row>
    <row r="248" spans="1:18" ht="30" customHeight="1">
      <c r="A248" s="992">
        <f>A246+1</f>
        <v>121</v>
      </c>
      <c r="B248" s="995" t="s">
        <v>3029</v>
      </c>
      <c r="C248" s="995" t="s">
        <v>1992</v>
      </c>
      <c r="D248" s="994" t="s">
        <v>3030</v>
      </c>
      <c r="E248" s="995"/>
      <c r="F248" s="995"/>
      <c r="G248" s="995"/>
      <c r="H248" s="995"/>
      <c r="I248" s="999" t="s">
        <v>2768</v>
      </c>
      <c r="J248" s="1000"/>
      <c r="K248" s="993"/>
      <c r="L248" s="993" t="s">
        <v>2967</v>
      </c>
      <c r="M248" s="993" t="s">
        <v>22</v>
      </c>
      <c r="N248" s="993"/>
      <c r="O248" s="993"/>
      <c r="P248" s="993"/>
      <c r="Q248" s="996"/>
      <c r="R248" s="997"/>
    </row>
    <row r="249" spans="1:18" ht="30" customHeight="1">
      <c r="A249" s="992"/>
      <c r="B249" s="995"/>
      <c r="C249" s="995"/>
      <c r="D249" s="1006"/>
      <c r="E249" s="995"/>
      <c r="F249" s="995"/>
      <c r="G249" s="995"/>
      <c r="H249" s="995"/>
      <c r="I249" s="999"/>
      <c r="J249" s="1000">
        <v>249.17599999999999</v>
      </c>
      <c r="K249" s="993"/>
      <c r="L249" s="993"/>
      <c r="M249" s="993"/>
      <c r="N249" s="993"/>
      <c r="O249" s="993"/>
      <c r="P249" s="993"/>
      <c r="Q249" s="996"/>
      <c r="R249" s="1003" t="s">
        <v>3031</v>
      </c>
    </row>
    <row r="250" spans="1:18" ht="30" customHeight="1">
      <c r="A250" s="992">
        <f>A248+1</f>
        <v>122</v>
      </c>
      <c r="B250" s="995" t="s">
        <v>3032</v>
      </c>
      <c r="C250" s="995" t="s">
        <v>2027</v>
      </c>
      <c r="D250" s="994" t="s">
        <v>3033</v>
      </c>
      <c r="E250" s="995"/>
      <c r="F250" s="995"/>
      <c r="G250" s="995"/>
      <c r="H250" s="995"/>
      <c r="I250" s="999"/>
      <c r="J250" s="1000"/>
      <c r="K250" s="993"/>
      <c r="L250" s="993" t="s">
        <v>2967</v>
      </c>
      <c r="M250" s="993"/>
      <c r="N250" s="993"/>
      <c r="O250" s="993"/>
      <c r="P250" s="993"/>
      <c r="Q250" s="996"/>
      <c r="R250" s="997"/>
    </row>
    <row r="251" spans="1:18" ht="30" customHeight="1">
      <c r="A251" s="992"/>
      <c r="B251" s="995"/>
      <c r="C251" s="995"/>
      <c r="D251" s="1002"/>
      <c r="E251" s="995"/>
      <c r="F251" s="995"/>
      <c r="G251" s="995"/>
      <c r="H251" s="995"/>
      <c r="I251" s="999"/>
      <c r="J251" s="1000">
        <v>198.71899999999999</v>
      </c>
      <c r="K251" s="993"/>
      <c r="L251" s="993"/>
      <c r="M251" s="993"/>
      <c r="N251" s="993"/>
      <c r="O251" s="993"/>
      <c r="P251" s="993"/>
      <c r="Q251" s="996"/>
      <c r="R251" s="997"/>
    </row>
    <row r="252" spans="1:18" ht="30" customHeight="1">
      <c r="A252" s="992">
        <f>A250+1</f>
        <v>123</v>
      </c>
      <c r="B252" s="995" t="s">
        <v>3034</v>
      </c>
      <c r="C252" s="995" t="s">
        <v>1319</v>
      </c>
      <c r="D252" s="994" t="s">
        <v>3035</v>
      </c>
      <c r="E252" s="995"/>
      <c r="F252" s="995"/>
      <c r="G252" s="995"/>
      <c r="H252" s="995"/>
      <c r="I252" s="999"/>
      <c r="J252" s="1000"/>
      <c r="K252" s="993"/>
      <c r="L252" s="993"/>
      <c r="M252" s="993"/>
      <c r="N252" s="993"/>
      <c r="O252" s="993"/>
      <c r="P252" s="993"/>
      <c r="Q252" s="996"/>
      <c r="R252" s="997"/>
    </row>
    <row r="253" spans="1:18" ht="30" customHeight="1">
      <c r="A253" s="992"/>
      <c r="B253" s="995"/>
      <c r="C253" s="995"/>
      <c r="D253" s="1002"/>
      <c r="E253" s="995"/>
      <c r="F253" s="995"/>
      <c r="G253" s="995"/>
      <c r="H253" s="995"/>
      <c r="I253" s="999"/>
      <c r="J253" s="1000">
        <v>287.04700000000003</v>
      </c>
      <c r="K253" s="993"/>
      <c r="L253" s="993"/>
      <c r="M253" s="993"/>
      <c r="N253" s="993"/>
      <c r="O253" s="993"/>
      <c r="P253" s="993"/>
      <c r="Q253" s="996"/>
      <c r="R253" s="997"/>
    </row>
    <row r="254" spans="1:18" ht="30" customHeight="1">
      <c r="A254" s="992">
        <f>A252+1</f>
        <v>124</v>
      </c>
      <c r="B254" s="995" t="s">
        <v>3036</v>
      </c>
      <c r="C254" s="995" t="s">
        <v>1277</v>
      </c>
      <c r="D254" s="994" t="s">
        <v>3037</v>
      </c>
      <c r="E254" s="995"/>
      <c r="F254" s="995"/>
      <c r="G254" s="995"/>
      <c r="H254" s="995"/>
      <c r="I254" s="999" t="s">
        <v>1767</v>
      </c>
      <c r="J254" s="1000"/>
      <c r="K254" s="993"/>
      <c r="L254" s="993" t="s">
        <v>2967</v>
      </c>
      <c r="M254" s="993" t="s">
        <v>1009</v>
      </c>
      <c r="N254" s="993"/>
      <c r="O254" s="993"/>
      <c r="P254" s="993"/>
      <c r="Q254" s="996"/>
      <c r="R254" s="997"/>
    </row>
    <row r="255" spans="1:18" ht="30" customHeight="1">
      <c r="A255" s="992"/>
      <c r="B255" s="995"/>
      <c r="C255" s="995"/>
      <c r="D255" s="1002"/>
      <c r="E255" s="995"/>
      <c r="F255" s="995"/>
      <c r="G255" s="995"/>
      <c r="H255" s="995"/>
      <c r="I255" s="999"/>
      <c r="J255" s="1000">
        <v>317.654</v>
      </c>
      <c r="K255" s="993"/>
      <c r="L255" s="993"/>
      <c r="M255" s="993"/>
      <c r="N255" s="993"/>
      <c r="O255" s="993"/>
      <c r="P255" s="993"/>
      <c r="Q255" s="996"/>
      <c r="R255" s="997"/>
    </row>
    <row r="256" spans="1:18" ht="30" customHeight="1">
      <c r="A256" s="992">
        <f>A254+1</f>
        <v>125</v>
      </c>
      <c r="B256" s="995" t="s">
        <v>3038</v>
      </c>
      <c r="C256" s="995" t="s">
        <v>2027</v>
      </c>
      <c r="D256" s="994" t="s">
        <v>3039</v>
      </c>
      <c r="E256" s="995"/>
      <c r="F256" s="995"/>
      <c r="G256" s="995"/>
      <c r="H256" s="995"/>
      <c r="I256" s="999"/>
      <c r="J256" s="1000"/>
      <c r="K256" s="1009">
        <f>J235+J237+J239+J241+J243+J245+J247+J249+J251+J253+J255</f>
        <v>3476.6329999999998</v>
      </c>
      <c r="L256" s="1009"/>
      <c r="M256" s="1009"/>
      <c r="N256" s="1009"/>
      <c r="O256" s="1009"/>
      <c r="P256" s="1009"/>
      <c r="Q256" s="996"/>
      <c r="R256" s="1010"/>
    </row>
    <row r="257" spans="1:18" ht="30" customHeight="1">
      <c r="A257" s="992"/>
      <c r="B257" s="995"/>
      <c r="C257" s="995"/>
      <c r="D257" s="1006"/>
      <c r="E257" s="995"/>
      <c r="F257" s="995"/>
      <c r="G257" s="995"/>
      <c r="H257" s="995"/>
      <c r="I257" s="999"/>
      <c r="J257" s="1000">
        <v>245.547</v>
      </c>
      <c r="K257" s="1009"/>
      <c r="L257" s="1009"/>
      <c r="M257" s="1009"/>
      <c r="N257" s="1009"/>
      <c r="O257" s="1009"/>
      <c r="P257" s="1009"/>
      <c r="Q257" s="996"/>
      <c r="R257" s="1011" t="s">
        <v>3031</v>
      </c>
    </row>
    <row r="258" spans="1:18" ht="30" customHeight="1">
      <c r="A258" s="992">
        <f>A256+1</f>
        <v>126</v>
      </c>
      <c r="B258" s="995" t="s">
        <v>3040</v>
      </c>
      <c r="C258" s="995" t="s">
        <v>1992</v>
      </c>
      <c r="D258" s="994" t="s">
        <v>3041</v>
      </c>
      <c r="E258" s="995"/>
      <c r="F258" s="995"/>
      <c r="G258" s="995"/>
      <c r="H258" s="995"/>
      <c r="I258" s="999"/>
      <c r="J258" s="1000"/>
      <c r="K258" s="1009"/>
      <c r="L258" s="1009"/>
      <c r="M258" s="1009"/>
      <c r="N258" s="1009"/>
      <c r="O258" s="1009"/>
      <c r="P258" s="1009"/>
      <c r="Q258" s="996"/>
      <c r="R258" s="1010"/>
    </row>
    <row r="259" spans="1:18" ht="30" customHeight="1">
      <c r="A259" s="992"/>
      <c r="B259" s="995"/>
      <c r="C259" s="995"/>
      <c r="D259" s="1002"/>
      <c r="E259" s="995"/>
      <c r="F259" s="995"/>
      <c r="G259" s="995"/>
      <c r="H259" s="995"/>
      <c r="I259" s="999"/>
      <c r="J259" s="1000">
        <v>342.98599999999999</v>
      </c>
      <c r="K259" s="1009"/>
      <c r="L259" s="1009"/>
      <c r="M259" s="1009"/>
      <c r="N259" s="1009"/>
      <c r="O259" s="1009"/>
      <c r="P259" s="1009"/>
      <c r="Q259" s="996"/>
      <c r="R259" s="1010"/>
    </row>
    <row r="260" spans="1:18" ht="30" customHeight="1">
      <c r="A260" s="992">
        <f>A258+1</f>
        <v>127</v>
      </c>
      <c r="B260" s="995" t="s">
        <v>3042</v>
      </c>
      <c r="C260" s="995" t="s">
        <v>1269</v>
      </c>
      <c r="D260" s="994"/>
      <c r="E260" s="995"/>
      <c r="F260" s="995"/>
      <c r="G260" s="995"/>
      <c r="H260" s="995"/>
      <c r="I260" s="999" t="s">
        <v>1767</v>
      </c>
      <c r="J260" s="1000"/>
      <c r="K260" s="1009"/>
      <c r="L260" s="1009" t="s">
        <v>2967</v>
      </c>
      <c r="M260" s="1009" t="s">
        <v>1009</v>
      </c>
      <c r="N260" s="1009"/>
      <c r="O260" s="1009"/>
      <c r="P260" s="1009"/>
      <c r="Q260" s="996"/>
      <c r="R260" s="1010"/>
    </row>
    <row r="261" spans="1:18" ht="30" customHeight="1">
      <c r="A261" s="992"/>
      <c r="B261" s="995"/>
      <c r="C261" s="995"/>
      <c r="D261" s="1002"/>
      <c r="E261" s="995"/>
      <c r="F261" s="995"/>
      <c r="G261" s="995"/>
      <c r="H261" s="995"/>
      <c r="I261" s="999"/>
      <c r="J261" s="1000">
        <v>384.06400000000002</v>
      </c>
      <c r="K261" s="1009"/>
      <c r="L261" s="1009"/>
      <c r="M261" s="1009"/>
      <c r="N261" s="1009"/>
      <c r="O261" s="1009"/>
      <c r="P261" s="1009"/>
      <c r="Q261" s="996"/>
      <c r="R261" s="1010"/>
    </row>
    <row r="262" spans="1:18" ht="30" customHeight="1">
      <c r="A262" s="992">
        <f>A260+1</f>
        <v>128</v>
      </c>
      <c r="B262" s="995" t="s">
        <v>3043</v>
      </c>
      <c r="C262" s="995" t="s">
        <v>1269</v>
      </c>
      <c r="D262" s="994" t="s">
        <v>2473</v>
      </c>
      <c r="E262" s="995"/>
      <c r="F262" s="995"/>
      <c r="G262" s="995"/>
      <c r="H262" s="995"/>
      <c r="I262" s="999" t="s">
        <v>1767</v>
      </c>
      <c r="J262" s="1001"/>
      <c r="K262" s="1009"/>
      <c r="L262" s="1009" t="s">
        <v>2967</v>
      </c>
      <c r="M262" s="1009" t="s">
        <v>1009</v>
      </c>
      <c r="N262" s="1009" t="s">
        <v>1009</v>
      </c>
      <c r="O262" s="1009" t="s">
        <v>1009</v>
      </c>
      <c r="P262" s="1009"/>
      <c r="Q262" s="996"/>
      <c r="R262" s="1010"/>
    </row>
    <row r="263" spans="1:18" ht="30" customHeight="1">
      <c r="A263" s="992"/>
      <c r="B263" s="995"/>
      <c r="C263" s="995"/>
      <c r="D263" s="994"/>
      <c r="E263" s="995"/>
      <c r="F263" s="995"/>
      <c r="G263" s="995"/>
      <c r="H263" s="995"/>
      <c r="I263" s="999"/>
      <c r="J263" s="1000">
        <v>373</v>
      </c>
      <c r="K263" s="1009"/>
      <c r="L263" s="1009"/>
      <c r="M263" s="1009"/>
      <c r="N263" s="1009"/>
      <c r="O263" s="1009"/>
      <c r="P263" s="1009"/>
      <c r="Q263" s="1399"/>
      <c r="R263" s="1010"/>
    </row>
    <row r="264" spans="1:18" ht="30" customHeight="1">
      <c r="A264" s="992">
        <f>A262+1</f>
        <v>129</v>
      </c>
      <c r="B264" s="995" t="s">
        <v>2474</v>
      </c>
      <c r="C264" s="995" t="s">
        <v>53</v>
      </c>
      <c r="D264" s="994"/>
      <c r="E264" s="995"/>
      <c r="F264" s="995"/>
      <c r="G264" s="995"/>
      <c r="H264" s="995"/>
      <c r="I264" s="999" t="s">
        <v>1767</v>
      </c>
      <c r="J264" s="1000"/>
      <c r="K264" s="1009"/>
      <c r="L264" s="1009" t="s">
        <v>2967</v>
      </c>
      <c r="M264" s="1009" t="s">
        <v>1009</v>
      </c>
      <c r="N264" s="1009" t="s">
        <v>1009</v>
      </c>
      <c r="O264" s="1009"/>
      <c r="P264" s="1009"/>
      <c r="Q264" s="1400"/>
      <c r="R264" s="1010"/>
    </row>
    <row r="265" spans="1:18" ht="30" customHeight="1">
      <c r="A265" s="992"/>
      <c r="B265" s="995"/>
      <c r="C265" s="995"/>
      <c r="D265" s="994"/>
      <c r="E265" s="995"/>
      <c r="F265" s="995"/>
      <c r="G265" s="995"/>
      <c r="H265" s="995"/>
      <c r="I265" s="999"/>
      <c r="J265" s="1000">
        <v>378</v>
      </c>
      <c r="K265" s="1009"/>
      <c r="L265" s="1009"/>
      <c r="M265" s="1009"/>
      <c r="N265" s="1009"/>
      <c r="O265" s="1009"/>
      <c r="P265" s="1009"/>
      <c r="Q265" s="1401"/>
      <c r="R265" s="1011" t="s">
        <v>3279</v>
      </c>
    </row>
    <row r="266" spans="1:18" ht="30" customHeight="1">
      <c r="A266" s="992">
        <f>A264+1</f>
        <v>130</v>
      </c>
      <c r="B266" s="995" t="s">
        <v>3044</v>
      </c>
      <c r="C266" s="1042" t="s">
        <v>915</v>
      </c>
      <c r="D266" s="1029"/>
      <c r="E266" s="995"/>
      <c r="F266" s="995"/>
      <c r="G266" s="995"/>
      <c r="H266" s="995"/>
      <c r="I266" s="999" t="s">
        <v>897</v>
      </c>
      <c r="J266" s="1000"/>
      <c r="K266" s="1009"/>
      <c r="L266" s="1009" t="s">
        <v>2967</v>
      </c>
      <c r="M266" s="1009" t="s">
        <v>1009</v>
      </c>
      <c r="N266" s="1009" t="s">
        <v>1009</v>
      </c>
      <c r="O266" s="1009"/>
      <c r="P266" s="1009"/>
      <c r="Q266" s="996"/>
      <c r="R266" s="1010"/>
    </row>
    <row r="267" spans="1:18" ht="30" customHeight="1">
      <c r="A267" s="992"/>
      <c r="B267" s="995"/>
      <c r="C267" s="995"/>
      <c r="D267" s="1029"/>
      <c r="E267" s="995"/>
      <c r="F267" s="995"/>
      <c r="G267" s="995"/>
      <c r="H267" s="995"/>
      <c r="I267" s="999"/>
      <c r="J267" s="1000">
        <v>283</v>
      </c>
      <c r="K267" s="1009"/>
      <c r="L267" s="1009"/>
      <c r="M267" s="1009"/>
      <c r="N267" s="1009"/>
      <c r="O267" s="1009"/>
      <c r="P267" s="1009"/>
      <c r="Q267" s="996"/>
      <c r="R267" s="1010"/>
    </row>
    <row r="268" spans="1:18" ht="30" customHeight="1">
      <c r="A268" s="992">
        <f>A266+1</f>
        <v>131</v>
      </c>
      <c r="B268" s="995" t="s">
        <v>2477</v>
      </c>
      <c r="C268" s="995" t="s">
        <v>76</v>
      </c>
      <c r="D268" s="1029"/>
      <c r="E268" s="995"/>
      <c r="F268" s="995"/>
      <c r="G268" s="995"/>
      <c r="H268" s="995"/>
      <c r="I268" s="999" t="s">
        <v>1767</v>
      </c>
      <c r="J268" s="1000"/>
      <c r="K268" s="1009"/>
      <c r="L268" s="1009" t="s">
        <v>2967</v>
      </c>
      <c r="M268" s="1009" t="s">
        <v>1009</v>
      </c>
      <c r="N268" s="1009" t="s">
        <v>1009</v>
      </c>
      <c r="O268" s="1009"/>
      <c r="P268" s="1009"/>
      <c r="Q268" s="996"/>
      <c r="R268" s="1010"/>
    </row>
    <row r="269" spans="1:18" ht="30" customHeight="1">
      <c r="A269" s="992"/>
      <c r="B269" s="995"/>
      <c r="C269" s="995"/>
      <c r="D269" s="1029"/>
      <c r="E269" s="995"/>
      <c r="F269" s="995"/>
      <c r="G269" s="995"/>
      <c r="H269" s="995"/>
      <c r="I269" s="999"/>
      <c r="J269" s="1000">
        <v>232.01499999999999</v>
      </c>
      <c r="K269" s="1009"/>
      <c r="L269" s="1009"/>
      <c r="M269" s="1009"/>
      <c r="N269" s="1009"/>
      <c r="O269" s="1009"/>
      <c r="P269" s="1009"/>
      <c r="Q269" s="996"/>
      <c r="R269" s="1010"/>
    </row>
    <row r="270" spans="1:18" ht="30" customHeight="1">
      <c r="A270" s="992">
        <f>A268+1</f>
        <v>132</v>
      </c>
      <c r="B270" s="995" t="s">
        <v>3045</v>
      </c>
      <c r="C270" s="995" t="s">
        <v>1269</v>
      </c>
      <c r="D270" s="1029" t="s">
        <v>3278</v>
      </c>
      <c r="E270" s="995"/>
      <c r="F270" s="995"/>
      <c r="G270" s="995"/>
      <c r="H270" s="995"/>
      <c r="I270" s="999" t="s">
        <v>1767</v>
      </c>
      <c r="J270" s="1000"/>
      <c r="K270" s="1009"/>
      <c r="L270" s="1009" t="s">
        <v>2967</v>
      </c>
      <c r="M270" s="1009" t="s">
        <v>1009</v>
      </c>
      <c r="N270" s="1009" t="s">
        <v>1009</v>
      </c>
      <c r="O270" s="1009" t="s">
        <v>1009</v>
      </c>
      <c r="P270" s="1009"/>
      <c r="Q270" s="996"/>
      <c r="R270" s="1010"/>
    </row>
    <row r="271" spans="1:18" ht="30" customHeight="1">
      <c r="A271" s="992"/>
      <c r="B271" s="995"/>
      <c r="C271" s="995"/>
      <c r="D271" s="994"/>
      <c r="E271" s="995"/>
      <c r="F271" s="995"/>
      <c r="G271" s="995"/>
      <c r="H271" s="995"/>
      <c r="I271" s="999"/>
      <c r="J271" s="1000">
        <v>323.18599999999998</v>
      </c>
      <c r="K271" s="1009"/>
      <c r="L271" s="1009"/>
      <c r="M271" s="1009"/>
      <c r="N271" s="1009"/>
      <c r="O271" s="1009"/>
      <c r="P271" s="1009"/>
      <c r="Q271" s="1399"/>
      <c r="R271" s="1010"/>
    </row>
    <row r="272" spans="1:18" ht="30" customHeight="1">
      <c r="A272" s="992">
        <f>A270+1</f>
        <v>133</v>
      </c>
      <c r="B272" s="995" t="s">
        <v>2402</v>
      </c>
      <c r="C272" s="995" t="s">
        <v>76</v>
      </c>
      <c r="D272" s="994"/>
      <c r="E272" s="995"/>
      <c r="F272" s="995"/>
      <c r="G272" s="995"/>
      <c r="H272" s="995"/>
      <c r="I272" s="999" t="s">
        <v>1767</v>
      </c>
      <c r="J272" s="1000"/>
      <c r="K272" s="1009"/>
      <c r="L272" s="1009" t="s">
        <v>2967</v>
      </c>
      <c r="M272" s="1009" t="s">
        <v>1009</v>
      </c>
      <c r="N272" s="1009"/>
      <c r="O272" s="1009" t="s">
        <v>1009</v>
      </c>
      <c r="P272" s="1009"/>
      <c r="Q272" s="1400"/>
      <c r="R272" s="1010"/>
    </row>
    <row r="273" spans="1:18" ht="30" customHeight="1">
      <c r="A273" s="992"/>
      <c r="B273" s="995"/>
      <c r="C273" s="995"/>
      <c r="D273" s="994"/>
      <c r="E273" s="995"/>
      <c r="F273" s="995"/>
      <c r="G273" s="995"/>
      <c r="H273" s="995"/>
      <c r="I273" s="999"/>
      <c r="J273" s="1000">
        <v>351.47500000000002</v>
      </c>
      <c r="K273" s="1009"/>
      <c r="L273" s="1009"/>
      <c r="M273" s="1009"/>
      <c r="N273" s="1009"/>
      <c r="O273" s="1009"/>
      <c r="P273" s="1009"/>
      <c r="Q273" s="1400"/>
      <c r="R273" s="1010"/>
    </row>
    <row r="274" spans="1:18" ht="30" customHeight="1">
      <c r="A274" s="992">
        <f>A272+1</f>
        <v>134</v>
      </c>
      <c r="B274" s="995" t="s">
        <v>2480</v>
      </c>
      <c r="C274" s="995" t="s">
        <v>62</v>
      </c>
      <c r="D274" s="994"/>
      <c r="E274" s="995"/>
      <c r="F274" s="995"/>
      <c r="G274" s="995"/>
      <c r="H274" s="995"/>
      <c r="I274" s="999" t="s">
        <v>1767</v>
      </c>
      <c r="J274" s="1000"/>
      <c r="K274" s="1009"/>
      <c r="L274" s="1009" t="s">
        <v>2967</v>
      </c>
      <c r="M274" s="1009" t="s">
        <v>1009</v>
      </c>
      <c r="N274" s="1009" t="s">
        <v>1009</v>
      </c>
      <c r="O274" s="1009" t="s">
        <v>1009</v>
      </c>
      <c r="P274" s="1009"/>
      <c r="Q274" s="1400"/>
      <c r="R274" s="1010"/>
    </row>
    <row r="275" spans="1:18" ht="30" customHeight="1">
      <c r="A275" s="992"/>
      <c r="B275" s="995"/>
      <c r="C275" s="995"/>
      <c r="D275" s="994"/>
      <c r="E275" s="995"/>
      <c r="F275" s="995"/>
      <c r="G275" s="995"/>
      <c r="H275" s="995"/>
      <c r="I275" s="999"/>
      <c r="J275" s="1000">
        <v>368.87400000000002</v>
      </c>
      <c r="K275" s="1009"/>
      <c r="L275" s="1009"/>
      <c r="M275" s="1009"/>
      <c r="N275" s="1009"/>
      <c r="O275" s="1009"/>
      <c r="P275" s="1009"/>
      <c r="Q275" s="1400"/>
      <c r="R275" s="1010"/>
    </row>
    <row r="276" spans="1:18" ht="30" customHeight="1">
      <c r="A276" s="992">
        <f>A274+1</f>
        <v>135</v>
      </c>
      <c r="B276" s="995" t="s">
        <v>2403</v>
      </c>
      <c r="C276" s="995" t="s">
        <v>76</v>
      </c>
      <c r="D276" s="994"/>
      <c r="E276" s="995"/>
      <c r="F276" s="995"/>
      <c r="G276" s="995"/>
      <c r="H276" s="995"/>
      <c r="I276" s="999" t="s">
        <v>1767</v>
      </c>
      <c r="J276" s="1000"/>
      <c r="K276" s="1009"/>
      <c r="L276" s="1009" t="s">
        <v>2967</v>
      </c>
      <c r="M276" s="1009" t="s">
        <v>1009</v>
      </c>
      <c r="N276" s="1009" t="s">
        <v>1009</v>
      </c>
      <c r="O276" s="1009" t="s">
        <v>1009</v>
      </c>
      <c r="P276" s="1009"/>
      <c r="Q276" s="1400"/>
      <c r="R276" s="1010"/>
    </row>
    <row r="277" spans="1:18" ht="30" customHeight="1">
      <c r="A277" s="992"/>
      <c r="B277" s="995"/>
      <c r="C277" s="995"/>
      <c r="D277" s="994"/>
      <c r="E277" s="995"/>
      <c r="F277" s="995"/>
      <c r="G277" s="995"/>
      <c r="H277" s="995"/>
      <c r="I277" s="999"/>
      <c r="J277" s="1000">
        <v>366.14699999999999</v>
      </c>
      <c r="K277" s="1009"/>
      <c r="L277" s="1009"/>
      <c r="M277" s="1009"/>
      <c r="N277" s="1009"/>
      <c r="O277" s="1009"/>
      <c r="P277" s="1009"/>
      <c r="Q277" s="1401"/>
      <c r="R277" s="1010"/>
    </row>
    <row r="278" spans="1:18" ht="30" customHeight="1">
      <c r="A278" s="992">
        <f>A276+1</f>
        <v>136</v>
      </c>
      <c r="B278" s="995" t="s">
        <v>3046</v>
      </c>
      <c r="C278" s="995" t="s">
        <v>1277</v>
      </c>
      <c r="D278" s="994" t="s">
        <v>2482</v>
      </c>
      <c r="E278" s="995"/>
      <c r="F278" s="995"/>
      <c r="G278" s="995"/>
      <c r="H278" s="995"/>
      <c r="I278" s="999" t="s">
        <v>1767</v>
      </c>
      <c r="J278" s="1000"/>
      <c r="K278" s="1009"/>
      <c r="L278" s="1009" t="s">
        <v>2967</v>
      </c>
      <c r="M278" s="1009" t="s">
        <v>1009</v>
      </c>
      <c r="N278" s="1009" t="s">
        <v>1009</v>
      </c>
      <c r="O278" s="1009"/>
      <c r="P278" s="1009"/>
      <c r="Q278" s="996"/>
      <c r="R278" s="1010"/>
    </row>
    <row r="279" spans="1:18" ht="30" customHeight="1">
      <c r="A279" s="992"/>
      <c r="B279" s="995"/>
      <c r="C279" s="995"/>
      <c r="D279" s="994"/>
      <c r="E279" s="995"/>
      <c r="F279" s="995"/>
      <c r="G279" s="995"/>
      <c r="H279" s="995"/>
      <c r="I279" s="999"/>
      <c r="J279" s="1000">
        <v>326.20999999999998</v>
      </c>
      <c r="K279" s="1009"/>
      <c r="L279" s="1009"/>
      <c r="M279" s="1009"/>
      <c r="N279" s="1009"/>
      <c r="O279" s="1009"/>
      <c r="P279" s="1009"/>
      <c r="Q279" s="1399"/>
      <c r="R279" s="1010"/>
    </row>
    <row r="280" spans="1:18" ht="30" customHeight="1">
      <c r="A280" s="992">
        <f>A278+1</f>
        <v>137</v>
      </c>
      <c r="B280" s="995" t="s">
        <v>2401</v>
      </c>
      <c r="C280" s="995" t="s">
        <v>76</v>
      </c>
      <c r="D280" s="994"/>
      <c r="E280" s="995"/>
      <c r="F280" s="995"/>
      <c r="G280" s="995"/>
      <c r="H280" s="995"/>
      <c r="I280" s="999" t="s">
        <v>1767</v>
      </c>
      <c r="J280" s="1000"/>
      <c r="K280" s="1009"/>
      <c r="L280" s="1009" t="s">
        <v>2967</v>
      </c>
      <c r="M280" s="1009" t="s">
        <v>1009</v>
      </c>
      <c r="N280" s="1009" t="s">
        <v>1009</v>
      </c>
      <c r="O280" s="1009" t="s">
        <v>1009</v>
      </c>
      <c r="P280" s="1009"/>
      <c r="Q280" s="1400"/>
      <c r="R280" s="1010"/>
    </row>
    <row r="281" spans="1:18" ht="30" customHeight="1">
      <c r="A281" s="992"/>
      <c r="B281" s="995"/>
      <c r="C281" s="995"/>
      <c r="D281" s="994"/>
      <c r="E281" s="995"/>
      <c r="F281" s="995"/>
      <c r="G281" s="995"/>
      <c r="H281" s="995"/>
      <c r="I281" s="999"/>
      <c r="J281" s="1000">
        <v>308.149</v>
      </c>
      <c r="K281" s="1009"/>
      <c r="L281" s="1009"/>
      <c r="M281" s="1009"/>
      <c r="N281" s="1009"/>
      <c r="O281" s="1009"/>
      <c r="P281" s="1009"/>
      <c r="Q281" s="1401"/>
      <c r="R281" s="1010"/>
    </row>
    <row r="282" spans="1:18" ht="30" customHeight="1">
      <c r="A282" s="992">
        <f>A280+1</f>
        <v>138</v>
      </c>
      <c r="B282" s="995" t="s">
        <v>3047</v>
      </c>
      <c r="C282" s="995" t="s">
        <v>1277</v>
      </c>
      <c r="D282" s="994" t="s">
        <v>2484</v>
      </c>
      <c r="E282" s="995"/>
      <c r="F282" s="995"/>
      <c r="G282" s="995"/>
      <c r="H282" s="995"/>
      <c r="I282" s="999"/>
      <c r="J282" s="1000"/>
      <c r="K282" s="1009"/>
      <c r="L282" s="1009"/>
      <c r="M282" s="1009"/>
      <c r="N282" s="1009"/>
      <c r="O282" s="1009"/>
      <c r="P282" s="1009"/>
      <c r="Q282" s="996"/>
      <c r="R282" s="1010"/>
    </row>
    <row r="283" spans="1:18" ht="30" customHeight="1">
      <c r="A283" s="992"/>
      <c r="B283" s="995"/>
      <c r="C283" s="995"/>
      <c r="D283" s="994"/>
      <c r="E283" s="995"/>
      <c r="F283" s="995"/>
      <c r="G283" s="995"/>
      <c r="H283" s="995"/>
      <c r="I283" s="999"/>
      <c r="J283" s="1000">
        <v>285.935</v>
      </c>
      <c r="K283" s="1009"/>
      <c r="L283" s="1009"/>
      <c r="M283" s="1009"/>
      <c r="N283" s="1009"/>
      <c r="O283" s="1009"/>
      <c r="P283" s="1009"/>
      <c r="Q283" s="1399"/>
      <c r="R283" s="1010"/>
    </row>
    <row r="284" spans="1:18" ht="30" customHeight="1">
      <c r="A284" s="992">
        <f>A282+1</f>
        <v>139</v>
      </c>
      <c r="B284" s="995" t="s">
        <v>2485</v>
      </c>
      <c r="C284" s="995" t="s">
        <v>76</v>
      </c>
      <c r="D284" s="994"/>
      <c r="E284" s="995"/>
      <c r="F284" s="995"/>
      <c r="G284" s="995"/>
      <c r="H284" s="995"/>
      <c r="I284" s="999"/>
      <c r="J284" s="1000"/>
      <c r="K284" s="1009"/>
      <c r="L284" s="1009"/>
      <c r="M284" s="1009"/>
      <c r="N284" s="1009"/>
      <c r="O284" s="1009"/>
      <c r="P284" s="1009"/>
      <c r="Q284" s="1400"/>
      <c r="R284" s="1010"/>
    </row>
    <row r="285" spans="1:18" ht="30" customHeight="1">
      <c r="A285" s="992"/>
      <c r="B285" s="995"/>
      <c r="C285" s="995"/>
      <c r="D285" s="994"/>
      <c r="E285" s="995"/>
      <c r="F285" s="995"/>
      <c r="G285" s="995"/>
      <c r="H285" s="995"/>
      <c r="I285" s="999"/>
      <c r="J285" s="1000">
        <v>232.238</v>
      </c>
      <c r="K285" s="1009"/>
      <c r="L285" s="1009"/>
      <c r="M285" s="1009"/>
      <c r="N285" s="1009"/>
      <c r="O285" s="1009"/>
      <c r="P285" s="1009"/>
      <c r="Q285" s="1401"/>
      <c r="R285" s="1010"/>
    </row>
    <row r="286" spans="1:18" ht="30" customHeight="1">
      <c r="A286" s="992">
        <f>A284+1</f>
        <v>140</v>
      </c>
      <c r="B286" s="995" t="s">
        <v>3048</v>
      </c>
      <c r="C286" s="995" t="s">
        <v>1319</v>
      </c>
      <c r="D286" s="994" t="s">
        <v>2487</v>
      </c>
      <c r="E286" s="995"/>
      <c r="F286" s="995"/>
      <c r="G286" s="995"/>
      <c r="H286" s="995"/>
      <c r="I286" s="999"/>
      <c r="J286" s="1000"/>
      <c r="K286" s="1009"/>
      <c r="L286" s="1009"/>
      <c r="M286" s="1009"/>
      <c r="N286" s="1009"/>
      <c r="O286" s="1009"/>
      <c r="P286" s="1009"/>
      <c r="Q286" s="996"/>
      <c r="R286" s="1010"/>
    </row>
    <row r="287" spans="1:18" ht="30" customHeight="1">
      <c r="A287" s="992"/>
      <c r="B287" s="995"/>
      <c r="C287" s="995"/>
      <c r="D287" s="994"/>
      <c r="E287" s="995"/>
      <c r="F287" s="995"/>
      <c r="G287" s="995"/>
      <c r="H287" s="995"/>
      <c r="I287" s="999"/>
      <c r="J287" s="1000">
        <v>396.91300000000001</v>
      </c>
      <c r="K287" s="1009"/>
      <c r="L287" s="1009"/>
      <c r="M287" s="1009"/>
      <c r="N287" s="1009"/>
      <c r="O287" s="1009"/>
      <c r="P287" s="1009"/>
      <c r="Q287" s="1399"/>
      <c r="R287" s="1010"/>
    </row>
    <row r="288" spans="1:18" ht="30" customHeight="1">
      <c r="A288" s="992">
        <f>A286+1</f>
        <v>141</v>
      </c>
      <c r="B288" s="995" t="s">
        <v>2488</v>
      </c>
      <c r="C288" s="995" t="s">
        <v>62</v>
      </c>
      <c r="D288" s="994"/>
      <c r="E288" s="995"/>
      <c r="F288" s="995"/>
      <c r="G288" s="995"/>
      <c r="H288" s="995"/>
      <c r="I288" s="999"/>
      <c r="J288" s="1000"/>
      <c r="K288" s="1009"/>
      <c r="L288" s="1009"/>
      <c r="M288" s="1009"/>
      <c r="N288" s="1009"/>
      <c r="O288" s="1009"/>
      <c r="P288" s="1009"/>
      <c r="Q288" s="1400"/>
      <c r="R288" s="1010"/>
    </row>
    <row r="289" spans="1:18" ht="30" customHeight="1">
      <c r="A289" s="992"/>
      <c r="B289" s="995"/>
      <c r="C289" s="995"/>
      <c r="D289" s="994"/>
      <c r="E289" s="995"/>
      <c r="F289" s="995"/>
      <c r="G289" s="995"/>
      <c r="H289" s="995"/>
      <c r="I289" s="999"/>
      <c r="J289" s="1000">
        <v>412.767</v>
      </c>
      <c r="K289" s="1009"/>
      <c r="L289" s="1009"/>
      <c r="M289" s="1009"/>
      <c r="N289" s="1009"/>
      <c r="O289" s="1009"/>
      <c r="P289" s="1009"/>
      <c r="Q289" s="1400"/>
      <c r="R289" s="1010"/>
    </row>
    <row r="290" spans="1:18" ht="30" customHeight="1">
      <c r="A290" s="992">
        <f>A288+1</f>
        <v>142</v>
      </c>
      <c r="B290" s="995" t="s">
        <v>2489</v>
      </c>
      <c r="C290" s="995" t="s">
        <v>53</v>
      </c>
      <c r="D290" s="994"/>
      <c r="E290" s="995"/>
      <c r="F290" s="995"/>
      <c r="G290" s="995"/>
      <c r="H290" s="995"/>
      <c r="I290" s="999"/>
      <c r="J290" s="1000"/>
      <c r="K290" s="1009"/>
      <c r="L290" s="1009"/>
      <c r="M290" s="1009"/>
      <c r="N290" s="1009"/>
      <c r="O290" s="1009"/>
      <c r="P290" s="1009"/>
      <c r="Q290" s="1400"/>
      <c r="R290" s="1010"/>
    </row>
    <row r="291" spans="1:18" ht="30" customHeight="1">
      <c r="A291" s="992"/>
      <c r="B291" s="995"/>
      <c r="C291" s="995"/>
      <c r="D291" s="994"/>
      <c r="E291" s="995"/>
      <c r="F291" s="995"/>
      <c r="G291" s="995"/>
      <c r="H291" s="995"/>
      <c r="I291" s="999"/>
      <c r="J291" s="1000">
        <v>402.69</v>
      </c>
      <c r="K291" s="1009"/>
      <c r="L291" s="1009"/>
      <c r="M291" s="1009"/>
      <c r="N291" s="1009"/>
      <c r="O291" s="1009"/>
      <c r="P291" s="1009"/>
      <c r="Q291" s="1401"/>
      <c r="R291" s="1010"/>
    </row>
    <row r="292" spans="1:18" ht="30" customHeight="1">
      <c r="A292" s="992">
        <f>A290+1</f>
        <v>143</v>
      </c>
      <c r="B292" s="995" t="s">
        <v>3049</v>
      </c>
      <c r="C292" s="995" t="s">
        <v>1361</v>
      </c>
      <c r="D292" s="994" t="s">
        <v>2511</v>
      </c>
      <c r="E292" s="995"/>
      <c r="F292" s="995"/>
      <c r="G292" s="995"/>
      <c r="H292" s="995"/>
      <c r="I292" s="999"/>
      <c r="J292" s="1000"/>
      <c r="K292" s="1009"/>
      <c r="L292" s="1009"/>
      <c r="M292" s="1009"/>
      <c r="N292" s="1009"/>
      <c r="O292" s="1009"/>
      <c r="P292" s="1009"/>
      <c r="Q292" s="996"/>
      <c r="R292" s="1010"/>
    </row>
    <row r="293" spans="1:18" ht="30" customHeight="1">
      <c r="A293" s="992"/>
      <c r="B293" s="995"/>
      <c r="C293" s="995"/>
      <c r="D293" s="994"/>
      <c r="E293" s="995"/>
      <c r="F293" s="995"/>
      <c r="G293" s="995"/>
      <c r="H293" s="995"/>
      <c r="I293" s="999"/>
      <c r="J293" s="1000">
        <v>374.13299999999998</v>
      </c>
      <c r="K293" s="1009"/>
      <c r="L293" s="1009"/>
      <c r="M293" s="1009"/>
      <c r="N293" s="1009"/>
      <c r="O293" s="1009"/>
      <c r="P293" s="1009"/>
      <c r="Q293" s="1399"/>
      <c r="R293" s="1010"/>
    </row>
    <row r="294" spans="1:18" ht="30" customHeight="1">
      <c r="A294" s="992">
        <f>A292+1</f>
        <v>144</v>
      </c>
      <c r="B294" s="995" t="s">
        <v>2491</v>
      </c>
      <c r="C294" s="995" t="s">
        <v>76</v>
      </c>
      <c r="D294" s="994"/>
      <c r="E294" s="995"/>
      <c r="F294" s="995"/>
      <c r="G294" s="995"/>
      <c r="H294" s="995"/>
      <c r="I294" s="999"/>
      <c r="J294" s="1000"/>
      <c r="K294" s="1009"/>
      <c r="L294" s="1009"/>
      <c r="M294" s="1009"/>
      <c r="N294" s="1009"/>
      <c r="O294" s="1009"/>
      <c r="P294" s="1009"/>
      <c r="Q294" s="1400"/>
      <c r="R294" s="1010"/>
    </row>
    <row r="295" spans="1:18" ht="30" customHeight="1">
      <c r="A295" s="992"/>
      <c r="B295" s="995"/>
      <c r="C295" s="995"/>
      <c r="D295" s="994"/>
      <c r="E295" s="995"/>
      <c r="F295" s="995"/>
      <c r="G295" s="995"/>
      <c r="H295" s="995"/>
      <c r="I295" s="999"/>
      <c r="J295" s="1000">
        <v>377.37599999999998</v>
      </c>
      <c r="K295" s="1009"/>
      <c r="L295" s="1009"/>
      <c r="M295" s="1009"/>
      <c r="N295" s="1009"/>
      <c r="O295" s="1009"/>
      <c r="P295" s="1009"/>
      <c r="Q295" s="1400"/>
      <c r="R295" s="1010"/>
    </row>
    <row r="296" spans="1:18" ht="30" customHeight="1">
      <c r="A296" s="992">
        <f>A294+1</f>
        <v>145</v>
      </c>
      <c r="B296" s="995" t="s">
        <v>2492</v>
      </c>
      <c r="C296" s="995" t="s">
        <v>76</v>
      </c>
      <c r="D296" s="994"/>
      <c r="E296" s="995"/>
      <c r="F296" s="995"/>
      <c r="G296" s="995"/>
      <c r="H296" s="995"/>
      <c r="I296" s="999"/>
      <c r="J296" s="1000"/>
      <c r="K296" s="1009"/>
      <c r="L296" s="1009"/>
      <c r="M296" s="1009"/>
      <c r="N296" s="1009"/>
      <c r="O296" s="1009"/>
      <c r="P296" s="1009"/>
      <c r="Q296" s="1400"/>
      <c r="R296" s="1010"/>
    </row>
    <row r="297" spans="1:18" ht="30" customHeight="1">
      <c r="A297" s="992"/>
      <c r="B297" s="995"/>
      <c r="C297" s="995"/>
      <c r="D297" s="994"/>
      <c r="E297" s="995"/>
      <c r="F297" s="995"/>
      <c r="G297" s="995"/>
      <c r="H297" s="995"/>
      <c r="I297" s="999"/>
      <c r="J297" s="1000">
        <v>385.34899999999999</v>
      </c>
      <c r="K297" s="1009"/>
      <c r="L297" s="1009"/>
      <c r="M297" s="1009"/>
      <c r="N297" s="1009"/>
      <c r="O297" s="1009"/>
      <c r="P297" s="1009"/>
      <c r="Q297" s="1401"/>
      <c r="R297" s="1010"/>
    </row>
    <row r="298" spans="1:18" ht="30" customHeight="1">
      <c r="A298" s="992">
        <f>A296+1</f>
        <v>146</v>
      </c>
      <c r="B298" s="995" t="s">
        <v>3050</v>
      </c>
      <c r="C298" s="995" t="s">
        <v>1269</v>
      </c>
      <c r="D298" s="994" t="s">
        <v>2515</v>
      </c>
      <c r="E298" s="995"/>
      <c r="F298" s="995"/>
      <c r="G298" s="995"/>
      <c r="H298" s="995"/>
      <c r="I298" s="999"/>
      <c r="J298" s="1000"/>
      <c r="K298" s="1009"/>
      <c r="L298" s="1009"/>
      <c r="M298" s="1009"/>
      <c r="N298" s="1009"/>
      <c r="O298" s="1009"/>
      <c r="P298" s="1009"/>
      <c r="Q298" s="996"/>
      <c r="R298" s="1010"/>
    </row>
    <row r="299" spans="1:18" ht="30" customHeight="1">
      <c r="A299" s="992"/>
      <c r="B299" s="995"/>
      <c r="C299" s="995"/>
      <c r="D299" s="994"/>
      <c r="E299" s="995"/>
      <c r="F299" s="995"/>
      <c r="G299" s="995"/>
      <c r="H299" s="995"/>
      <c r="I299" s="999"/>
      <c r="J299" s="1000">
        <v>395.25200000000001</v>
      </c>
      <c r="K299" s="1009"/>
      <c r="L299" s="1009"/>
      <c r="M299" s="1009"/>
      <c r="N299" s="1009"/>
      <c r="O299" s="1009"/>
      <c r="P299" s="1009"/>
      <c r="Q299" s="1399"/>
      <c r="R299" s="1010"/>
    </row>
    <row r="300" spans="1:18" ht="30" customHeight="1">
      <c r="A300" s="992">
        <f>A298+1</f>
        <v>147</v>
      </c>
      <c r="B300" s="995" t="s">
        <v>2494</v>
      </c>
      <c r="C300" s="995" t="s">
        <v>62</v>
      </c>
      <c r="D300" s="994"/>
      <c r="E300" s="995"/>
      <c r="F300" s="995"/>
      <c r="G300" s="995"/>
      <c r="H300" s="995"/>
      <c r="I300" s="999"/>
      <c r="J300" s="1000"/>
      <c r="K300" s="1009"/>
      <c r="L300" s="1009"/>
      <c r="M300" s="1009"/>
      <c r="N300" s="1009"/>
      <c r="O300" s="1009"/>
      <c r="P300" s="1009"/>
      <c r="Q300" s="1400"/>
      <c r="R300" s="1010"/>
    </row>
    <row r="301" spans="1:18" ht="30" customHeight="1">
      <c r="A301" s="992"/>
      <c r="B301" s="995"/>
      <c r="C301" s="995"/>
      <c r="D301" s="994"/>
      <c r="E301" s="995"/>
      <c r="F301" s="995"/>
      <c r="G301" s="995"/>
      <c r="H301" s="995"/>
      <c r="I301" s="999"/>
      <c r="J301" s="1000">
        <v>358.29399999999998</v>
      </c>
      <c r="K301" s="1009"/>
      <c r="L301" s="1009"/>
      <c r="M301" s="1009"/>
      <c r="N301" s="1009"/>
      <c r="O301" s="1009"/>
      <c r="P301" s="1009"/>
      <c r="Q301" s="1401"/>
      <c r="R301" s="1010"/>
    </row>
    <row r="302" spans="1:18" ht="30" customHeight="1">
      <c r="A302" s="992">
        <f>A300+1</f>
        <v>148</v>
      </c>
      <c r="B302" s="995" t="s">
        <v>3051</v>
      </c>
      <c r="C302" s="1008" t="s">
        <v>1277</v>
      </c>
      <c r="D302" s="994" t="s">
        <v>2519</v>
      </c>
      <c r="E302" s="995"/>
      <c r="F302" s="995"/>
      <c r="G302" s="995"/>
      <c r="H302" s="995"/>
      <c r="I302" s="999"/>
      <c r="J302" s="1001"/>
      <c r="K302" s="1009"/>
      <c r="L302" s="1009"/>
      <c r="M302" s="1009"/>
      <c r="N302" s="1009"/>
      <c r="O302" s="1009"/>
      <c r="P302" s="1009"/>
      <c r="Q302" s="996"/>
      <c r="R302" s="1010"/>
    </row>
    <row r="303" spans="1:18" ht="30" customHeight="1">
      <c r="A303" s="992"/>
      <c r="B303" s="995"/>
      <c r="C303" s="995"/>
      <c r="D303" s="994"/>
      <c r="E303" s="995"/>
      <c r="F303" s="995"/>
      <c r="G303" s="995"/>
      <c r="H303" s="995"/>
      <c r="I303" s="999"/>
      <c r="J303" s="1000">
        <v>426.27600000000001</v>
      </c>
      <c r="K303" s="1009"/>
      <c r="L303" s="1009"/>
      <c r="M303" s="1009"/>
      <c r="N303" s="1009"/>
      <c r="O303" s="1009"/>
      <c r="P303" s="1009"/>
      <c r="Q303" s="996"/>
      <c r="R303" s="1011" t="s">
        <v>3280</v>
      </c>
    </row>
    <row r="304" spans="1:18" ht="30" customHeight="1">
      <c r="A304" s="992">
        <f>A302+1</f>
        <v>149</v>
      </c>
      <c r="B304" s="995" t="s">
        <v>3171</v>
      </c>
      <c r="C304" s="1008" t="s">
        <v>1981</v>
      </c>
      <c r="D304" s="994" t="s">
        <v>3178</v>
      </c>
      <c r="E304" s="995"/>
      <c r="F304" s="995"/>
      <c r="G304" s="995"/>
      <c r="H304" s="995"/>
      <c r="I304" s="999"/>
      <c r="J304" s="1000"/>
      <c r="K304" s="1009"/>
      <c r="L304" s="1009"/>
      <c r="M304" s="1009"/>
      <c r="N304" s="1009"/>
      <c r="O304" s="1009"/>
      <c r="P304" s="1009"/>
      <c r="Q304" s="996"/>
      <c r="R304" s="1010"/>
    </row>
    <row r="305" spans="1:18" ht="30" customHeight="1">
      <c r="A305" s="992"/>
      <c r="B305" s="995"/>
      <c r="C305" s="995"/>
      <c r="D305" s="994"/>
      <c r="E305" s="995"/>
      <c r="F305" s="995"/>
      <c r="G305" s="995"/>
      <c r="H305" s="995"/>
      <c r="I305" s="999"/>
      <c r="J305" s="1000">
        <v>217.161</v>
      </c>
      <c r="K305" s="1009"/>
      <c r="L305" s="1009"/>
      <c r="M305" s="1009"/>
      <c r="N305" s="1009"/>
      <c r="O305" s="1009"/>
      <c r="P305" s="1009"/>
      <c r="Q305" s="996"/>
      <c r="R305" s="1010"/>
    </row>
    <row r="306" spans="1:18" ht="30" customHeight="1">
      <c r="A306" s="992">
        <f>A304+1</f>
        <v>150</v>
      </c>
      <c r="B306" s="995" t="s">
        <v>3172</v>
      </c>
      <c r="C306" s="995" t="s">
        <v>2221</v>
      </c>
      <c r="D306" s="994" t="s">
        <v>3179</v>
      </c>
      <c r="E306" s="995"/>
      <c r="F306" s="995"/>
      <c r="G306" s="995"/>
      <c r="H306" s="995"/>
      <c r="I306" s="999"/>
      <c r="J306" s="1000"/>
      <c r="K306" s="1009"/>
      <c r="L306" s="1009"/>
      <c r="M306" s="1009"/>
      <c r="N306" s="1009"/>
      <c r="O306" s="1009"/>
      <c r="P306" s="1009"/>
      <c r="Q306" s="996"/>
      <c r="R306" s="1010"/>
    </row>
    <row r="307" spans="1:18" ht="30" customHeight="1">
      <c r="A307" s="992"/>
      <c r="B307" s="995"/>
      <c r="C307" s="995"/>
      <c r="D307" s="994"/>
      <c r="E307" s="995"/>
      <c r="F307" s="995"/>
      <c r="G307" s="995"/>
      <c r="H307" s="995"/>
      <c r="I307" s="999"/>
      <c r="J307" s="1000">
        <v>425.24400000000003</v>
      </c>
      <c r="K307" s="1009"/>
      <c r="L307" s="1009"/>
      <c r="M307" s="1009"/>
      <c r="N307" s="1009"/>
      <c r="O307" s="1009"/>
      <c r="P307" s="1009"/>
      <c r="Q307" s="996"/>
      <c r="R307" s="1010"/>
    </row>
    <row r="308" spans="1:18" ht="30" customHeight="1">
      <c r="A308" s="992">
        <f>A306+1</f>
        <v>151</v>
      </c>
      <c r="B308" s="995" t="s">
        <v>3173</v>
      </c>
      <c r="C308" s="995" t="s">
        <v>3276</v>
      </c>
      <c r="D308" s="994"/>
      <c r="E308" s="995"/>
      <c r="F308" s="995"/>
      <c r="G308" s="995"/>
      <c r="H308" s="995"/>
      <c r="I308" s="999"/>
      <c r="J308" s="1000"/>
      <c r="K308" s="1009"/>
      <c r="L308" s="1009"/>
      <c r="M308" s="1009"/>
      <c r="N308" s="1009"/>
      <c r="O308" s="1009"/>
      <c r="P308" s="1009"/>
      <c r="Q308" s="996"/>
      <c r="R308" s="1010"/>
    </row>
    <row r="309" spans="1:18" ht="30" customHeight="1">
      <c r="A309" s="992"/>
      <c r="B309" s="995"/>
      <c r="C309" s="995"/>
      <c r="D309" s="994"/>
      <c r="E309" s="995"/>
      <c r="F309" s="995"/>
      <c r="G309" s="995"/>
      <c r="H309" s="995"/>
      <c r="I309" s="999"/>
      <c r="J309" s="1000">
        <v>373.291</v>
      </c>
      <c r="K309" s="1009"/>
      <c r="L309" s="1009"/>
      <c r="M309" s="1009"/>
      <c r="N309" s="1009"/>
      <c r="O309" s="1009"/>
      <c r="P309" s="1009"/>
      <c r="Q309" s="996"/>
      <c r="R309" s="1010"/>
    </row>
    <row r="310" spans="1:18" ht="30" customHeight="1">
      <c r="A310" s="992">
        <f>A308+1</f>
        <v>152</v>
      </c>
      <c r="B310" s="995" t="s">
        <v>3174</v>
      </c>
      <c r="C310" s="995" t="s">
        <v>2027</v>
      </c>
      <c r="D310" s="994" t="s">
        <v>3180</v>
      </c>
      <c r="E310" s="995">
        <v>2</v>
      </c>
      <c r="F310" s="995">
        <v>2</v>
      </c>
      <c r="G310" s="995">
        <v>2</v>
      </c>
      <c r="H310" s="995">
        <v>2</v>
      </c>
      <c r="I310" s="999" t="s">
        <v>2768</v>
      </c>
      <c r="J310" s="1000"/>
      <c r="K310" s="1009"/>
      <c r="L310" s="1009" t="s">
        <v>2967</v>
      </c>
      <c r="M310" s="1009" t="s">
        <v>22</v>
      </c>
      <c r="N310" s="1009"/>
      <c r="O310" s="1009"/>
      <c r="P310" s="1009"/>
      <c r="Q310" s="996"/>
      <c r="R310" s="1010"/>
    </row>
    <row r="311" spans="1:18" ht="30" customHeight="1">
      <c r="A311" s="992"/>
      <c r="B311" s="995"/>
      <c r="C311" s="995"/>
      <c r="D311" s="994"/>
      <c r="E311" s="995"/>
      <c r="F311" s="995"/>
      <c r="G311" s="995"/>
      <c r="H311" s="995"/>
      <c r="I311" s="999"/>
      <c r="J311" s="1000">
        <v>240.81</v>
      </c>
      <c r="K311" s="1009"/>
      <c r="L311" s="1009"/>
      <c r="M311" s="1009"/>
      <c r="N311" s="1009"/>
      <c r="O311" s="1009"/>
      <c r="P311" s="1009"/>
      <c r="Q311" s="996"/>
      <c r="R311" s="1011" t="s">
        <v>3281</v>
      </c>
    </row>
    <row r="312" spans="1:18" ht="30" customHeight="1">
      <c r="A312" s="992">
        <f>A310+1</f>
        <v>153</v>
      </c>
      <c r="B312" s="995" t="s">
        <v>3175</v>
      </c>
      <c r="C312" s="995" t="s">
        <v>3277</v>
      </c>
      <c r="D312" s="994" t="s">
        <v>3181</v>
      </c>
      <c r="E312" s="995"/>
      <c r="F312" s="995"/>
      <c r="G312" s="995"/>
      <c r="H312" s="995"/>
      <c r="I312" s="999"/>
      <c r="J312" s="1000"/>
      <c r="K312" s="1009"/>
      <c r="L312" s="1009"/>
      <c r="M312" s="1009"/>
      <c r="N312" s="1009"/>
      <c r="O312" s="1009"/>
      <c r="P312" s="1009"/>
      <c r="Q312" s="996"/>
      <c r="R312" s="1010"/>
    </row>
    <row r="313" spans="1:18" ht="30" customHeight="1">
      <c r="A313" s="992"/>
      <c r="B313" s="995"/>
      <c r="C313" s="995"/>
      <c r="D313" s="994"/>
      <c r="E313" s="995"/>
      <c r="F313" s="995"/>
      <c r="G313" s="995"/>
      <c r="H313" s="995"/>
      <c r="I313" s="999"/>
      <c r="J313" s="1000">
        <v>501.81299999999999</v>
      </c>
      <c r="K313" s="1009"/>
      <c r="L313" s="1009"/>
      <c r="M313" s="1009"/>
      <c r="N313" s="1009"/>
      <c r="O313" s="1009"/>
      <c r="P313" s="1009"/>
      <c r="Q313" s="996"/>
      <c r="R313" s="1010"/>
    </row>
    <row r="314" spans="1:18" ht="30" customHeight="1">
      <c r="A314" s="992">
        <f>A312+1</f>
        <v>154</v>
      </c>
      <c r="B314" s="995" t="s">
        <v>3176</v>
      </c>
      <c r="C314" s="1008" t="s">
        <v>1981</v>
      </c>
      <c r="D314" s="994" t="s">
        <v>3182</v>
      </c>
      <c r="E314" s="995"/>
      <c r="F314" s="995"/>
      <c r="G314" s="995"/>
      <c r="H314" s="995"/>
      <c r="I314" s="999" t="s">
        <v>2768</v>
      </c>
      <c r="J314" s="1000"/>
      <c r="K314" s="1009"/>
      <c r="L314" s="1009" t="s">
        <v>2967</v>
      </c>
      <c r="M314" s="1009" t="s">
        <v>1009</v>
      </c>
      <c r="N314" s="1009" t="s">
        <v>1009</v>
      </c>
      <c r="O314" s="1009"/>
      <c r="P314" s="1009"/>
      <c r="Q314" s="996"/>
      <c r="R314" s="1010"/>
    </row>
    <row r="315" spans="1:18" ht="30" customHeight="1">
      <c r="A315" s="992"/>
      <c r="B315" s="995"/>
      <c r="C315" s="995"/>
      <c r="D315" s="994"/>
      <c r="E315" s="995"/>
      <c r="F315" s="995"/>
      <c r="G315" s="995"/>
      <c r="H315" s="995"/>
      <c r="I315" s="999"/>
      <c r="J315" s="1000">
        <v>244.06800000000001</v>
      </c>
      <c r="K315" s="1009"/>
      <c r="L315" s="1009"/>
      <c r="M315" s="1009"/>
      <c r="N315" s="1009"/>
      <c r="O315" s="1009"/>
      <c r="P315" s="1009"/>
      <c r="Q315" s="996"/>
      <c r="R315" s="1011" t="s">
        <v>3282</v>
      </c>
    </row>
    <row r="316" spans="1:18" ht="30" customHeight="1">
      <c r="A316" s="992">
        <f>A314+1</f>
        <v>155</v>
      </c>
      <c r="B316" s="995" t="s">
        <v>3177</v>
      </c>
      <c r="C316" s="995" t="s">
        <v>2221</v>
      </c>
      <c r="D316" s="994" t="s">
        <v>3183</v>
      </c>
      <c r="E316" s="995"/>
      <c r="F316" s="995"/>
      <c r="G316" s="995"/>
      <c r="H316" s="995"/>
      <c r="I316" s="999" t="s">
        <v>2768</v>
      </c>
      <c r="J316" s="1000"/>
      <c r="K316" s="1009"/>
      <c r="L316" s="1009" t="s">
        <v>2967</v>
      </c>
      <c r="M316" s="1009" t="s">
        <v>1009</v>
      </c>
      <c r="N316" s="1009" t="s">
        <v>1009</v>
      </c>
      <c r="O316" s="1009"/>
      <c r="P316" s="1009"/>
      <c r="Q316" s="996"/>
      <c r="R316" s="1010"/>
    </row>
    <row r="317" spans="1:18" ht="30" customHeight="1">
      <c r="A317" s="992"/>
      <c r="B317" s="995"/>
      <c r="C317" s="995"/>
      <c r="D317" s="994"/>
      <c r="E317" s="995"/>
      <c r="F317" s="995"/>
      <c r="G317" s="995"/>
      <c r="H317" s="995"/>
      <c r="I317" s="999"/>
      <c r="J317" s="1000">
        <v>387.815</v>
      </c>
      <c r="K317" s="1009"/>
      <c r="L317" s="1009"/>
      <c r="M317" s="1009"/>
      <c r="N317" s="1009"/>
      <c r="O317" s="1009"/>
      <c r="P317" s="1009"/>
      <c r="Q317" s="996"/>
      <c r="R317" s="1010"/>
    </row>
    <row r="318" spans="1:18" ht="30" customHeight="1">
      <c r="A318" s="992">
        <f>A316+1</f>
        <v>156</v>
      </c>
      <c r="B318" s="995" t="s">
        <v>3169</v>
      </c>
      <c r="C318" s="995" t="s">
        <v>3203</v>
      </c>
      <c r="D318" s="994"/>
      <c r="E318" s="995"/>
      <c r="F318" s="995"/>
      <c r="G318" s="995"/>
      <c r="H318" s="995"/>
      <c r="I318" s="999" t="s">
        <v>1767</v>
      </c>
      <c r="J318" s="1000"/>
      <c r="K318" s="1009"/>
      <c r="L318" s="1009" t="s">
        <v>2967</v>
      </c>
      <c r="M318" s="1009" t="s">
        <v>1009</v>
      </c>
      <c r="N318" s="1009" t="s">
        <v>1009</v>
      </c>
      <c r="O318" s="1009"/>
      <c r="P318" s="1009"/>
      <c r="Q318" s="996"/>
      <c r="R318" s="1010"/>
    </row>
    <row r="319" spans="1:18" ht="30" customHeight="1">
      <c r="A319" s="992"/>
      <c r="B319" s="995"/>
      <c r="C319" s="995"/>
      <c r="D319" s="994"/>
      <c r="E319" s="995"/>
      <c r="F319" s="995"/>
      <c r="G319" s="995"/>
      <c r="H319" s="995"/>
      <c r="I319" s="999"/>
      <c r="J319" s="1000">
        <v>303.92700000000002</v>
      </c>
      <c r="K319" s="1009"/>
      <c r="L319" s="1009"/>
      <c r="M319" s="1009"/>
      <c r="N319" s="1009"/>
      <c r="O319" s="1009"/>
      <c r="P319" s="1009"/>
      <c r="Q319" s="996"/>
      <c r="R319" s="1010"/>
    </row>
    <row r="320" spans="1:18" ht="30" customHeight="1">
      <c r="A320" s="992">
        <f>A318+1</f>
        <v>157</v>
      </c>
      <c r="B320" s="995" t="s">
        <v>3170</v>
      </c>
      <c r="C320" s="995" t="s">
        <v>76</v>
      </c>
      <c r="D320" s="994"/>
      <c r="E320" s="995"/>
      <c r="F320" s="995"/>
      <c r="G320" s="995"/>
      <c r="H320" s="995"/>
      <c r="I320" s="999" t="s">
        <v>1767</v>
      </c>
      <c r="J320" s="1000"/>
      <c r="K320" s="1009"/>
      <c r="L320" s="1009" t="s">
        <v>2967</v>
      </c>
      <c r="M320" s="1009" t="s">
        <v>1009</v>
      </c>
      <c r="N320" s="1009" t="s">
        <v>1009</v>
      </c>
      <c r="O320" s="1009"/>
      <c r="P320" s="1009"/>
      <c r="Q320" s="996"/>
      <c r="R320" s="1062"/>
    </row>
    <row r="322" spans="1:18" ht="30" customHeight="1">
      <c r="A322" s="992">
        <f>A320+1</f>
        <v>158</v>
      </c>
      <c r="B322" s="995" t="s">
        <v>3052</v>
      </c>
      <c r="C322" s="995" t="s">
        <v>3184</v>
      </c>
      <c r="D322" s="994" t="s">
        <v>2526</v>
      </c>
      <c r="E322" s="995"/>
      <c r="F322" s="995"/>
      <c r="G322" s="995"/>
      <c r="H322" s="995"/>
      <c r="I322" s="999" t="s">
        <v>1767</v>
      </c>
      <c r="J322" s="1001"/>
      <c r="K322" s="1009"/>
      <c r="L322" s="1009" t="s">
        <v>2967</v>
      </c>
      <c r="M322" s="1009" t="s">
        <v>1009</v>
      </c>
      <c r="N322" s="1009" t="s">
        <v>1009</v>
      </c>
      <c r="O322" s="1009"/>
      <c r="P322" s="1009"/>
      <c r="Q322" s="996"/>
      <c r="R322" s="1010"/>
    </row>
    <row r="323" spans="1:18" ht="30" customHeight="1">
      <c r="A323" s="992"/>
      <c r="B323" s="995"/>
      <c r="C323" s="995"/>
      <c r="D323" s="994"/>
      <c r="E323" s="995"/>
      <c r="F323" s="995"/>
      <c r="G323" s="995"/>
      <c r="H323" s="995"/>
      <c r="I323" s="999"/>
      <c r="J323" s="1000">
        <v>407.94600000000003</v>
      </c>
      <c r="K323" s="1009"/>
      <c r="L323" s="1009"/>
      <c r="M323" s="1009"/>
      <c r="N323" s="1009"/>
      <c r="O323" s="1009"/>
      <c r="P323" s="1009"/>
      <c r="Q323" s="1399"/>
      <c r="R323" s="1010"/>
    </row>
    <row r="324" spans="1:18" ht="30" customHeight="1">
      <c r="A324" s="992">
        <f>A322+1</f>
        <v>159</v>
      </c>
      <c r="B324" s="995" t="s">
        <v>2527</v>
      </c>
      <c r="C324" s="995" t="s">
        <v>62</v>
      </c>
      <c r="D324" s="994"/>
      <c r="E324" s="995"/>
      <c r="F324" s="995"/>
      <c r="G324" s="995"/>
      <c r="H324" s="995"/>
      <c r="I324" s="999" t="s">
        <v>1767</v>
      </c>
      <c r="J324" s="1000"/>
      <c r="K324" s="1009"/>
      <c r="L324" s="1009" t="s">
        <v>2967</v>
      </c>
      <c r="M324" s="1009" t="s">
        <v>1009</v>
      </c>
      <c r="N324" s="1009" t="s">
        <v>1009</v>
      </c>
      <c r="O324" s="1009" t="s">
        <v>1009</v>
      </c>
      <c r="P324" s="1009"/>
      <c r="Q324" s="1400"/>
      <c r="R324" s="1010"/>
    </row>
    <row r="325" spans="1:18" ht="30" customHeight="1">
      <c r="A325" s="992"/>
      <c r="B325" s="995"/>
      <c r="C325" s="995"/>
      <c r="D325" s="994"/>
      <c r="E325" s="995"/>
      <c r="F325" s="995"/>
      <c r="G325" s="995"/>
      <c r="H325" s="995"/>
      <c r="I325" s="999"/>
      <c r="J325" s="1000">
        <v>429.84699999999998</v>
      </c>
      <c r="K325" s="1009"/>
      <c r="L325" s="1009"/>
      <c r="M325" s="1009"/>
      <c r="N325" s="1009"/>
      <c r="O325" s="1009"/>
      <c r="P325" s="1009"/>
      <c r="Q325" s="1400"/>
      <c r="R325" s="1010"/>
    </row>
    <row r="326" spans="1:18" ht="30" customHeight="1">
      <c r="A326" s="992">
        <f>A324+1</f>
        <v>160</v>
      </c>
      <c r="B326" s="995" t="s">
        <v>2528</v>
      </c>
      <c r="C326" s="995" t="s">
        <v>62</v>
      </c>
      <c r="D326" s="994"/>
      <c r="E326" s="995"/>
      <c r="F326" s="995"/>
      <c r="G326" s="995"/>
      <c r="H326" s="995"/>
      <c r="I326" s="999" t="s">
        <v>1767</v>
      </c>
      <c r="J326" s="1000"/>
      <c r="K326" s="1009"/>
      <c r="L326" s="1009" t="s">
        <v>2967</v>
      </c>
      <c r="M326" s="1009" t="s">
        <v>1009</v>
      </c>
      <c r="N326" s="1009" t="s">
        <v>1009</v>
      </c>
      <c r="O326" s="1009"/>
      <c r="P326" s="1009"/>
      <c r="Q326" s="1400"/>
      <c r="R326" s="1010"/>
    </row>
    <row r="327" spans="1:18" ht="30" customHeight="1">
      <c r="A327" s="992"/>
      <c r="B327" s="995"/>
      <c r="C327" s="995"/>
      <c r="D327" s="994"/>
      <c r="E327" s="995"/>
      <c r="F327" s="995"/>
      <c r="G327" s="995"/>
      <c r="H327" s="995"/>
      <c r="I327" s="999"/>
      <c r="J327" s="1000">
        <v>407.77800000000002</v>
      </c>
      <c r="K327" s="1009"/>
      <c r="L327" s="1009"/>
      <c r="M327" s="1009"/>
      <c r="N327" s="1009"/>
      <c r="O327" s="1009"/>
      <c r="P327" s="1009"/>
      <c r="Q327" s="1400"/>
      <c r="R327" s="1010"/>
    </row>
    <row r="328" spans="1:18" ht="30" customHeight="1">
      <c r="A328" s="992">
        <f>A326+1</f>
        <v>161</v>
      </c>
      <c r="B328" s="995" t="s">
        <v>2529</v>
      </c>
      <c r="C328" s="995" t="s">
        <v>62</v>
      </c>
      <c r="D328" s="994"/>
      <c r="E328" s="995"/>
      <c r="F328" s="995"/>
      <c r="G328" s="995"/>
      <c r="H328" s="995"/>
      <c r="I328" s="999" t="s">
        <v>1767</v>
      </c>
      <c r="J328" s="1000"/>
      <c r="K328" s="1009"/>
      <c r="L328" s="1009" t="s">
        <v>2967</v>
      </c>
      <c r="M328" s="1009" t="s">
        <v>1009</v>
      </c>
      <c r="N328" s="1009" t="s">
        <v>1009</v>
      </c>
      <c r="O328" s="1009" t="s">
        <v>1009</v>
      </c>
      <c r="P328" s="1009"/>
      <c r="Q328" s="1400"/>
      <c r="R328" s="1010"/>
    </row>
    <row r="329" spans="1:18" ht="30" customHeight="1">
      <c r="A329" s="992"/>
      <c r="B329" s="995"/>
      <c r="C329" s="995"/>
      <c r="D329" s="994"/>
      <c r="E329" s="995"/>
      <c r="F329" s="995"/>
      <c r="G329" s="995"/>
      <c r="H329" s="995"/>
      <c r="I329" s="999"/>
      <c r="J329" s="1000">
        <v>416.733</v>
      </c>
      <c r="K329" s="1009"/>
      <c r="L329" s="1009"/>
      <c r="M329" s="1009"/>
      <c r="N329" s="1009"/>
      <c r="O329" s="1009"/>
      <c r="P329" s="1009"/>
      <c r="Q329" s="1400"/>
      <c r="R329" s="1010"/>
    </row>
    <row r="330" spans="1:18" ht="30" customHeight="1">
      <c r="A330" s="992">
        <f>A328+1</f>
        <v>162</v>
      </c>
      <c r="B330" s="995" t="s">
        <v>2530</v>
      </c>
      <c r="C330" s="995" t="s">
        <v>76</v>
      </c>
      <c r="D330" s="994"/>
      <c r="E330" s="995"/>
      <c r="F330" s="995"/>
      <c r="G330" s="995"/>
      <c r="H330" s="995"/>
      <c r="I330" s="999" t="s">
        <v>1767</v>
      </c>
      <c r="J330" s="1000"/>
      <c r="K330" s="1009"/>
      <c r="L330" s="1009" t="s">
        <v>2967</v>
      </c>
      <c r="M330" s="1009" t="s">
        <v>1009</v>
      </c>
      <c r="N330" s="1009" t="s">
        <v>1009</v>
      </c>
      <c r="O330" s="1009" t="s">
        <v>1009</v>
      </c>
      <c r="P330" s="1009"/>
      <c r="Q330" s="1400"/>
      <c r="R330" s="1010"/>
    </row>
    <row r="331" spans="1:18" ht="30" customHeight="1">
      <c r="A331" s="992"/>
      <c r="B331" s="995"/>
      <c r="C331" s="995"/>
      <c r="D331" s="994"/>
      <c r="E331" s="995"/>
      <c r="F331" s="995"/>
      <c r="G331" s="995"/>
      <c r="H331" s="995"/>
      <c r="I331" s="999"/>
      <c r="J331" s="1000">
        <v>421.34500000000003</v>
      </c>
      <c r="K331" s="1009"/>
      <c r="L331" s="1009"/>
      <c r="M331" s="1009"/>
      <c r="N331" s="1009"/>
      <c r="O331" s="1009"/>
      <c r="P331" s="1009"/>
      <c r="Q331" s="1400"/>
      <c r="R331" s="1010"/>
    </row>
    <row r="332" spans="1:18" ht="30" customHeight="1">
      <c r="A332" s="992">
        <f>A330+1</f>
        <v>163</v>
      </c>
      <c r="B332" s="995" t="s">
        <v>2531</v>
      </c>
      <c r="C332" s="995" t="s">
        <v>62</v>
      </c>
      <c r="D332" s="994"/>
      <c r="E332" s="995"/>
      <c r="F332" s="995"/>
      <c r="G332" s="995"/>
      <c r="H332" s="995"/>
      <c r="I332" s="999" t="s">
        <v>1767</v>
      </c>
      <c r="J332" s="1000"/>
      <c r="K332" s="1009"/>
      <c r="L332" s="1009" t="s">
        <v>2967</v>
      </c>
      <c r="M332" s="1009" t="s">
        <v>1009</v>
      </c>
      <c r="N332" s="1009" t="s">
        <v>1009</v>
      </c>
      <c r="O332" s="1009" t="s">
        <v>1009</v>
      </c>
      <c r="P332" s="1009"/>
      <c r="Q332" s="1400"/>
      <c r="R332" s="1010"/>
    </row>
    <row r="333" spans="1:18" ht="30" customHeight="1">
      <c r="A333" s="992"/>
      <c r="B333" s="995"/>
      <c r="C333" s="995"/>
      <c r="D333" s="994"/>
      <c r="E333" s="995"/>
      <c r="F333" s="995"/>
      <c r="G333" s="995"/>
      <c r="H333" s="995"/>
      <c r="I333" s="999"/>
      <c r="J333" s="1000">
        <v>385.64</v>
      </c>
      <c r="K333" s="1009"/>
      <c r="L333" s="1009"/>
      <c r="M333" s="1009"/>
      <c r="N333" s="1009"/>
      <c r="O333" s="1009"/>
      <c r="P333" s="1009"/>
      <c r="Q333" s="1400"/>
      <c r="R333" s="1010"/>
    </row>
    <row r="334" spans="1:18" ht="30" customHeight="1">
      <c r="A334" s="992">
        <f>A332+1</f>
        <v>164</v>
      </c>
      <c r="B334" s="995" t="s">
        <v>2532</v>
      </c>
      <c r="C334" s="1027" t="s">
        <v>249</v>
      </c>
      <c r="D334" s="994"/>
      <c r="E334" s="995"/>
      <c r="F334" s="995"/>
      <c r="G334" s="995"/>
      <c r="H334" s="995"/>
      <c r="I334" s="999" t="s">
        <v>1767</v>
      </c>
      <c r="J334" s="1000"/>
      <c r="K334" s="1009"/>
      <c r="L334" s="1009" t="s">
        <v>2967</v>
      </c>
      <c r="M334" s="1009" t="s">
        <v>1009</v>
      </c>
      <c r="N334" s="1009" t="s">
        <v>1009</v>
      </c>
      <c r="O334" s="1009"/>
      <c r="P334" s="1009"/>
      <c r="Q334" s="1400"/>
      <c r="R334" s="1010"/>
    </row>
    <row r="335" spans="1:18" ht="30" customHeight="1">
      <c r="A335" s="992"/>
      <c r="B335" s="995"/>
      <c r="C335" s="995"/>
      <c r="D335" s="994"/>
      <c r="E335" s="995"/>
      <c r="F335" s="995"/>
      <c r="G335" s="995"/>
      <c r="H335" s="995"/>
      <c r="I335" s="999"/>
      <c r="J335" s="1000">
        <v>372.69900000000001</v>
      </c>
      <c r="K335" s="1009"/>
      <c r="L335" s="1009"/>
      <c r="M335" s="1009"/>
      <c r="N335" s="1009"/>
      <c r="O335" s="1009"/>
      <c r="P335" s="1009"/>
      <c r="Q335" s="1401"/>
      <c r="R335" s="1011" t="s">
        <v>3283</v>
      </c>
    </row>
    <row r="336" spans="1:18" ht="30" customHeight="1">
      <c r="A336" s="992">
        <f>A334+1</f>
        <v>165</v>
      </c>
      <c r="B336" s="995" t="s">
        <v>3053</v>
      </c>
      <c r="C336" s="995" t="s">
        <v>1957</v>
      </c>
      <c r="D336" s="994" t="s">
        <v>2534</v>
      </c>
      <c r="E336" s="995">
        <v>1.5</v>
      </c>
      <c r="F336" s="995">
        <v>1.5</v>
      </c>
      <c r="G336" s="995">
        <v>1.5</v>
      </c>
      <c r="H336" s="995">
        <v>1.5</v>
      </c>
      <c r="I336" s="999" t="s">
        <v>1767</v>
      </c>
      <c r="J336" s="1000"/>
      <c r="K336" s="1009"/>
      <c r="L336" s="1009" t="s">
        <v>2967</v>
      </c>
      <c r="M336" s="1009" t="s">
        <v>1009</v>
      </c>
      <c r="N336" s="1009"/>
      <c r="O336" s="1009"/>
      <c r="P336" s="1009"/>
      <c r="Q336" s="996"/>
      <c r="R336" s="1010"/>
    </row>
    <row r="337" spans="1:18" ht="30" customHeight="1">
      <c r="A337" s="992"/>
      <c r="B337" s="995"/>
      <c r="C337" s="995"/>
      <c r="D337" s="994"/>
      <c r="E337" s="995"/>
      <c r="F337" s="995"/>
      <c r="G337" s="995"/>
      <c r="H337" s="995"/>
      <c r="I337" s="999"/>
      <c r="J337" s="1000">
        <v>407.91199999999998</v>
      </c>
      <c r="K337" s="1009"/>
      <c r="L337" s="1009"/>
      <c r="M337" s="1009"/>
      <c r="N337" s="1009"/>
      <c r="O337" s="1009"/>
      <c r="P337" s="1009"/>
      <c r="Q337" s="1399"/>
      <c r="R337" s="1045"/>
    </row>
    <row r="338" spans="1:18" ht="30" customHeight="1">
      <c r="A338" s="992">
        <f>A336+1</f>
        <v>166</v>
      </c>
      <c r="B338" s="995" t="s">
        <v>2535</v>
      </c>
      <c r="C338" s="995" t="s">
        <v>62</v>
      </c>
      <c r="D338" s="994"/>
      <c r="E338" s="995"/>
      <c r="F338" s="995"/>
      <c r="G338" s="995"/>
      <c r="H338" s="995"/>
      <c r="I338" s="999" t="s">
        <v>1767</v>
      </c>
      <c r="J338" s="1000"/>
      <c r="K338" s="1009"/>
      <c r="L338" s="1009" t="s">
        <v>2967</v>
      </c>
      <c r="M338" s="1009" t="s">
        <v>1009</v>
      </c>
      <c r="N338" s="1009" t="s">
        <v>1009</v>
      </c>
      <c r="O338" s="1009" t="s">
        <v>22</v>
      </c>
      <c r="P338" s="1009"/>
      <c r="Q338" s="1400"/>
      <c r="R338" s="1010"/>
    </row>
    <row r="339" spans="1:18" ht="30" customHeight="1">
      <c r="A339" s="992"/>
      <c r="B339" s="995"/>
      <c r="C339" s="995"/>
      <c r="D339" s="994"/>
      <c r="E339" s="995"/>
      <c r="F339" s="995"/>
      <c r="G339" s="995"/>
      <c r="H339" s="995"/>
      <c r="I339" s="999"/>
      <c r="J339" s="1000">
        <v>408.16500000000002</v>
      </c>
      <c r="K339" s="1009"/>
      <c r="L339" s="1009"/>
      <c r="M339" s="1009"/>
      <c r="N339" s="1009"/>
      <c r="O339" s="1009"/>
      <c r="P339" s="1009"/>
      <c r="Q339" s="1401"/>
      <c r="R339" s="1010"/>
    </row>
    <row r="340" spans="1:18" ht="30" customHeight="1">
      <c r="A340" s="992">
        <f>A338+1</f>
        <v>167</v>
      </c>
      <c r="B340" s="995" t="s">
        <v>3054</v>
      </c>
      <c r="C340" s="995" t="s">
        <v>1402</v>
      </c>
      <c r="D340" s="994" t="s">
        <v>2537</v>
      </c>
      <c r="E340" s="995"/>
      <c r="F340" s="995"/>
      <c r="G340" s="995"/>
      <c r="H340" s="995"/>
      <c r="I340" s="999"/>
      <c r="J340" s="1000"/>
      <c r="K340" s="1009"/>
      <c r="L340" s="1009"/>
      <c r="M340" s="1009"/>
      <c r="N340" s="1009"/>
      <c r="O340" s="1009"/>
      <c r="P340" s="1009"/>
      <c r="Q340" s="996"/>
      <c r="R340" s="1010"/>
    </row>
    <row r="341" spans="1:18" ht="38" customHeight="1">
      <c r="A341" s="992"/>
      <c r="B341" s="995"/>
      <c r="C341" s="995"/>
      <c r="D341" s="994"/>
      <c r="E341" s="995"/>
      <c r="F341" s="995"/>
      <c r="G341" s="995"/>
      <c r="H341" s="995"/>
      <c r="I341" s="999"/>
      <c r="J341" s="1000">
        <v>227.36600000000001</v>
      </c>
      <c r="K341" s="1009"/>
      <c r="L341" s="1009"/>
      <c r="M341" s="1009"/>
      <c r="N341" s="1009"/>
      <c r="O341" s="1009"/>
      <c r="P341" s="1009"/>
      <c r="Q341" s="996"/>
      <c r="R341" s="1013" t="s">
        <v>3284</v>
      </c>
    </row>
    <row r="342" spans="1:18" ht="30" customHeight="1">
      <c r="A342" s="992">
        <f>A340+1</f>
        <v>168</v>
      </c>
      <c r="B342" s="995" t="s">
        <v>3055</v>
      </c>
      <c r="C342" s="995" t="s">
        <v>90</v>
      </c>
      <c r="D342" s="994" t="s">
        <v>2539</v>
      </c>
      <c r="E342" s="995"/>
      <c r="F342" s="995"/>
      <c r="G342" s="995"/>
      <c r="H342" s="995"/>
      <c r="I342" s="999"/>
      <c r="J342" s="1000"/>
      <c r="K342" s="1009"/>
      <c r="L342" s="1009"/>
      <c r="M342" s="1009"/>
      <c r="N342" s="1009"/>
      <c r="O342" s="1009"/>
      <c r="P342" s="1009"/>
      <c r="Q342" s="996"/>
      <c r="R342" s="1010"/>
    </row>
    <row r="343" spans="1:18" ht="30" customHeight="1">
      <c r="A343" s="992"/>
      <c r="B343" s="995"/>
      <c r="C343" s="995"/>
      <c r="D343" s="994"/>
      <c r="E343" s="995"/>
      <c r="F343" s="995"/>
      <c r="G343" s="995"/>
      <c r="H343" s="995"/>
      <c r="I343" s="999"/>
      <c r="J343" s="1000">
        <v>401.36599999999999</v>
      </c>
      <c r="K343" s="1009"/>
      <c r="L343" s="1009"/>
      <c r="M343" s="1009"/>
      <c r="N343" s="1009"/>
      <c r="O343" s="1009"/>
      <c r="P343" s="1009"/>
      <c r="Q343" s="996"/>
      <c r="R343" s="1010"/>
    </row>
    <row r="344" spans="1:18" ht="30" customHeight="1">
      <c r="A344" s="992">
        <f>A342+1</f>
        <v>169</v>
      </c>
      <c r="B344" s="995" t="s">
        <v>3056</v>
      </c>
      <c r="C344" s="995" t="s">
        <v>90</v>
      </c>
      <c r="D344" s="994" t="s">
        <v>2541</v>
      </c>
      <c r="E344" s="995"/>
      <c r="F344" s="995"/>
      <c r="G344" s="995"/>
      <c r="H344" s="995"/>
      <c r="I344" s="999" t="s">
        <v>1767</v>
      </c>
      <c r="J344" s="1000"/>
      <c r="K344" s="1009"/>
      <c r="L344" s="1009" t="s">
        <v>2967</v>
      </c>
      <c r="M344" s="1009" t="s">
        <v>1009</v>
      </c>
      <c r="N344" s="1009" t="s">
        <v>1009</v>
      </c>
      <c r="O344" s="1009"/>
      <c r="P344" s="1009"/>
      <c r="Q344" s="996"/>
      <c r="R344" s="1060"/>
    </row>
    <row r="345" spans="1:18" ht="30" customHeight="1">
      <c r="A345" s="992"/>
      <c r="B345" s="995"/>
      <c r="C345" s="995"/>
      <c r="D345" s="994"/>
      <c r="E345" s="995"/>
      <c r="F345" s="995"/>
      <c r="G345" s="995"/>
      <c r="H345" s="995"/>
      <c r="I345" s="999"/>
      <c r="J345" s="1000">
        <v>403.06400000000002</v>
      </c>
      <c r="K345" s="1009"/>
      <c r="L345" s="1009"/>
      <c r="M345" s="1009"/>
      <c r="N345" s="1009"/>
      <c r="O345" s="1009"/>
      <c r="P345" s="1009"/>
      <c r="Q345" s="1399"/>
      <c r="R345" s="1010"/>
    </row>
    <row r="346" spans="1:18" ht="30" customHeight="1">
      <c r="A346" s="992">
        <f>A344+1</f>
        <v>170</v>
      </c>
      <c r="B346" s="995" t="s">
        <v>2542</v>
      </c>
      <c r="C346" s="995" t="s">
        <v>53</v>
      </c>
      <c r="D346" s="994"/>
      <c r="E346" s="995"/>
      <c r="F346" s="995"/>
      <c r="G346" s="995"/>
      <c r="H346" s="995"/>
      <c r="I346" s="999" t="s">
        <v>1767</v>
      </c>
      <c r="J346" s="1000"/>
      <c r="K346" s="1009"/>
      <c r="L346" s="1009" t="s">
        <v>2967</v>
      </c>
      <c r="M346" s="1009" t="s">
        <v>1009</v>
      </c>
      <c r="N346" s="1009" t="s">
        <v>1009</v>
      </c>
      <c r="O346" s="1009"/>
      <c r="P346" s="1009"/>
      <c r="Q346" s="1400"/>
      <c r="R346" s="1060"/>
    </row>
    <row r="347" spans="1:18" ht="30" customHeight="1">
      <c r="A347" s="992"/>
      <c r="B347" s="995"/>
      <c r="C347" s="995"/>
      <c r="D347" s="994"/>
      <c r="E347" s="995"/>
      <c r="F347" s="995"/>
      <c r="G347" s="995"/>
      <c r="H347" s="995"/>
      <c r="I347" s="999"/>
      <c r="J347" s="1000">
        <v>398.93299999999999</v>
      </c>
      <c r="K347" s="1009"/>
      <c r="L347" s="1009"/>
      <c r="M347" s="1009"/>
      <c r="N347" s="1009"/>
      <c r="O347" s="1009"/>
      <c r="P347" s="1009"/>
      <c r="Q347" s="1400"/>
      <c r="R347" s="1010"/>
    </row>
    <row r="348" spans="1:18" ht="30" customHeight="1">
      <c r="A348" s="992">
        <f>A346+1</f>
        <v>171</v>
      </c>
      <c r="B348" s="995" t="s">
        <v>2543</v>
      </c>
      <c r="C348" s="995" t="s">
        <v>62</v>
      </c>
      <c r="D348" s="994"/>
      <c r="E348" s="995"/>
      <c r="F348" s="995"/>
      <c r="G348" s="995"/>
      <c r="H348" s="995"/>
      <c r="I348" s="999" t="s">
        <v>1767</v>
      </c>
      <c r="J348" s="1000"/>
      <c r="K348" s="1009"/>
      <c r="L348" s="1009" t="s">
        <v>2967</v>
      </c>
      <c r="M348" s="1009" t="s">
        <v>1009</v>
      </c>
      <c r="N348" s="1009" t="s">
        <v>1009</v>
      </c>
      <c r="O348" s="1009"/>
      <c r="P348" s="1009"/>
      <c r="Q348" s="1400"/>
      <c r="R348" s="1010"/>
    </row>
    <row r="349" spans="1:18" ht="30" customHeight="1">
      <c r="A349" s="992"/>
      <c r="B349" s="995"/>
      <c r="C349" s="995"/>
      <c r="D349" s="994"/>
      <c r="E349" s="995"/>
      <c r="F349" s="995"/>
      <c r="G349" s="995"/>
      <c r="H349" s="995"/>
      <c r="I349" s="999"/>
      <c r="J349" s="1000">
        <v>419.90499999999997</v>
      </c>
      <c r="K349" s="1009"/>
      <c r="L349" s="1009"/>
      <c r="M349" s="1009"/>
      <c r="N349" s="1009"/>
      <c r="O349" s="1009"/>
      <c r="P349" s="1009"/>
      <c r="Q349" s="1401"/>
      <c r="R349" s="1010"/>
    </row>
    <row r="350" spans="1:18" ht="30" customHeight="1">
      <c r="A350" s="992">
        <f>A348+1</f>
        <v>172</v>
      </c>
      <c r="B350" s="995" t="s">
        <v>3057</v>
      </c>
      <c r="C350" s="995" t="s">
        <v>1361</v>
      </c>
      <c r="D350" s="994" t="s">
        <v>2573</v>
      </c>
      <c r="E350" s="995"/>
      <c r="F350" s="995"/>
      <c r="G350" s="995"/>
      <c r="H350" s="995"/>
      <c r="I350" s="999" t="s">
        <v>1767</v>
      </c>
      <c r="J350" s="1000"/>
      <c r="K350" s="1009"/>
      <c r="L350" s="1009" t="s">
        <v>2967</v>
      </c>
      <c r="M350" s="1009" t="s">
        <v>22</v>
      </c>
      <c r="N350" s="1009"/>
      <c r="O350" s="1009"/>
      <c r="P350" s="1009"/>
      <c r="Q350" s="996"/>
      <c r="R350" s="1010"/>
    </row>
    <row r="351" spans="1:18" ht="30" customHeight="1">
      <c r="A351" s="992"/>
      <c r="B351" s="995"/>
      <c r="C351" s="995"/>
      <c r="D351" s="994"/>
      <c r="E351" s="995"/>
      <c r="F351" s="995"/>
      <c r="G351" s="995"/>
      <c r="H351" s="995"/>
      <c r="I351" s="999"/>
      <c r="J351" s="1000">
        <v>373.38900000000001</v>
      </c>
      <c r="K351" s="1009"/>
      <c r="L351" s="1009"/>
      <c r="M351" s="1009"/>
      <c r="N351" s="1009"/>
      <c r="O351" s="1009"/>
      <c r="P351" s="1009"/>
      <c r="Q351" s="1399"/>
      <c r="R351" s="1010"/>
    </row>
    <row r="352" spans="1:18" ht="30" customHeight="1">
      <c r="A352" s="992">
        <f>A350+1</f>
        <v>173</v>
      </c>
      <c r="B352" s="995" t="s">
        <v>2546</v>
      </c>
      <c r="C352" s="995" t="s">
        <v>62</v>
      </c>
      <c r="D352" s="994"/>
      <c r="E352" s="995"/>
      <c r="F352" s="995"/>
      <c r="G352" s="995"/>
      <c r="H352" s="995"/>
      <c r="I352" s="999" t="s">
        <v>1767</v>
      </c>
      <c r="J352" s="1000"/>
      <c r="K352" s="1009"/>
      <c r="L352" s="1009" t="s">
        <v>2967</v>
      </c>
      <c r="M352" s="1009" t="s">
        <v>1009</v>
      </c>
      <c r="N352" s="1009" t="s">
        <v>1009</v>
      </c>
      <c r="O352" s="1009"/>
      <c r="P352" s="1009"/>
      <c r="Q352" s="1400"/>
      <c r="R352" s="1060"/>
    </row>
    <row r="353" spans="1:18" ht="30" customHeight="1">
      <c r="A353" s="992"/>
      <c r="B353" s="995"/>
      <c r="C353" s="995"/>
      <c r="D353" s="994"/>
      <c r="E353" s="995"/>
      <c r="F353" s="995"/>
      <c r="G353" s="995"/>
      <c r="H353" s="995"/>
      <c r="I353" s="999"/>
      <c r="J353" s="1000">
        <v>419.81299999999999</v>
      </c>
      <c r="K353" s="1009"/>
      <c r="L353" s="1009"/>
      <c r="M353" s="1009"/>
      <c r="N353" s="1009"/>
      <c r="O353" s="1009"/>
      <c r="P353" s="1009"/>
      <c r="Q353" s="1400"/>
      <c r="R353" s="988"/>
    </row>
    <row r="354" spans="1:18" ht="30" customHeight="1">
      <c r="A354" s="992">
        <f>A352+1</f>
        <v>174</v>
      </c>
      <c r="B354" s="995" t="s">
        <v>2547</v>
      </c>
      <c r="C354" s="995" t="s">
        <v>62</v>
      </c>
      <c r="D354" s="994"/>
      <c r="E354" s="995"/>
      <c r="F354" s="995"/>
      <c r="G354" s="995"/>
      <c r="H354" s="995"/>
      <c r="I354" s="999" t="s">
        <v>1767</v>
      </c>
      <c r="J354" s="1000"/>
      <c r="K354" s="1009"/>
      <c r="L354" s="1009" t="s">
        <v>2967</v>
      </c>
      <c r="M354" s="1009" t="s">
        <v>1009</v>
      </c>
      <c r="N354" s="1009" t="s">
        <v>1009</v>
      </c>
      <c r="O354" s="1009"/>
      <c r="P354" s="1009"/>
      <c r="Q354" s="1400"/>
      <c r="R354" s="988"/>
    </row>
    <row r="355" spans="1:18" ht="30" customHeight="1">
      <c r="A355" s="992"/>
      <c r="B355" s="995"/>
      <c r="C355" s="995"/>
      <c r="D355" s="994"/>
      <c r="E355" s="995"/>
      <c r="F355" s="995"/>
      <c r="G355" s="995"/>
      <c r="H355" s="995"/>
      <c r="I355" s="999"/>
      <c r="J355" s="1000">
        <v>410.04899999999998</v>
      </c>
      <c r="K355" s="1009"/>
      <c r="L355" s="1009"/>
      <c r="M355" s="1009"/>
      <c r="N355" s="1009"/>
      <c r="O355" s="1009"/>
      <c r="P355" s="1009"/>
      <c r="Q355" s="1400"/>
      <c r="R355" s="988"/>
    </row>
    <row r="356" spans="1:18" ht="30" customHeight="1">
      <c r="A356" s="992">
        <f>A354+1</f>
        <v>175</v>
      </c>
      <c r="B356" s="995" t="s">
        <v>2548</v>
      </c>
      <c r="C356" s="995" t="s">
        <v>76</v>
      </c>
      <c r="D356" s="994"/>
      <c r="E356" s="995"/>
      <c r="F356" s="995"/>
      <c r="G356" s="995"/>
      <c r="H356" s="995"/>
      <c r="I356" s="999" t="s">
        <v>1767</v>
      </c>
      <c r="J356" s="1000"/>
      <c r="K356" s="1009"/>
      <c r="L356" s="1009" t="s">
        <v>2967</v>
      </c>
      <c r="M356" s="1009" t="s">
        <v>1009</v>
      </c>
      <c r="N356" s="1009"/>
      <c r="O356" s="1009"/>
      <c r="P356" s="1009"/>
      <c r="Q356" s="1400"/>
      <c r="R356" s="988"/>
    </row>
    <row r="357" spans="1:18" ht="30" customHeight="1">
      <c r="A357" s="992"/>
      <c r="B357" s="995"/>
      <c r="C357" s="995"/>
      <c r="D357" s="994"/>
      <c r="E357" s="995"/>
      <c r="F357" s="995"/>
      <c r="G357" s="995"/>
      <c r="H357" s="995"/>
      <c r="I357" s="999"/>
      <c r="J357" s="1000">
        <v>415.17099999999999</v>
      </c>
      <c r="K357" s="1009"/>
      <c r="L357" s="1009"/>
      <c r="M357" s="1009"/>
      <c r="N357" s="1009"/>
      <c r="O357" s="1009"/>
      <c r="P357" s="1009"/>
      <c r="Q357" s="1400"/>
      <c r="R357" s="988"/>
    </row>
    <row r="358" spans="1:18" ht="30" customHeight="1">
      <c r="A358" s="992">
        <f>A356+1</f>
        <v>176</v>
      </c>
      <c r="B358" s="995" t="s">
        <v>2549</v>
      </c>
      <c r="C358" s="995" t="s">
        <v>62</v>
      </c>
      <c r="D358" s="994"/>
      <c r="E358" s="995"/>
      <c r="F358" s="995"/>
      <c r="G358" s="995"/>
      <c r="H358" s="995"/>
      <c r="I358" s="999" t="s">
        <v>1767</v>
      </c>
      <c r="J358" s="1000"/>
      <c r="K358" s="1009"/>
      <c r="L358" s="1009" t="s">
        <v>2967</v>
      </c>
      <c r="M358" s="1009" t="s">
        <v>1009</v>
      </c>
      <c r="N358" s="1009"/>
      <c r="O358" s="1009"/>
      <c r="P358" s="1009"/>
      <c r="Q358" s="1400"/>
      <c r="R358" s="988"/>
    </row>
    <row r="359" spans="1:18" ht="30" customHeight="1">
      <c r="A359" s="992"/>
      <c r="B359" s="995"/>
      <c r="C359" s="995"/>
      <c r="D359" s="994"/>
      <c r="E359" s="995"/>
      <c r="F359" s="995"/>
      <c r="G359" s="995"/>
      <c r="H359" s="995"/>
      <c r="I359" s="999"/>
      <c r="J359" s="1000">
        <v>381.971</v>
      </c>
      <c r="K359" s="1009"/>
      <c r="L359" s="1009"/>
      <c r="M359" s="1009"/>
      <c r="N359" s="1009"/>
      <c r="O359" s="1009"/>
      <c r="P359" s="1009"/>
      <c r="Q359" s="1401"/>
      <c r="R359" s="988"/>
    </row>
    <row r="360" spans="1:18" ht="30" customHeight="1">
      <c r="A360" s="992">
        <f>A358+1</f>
        <v>177</v>
      </c>
      <c r="B360" s="995" t="s">
        <v>3058</v>
      </c>
      <c r="C360" s="995" t="s">
        <v>1361</v>
      </c>
      <c r="D360" s="994" t="s">
        <v>2576</v>
      </c>
      <c r="E360" s="995"/>
      <c r="F360" s="995"/>
      <c r="G360" s="995"/>
      <c r="H360" s="995"/>
      <c r="I360" s="999" t="s">
        <v>1767</v>
      </c>
      <c r="J360" s="1000"/>
      <c r="K360" s="1009"/>
      <c r="L360" s="1009" t="s">
        <v>2967</v>
      </c>
      <c r="M360" s="1009" t="s">
        <v>1009</v>
      </c>
      <c r="N360" s="1009"/>
      <c r="O360" s="1009"/>
      <c r="P360" s="1009"/>
      <c r="Q360" s="996"/>
      <c r="R360" s="988"/>
    </row>
    <row r="361" spans="1:18" ht="30" customHeight="1">
      <c r="A361" s="992"/>
      <c r="B361" s="995"/>
      <c r="C361" s="995"/>
      <c r="D361" s="994"/>
      <c r="E361" s="995"/>
      <c r="F361" s="995"/>
      <c r="G361" s="995"/>
      <c r="H361" s="995"/>
      <c r="I361" s="999"/>
      <c r="J361" s="1000">
        <v>377.62299999999999</v>
      </c>
      <c r="K361" s="1009"/>
      <c r="L361" s="1009"/>
      <c r="M361" s="1009"/>
      <c r="N361" s="1009"/>
      <c r="O361" s="1009"/>
      <c r="P361" s="1009"/>
      <c r="Q361" s="1399"/>
      <c r="R361" s="988"/>
    </row>
    <row r="362" spans="1:18" ht="30" customHeight="1">
      <c r="A362" s="992">
        <f>A360+1</f>
        <v>178</v>
      </c>
      <c r="B362" s="995" t="s">
        <v>2552</v>
      </c>
      <c r="C362" s="995" t="s">
        <v>76</v>
      </c>
      <c r="D362" s="994"/>
      <c r="E362" s="995"/>
      <c r="F362" s="995"/>
      <c r="G362" s="995"/>
      <c r="H362" s="995"/>
      <c r="I362" s="999" t="s">
        <v>1767</v>
      </c>
      <c r="J362" s="1000"/>
      <c r="K362" s="1009"/>
      <c r="L362" s="1009" t="s">
        <v>2967</v>
      </c>
      <c r="M362" s="1009" t="s">
        <v>1009</v>
      </c>
      <c r="N362" s="1009" t="s">
        <v>1009</v>
      </c>
      <c r="O362" s="1009"/>
      <c r="P362" s="1009"/>
      <c r="Q362" s="1400"/>
      <c r="R362" s="988"/>
    </row>
    <row r="363" spans="1:18" ht="30" customHeight="1">
      <c r="A363" s="992"/>
      <c r="B363" s="995"/>
      <c r="C363" s="995"/>
      <c r="D363" s="994"/>
      <c r="E363" s="995"/>
      <c r="F363" s="995"/>
      <c r="G363" s="995"/>
      <c r="H363" s="995"/>
      <c r="I363" s="999"/>
      <c r="J363" s="1000">
        <v>354.13799999999998</v>
      </c>
      <c r="K363" s="1009"/>
      <c r="L363" s="1009"/>
      <c r="M363" s="1009"/>
      <c r="N363" s="1009"/>
      <c r="O363" s="1009"/>
      <c r="P363" s="1009"/>
      <c r="Q363" s="1400"/>
      <c r="R363" s="988"/>
    </row>
    <row r="364" spans="1:18" ht="30" customHeight="1">
      <c r="A364" s="992">
        <f>A362+1</f>
        <v>179</v>
      </c>
      <c r="B364" s="995" t="s">
        <v>2553</v>
      </c>
      <c r="C364" s="995" t="s">
        <v>76</v>
      </c>
      <c r="D364" s="994"/>
      <c r="E364" s="995"/>
      <c r="F364" s="995"/>
      <c r="G364" s="995"/>
      <c r="H364" s="995"/>
      <c r="I364" s="999" t="s">
        <v>1767</v>
      </c>
      <c r="J364" s="1000"/>
      <c r="K364" s="1009"/>
      <c r="L364" s="1009" t="s">
        <v>2967</v>
      </c>
      <c r="M364" s="1009" t="s">
        <v>1009</v>
      </c>
      <c r="N364" s="1009" t="s">
        <v>1009</v>
      </c>
      <c r="O364" s="1009"/>
      <c r="P364" s="1009"/>
      <c r="Q364" s="1400"/>
      <c r="R364" s="988"/>
    </row>
    <row r="365" spans="1:18" ht="30" customHeight="1">
      <c r="A365" s="992"/>
      <c r="B365" s="995"/>
      <c r="C365" s="995"/>
      <c r="D365" s="994"/>
      <c r="E365" s="995"/>
      <c r="F365" s="995"/>
      <c r="G365" s="995"/>
      <c r="H365" s="995"/>
      <c r="I365" s="999"/>
      <c r="J365" s="1000">
        <v>305.82600000000002</v>
      </c>
      <c r="K365" s="1009"/>
      <c r="L365" s="1009"/>
      <c r="M365" s="1009"/>
      <c r="N365" s="1009"/>
      <c r="O365" s="1009"/>
      <c r="P365" s="1009"/>
      <c r="Q365" s="1401"/>
      <c r="R365" s="988"/>
    </row>
    <row r="366" spans="1:18" ht="30" customHeight="1">
      <c r="A366" s="992">
        <f>A364+1</f>
        <v>180</v>
      </c>
      <c r="B366" s="995" t="s">
        <v>3059</v>
      </c>
      <c r="C366" s="995" t="s">
        <v>1319</v>
      </c>
      <c r="D366" s="994" t="s">
        <v>2563</v>
      </c>
      <c r="E366" s="995"/>
      <c r="F366" s="995"/>
      <c r="G366" s="995"/>
      <c r="H366" s="995"/>
      <c r="I366" s="999" t="s">
        <v>1767</v>
      </c>
      <c r="J366" s="1000"/>
      <c r="K366" s="1009"/>
      <c r="L366" s="1009" t="s">
        <v>2967</v>
      </c>
      <c r="M366" s="1009" t="s">
        <v>1009</v>
      </c>
      <c r="N366" s="1009" t="s">
        <v>1009</v>
      </c>
      <c r="O366" s="1009"/>
      <c r="P366" s="1009"/>
      <c r="Q366" s="996"/>
      <c r="R366" s="988"/>
    </row>
    <row r="367" spans="1:18" ht="30" customHeight="1">
      <c r="A367" s="992"/>
      <c r="B367" s="995"/>
      <c r="C367" s="995"/>
      <c r="D367" s="994"/>
      <c r="E367" s="995"/>
      <c r="F367" s="995"/>
      <c r="G367" s="995"/>
      <c r="H367" s="995"/>
      <c r="I367" s="999"/>
      <c r="J367" s="1000">
        <v>320.98700000000002</v>
      </c>
      <c r="K367" s="1009"/>
      <c r="L367" s="1009"/>
      <c r="M367" s="1009"/>
      <c r="N367" s="1009"/>
      <c r="O367" s="1009"/>
      <c r="P367" s="1009"/>
      <c r="Q367" s="1399"/>
      <c r="R367" s="988"/>
    </row>
    <row r="368" spans="1:18" ht="30" customHeight="1">
      <c r="A368" s="992">
        <f>A366+1</f>
        <v>181</v>
      </c>
      <c r="B368" s="995" t="s">
        <v>2558</v>
      </c>
      <c r="C368" s="995" t="s">
        <v>76</v>
      </c>
      <c r="D368" s="994"/>
      <c r="E368" s="995"/>
      <c r="F368" s="995"/>
      <c r="G368" s="995"/>
      <c r="H368" s="995"/>
      <c r="I368" s="999" t="s">
        <v>1767</v>
      </c>
      <c r="J368" s="1000"/>
      <c r="K368" s="1009"/>
      <c r="L368" s="1009" t="s">
        <v>2967</v>
      </c>
      <c r="M368" s="1009" t="s">
        <v>1009</v>
      </c>
      <c r="N368" s="1009" t="s">
        <v>1009</v>
      </c>
      <c r="O368" s="1009"/>
      <c r="P368" s="1009"/>
      <c r="Q368" s="1400"/>
      <c r="R368" s="988"/>
    </row>
    <row r="369" spans="1:18" ht="30" customHeight="1">
      <c r="A369" s="992"/>
      <c r="B369" s="995"/>
      <c r="C369" s="995"/>
      <c r="D369" s="994"/>
      <c r="E369" s="995"/>
      <c r="F369" s="995"/>
      <c r="G369" s="995"/>
      <c r="H369" s="995"/>
      <c r="I369" s="999"/>
      <c r="J369" s="1000">
        <v>329.94600000000003</v>
      </c>
      <c r="K369" s="1009"/>
      <c r="L369" s="1009"/>
      <c r="M369" s="1009"/>
      <c r="N369" s="1009"/>
      <c r="O369" s="1009"/>
      <c r="P369" s="1009"/>
      <c r="Q369" s="1400"/>
      <c r="R369" s="1010"/>
    </row>
    <row r="370" spans="1:18" ht="30" customHeight="1">
      <c r="A370" s="992">
        <f>A368+1</f>
        <v>182</v>
      </c>
      <c r="B370" s="995" t="s">
        <v>2559</v>
      </c>
      <c r="C370" s="995" t="s">
        <v>76</v>
      </c>
      <c r="D370" s="994"/>
      <c r="E370" s="995"/>
      <c r="F370" s="995"/>
      <c r="G370" s="995"/>
      <c r="H370" s="995"/>
      <c r="I370" s="999" t="s">
        <v>1767</v>
      </c>
      <c r="J370" s="1000"/>
      <c r="K370" s="1009"/>
      <c r="L370" s="1009" t="s">
        <v>2967</v>
      </c>
      <c r="M370" s="1009" t="s">
        <v>1009</v>
      </c>
      <c r="N370" s="1009" t="s">
        <v>1009</v>
      </c>
      <c r="O370" s="1009"/>
      <c r="P370" s="1009"/>
      <c r="Q370" s="1400"/>
      <c r="R370" s="1010"/>
    </row>
    <row r="371" spans="1:18" ht="30" customHeight="1">
      <c r="A371" s="992"/>
      <c r="B371" s="995"/>
      <c r="C371" s="995"/>
      <c r="D371" s="994"/>
      <c r="E371" s="995"/>
      <c r="F371" s="995"/>
      <c r="G371" s="995"/>
      <c r="H371" s="995"/>
      <c r="I371" s="999"/>
      <c r="J371" s="1000">
        <v>294.041</v>
      </c>
      <c r="K371" s="1009"/>
      <c r="L371" s="1009"/>
      <c r="M371" s="1009"/>
      <c r="N371" s="1009"/>
      <c r="O371" s="1009"/>
      <c r="P371" s="1009"/>
      <c r="Q371" s="1401"/>
      <c r="R371" s="1010"/>
    </row>
    <row r="372" spans="1:18" ht="30" customHeight="1">
      <c r="A372" s="992">
        <f>A370+1</f>
        <v>183</v>
      </c>
      <c r="B372" s="995" t="s">
        <v>3060</v>
      </c>
      <c r="C372" s="995" t="s">
        <v>1269</v>
      </c>
      <c r="D372" s="994" t="s">
        <v>2580</v>
      </c>
      <c r="E372" s="995"/>
      <c r="F372" s="995"/>
      <c r="G372" s="995"/>
      <c r="H372" s="995"/>
      <c r="I372" s="999" t="s">
        <v>1767</v>
      </c>
      <c r="J372" s="1000"/>
      <c r="K372" s="1009"/>
      <c r="L372" s="1009" t="s">
        <v>2967</v>
      </c>
      <c r="M372" s="1009" t="s">
        <v>1009</v>
      </c>
      <c r="N372" s="1009"/>
      <c r="O372" s="1009"/>
      <c r="P372" s="1009"/>
      <c r="Q372" s="996"/>
      <c r="R372" s="1010"/>
    </row>
    <row r="373" spans="1:18" ht="30" customHeight="1">
      <c r="A373" s="992"/>
      <c r="B373" s="995"/>
      <c r="C373" s="995"/>
      <c r="D373" s="994"/>
      <c r="E373" s="995"/>
      <c r="F373" s="995"/>
      <c r="G373" s="995"/>
      <c r="H373" s="995"/>
      <c r="I373" s="999"/>
      <c r="J373" s="1000">
        <v>381.66899999999998</v>
      </c>
      <c r="K373" s="1009"/>
      <c r="L373" s="1009"/>
      <c r="M373" s="1009"/>
      <c r="N373" s="1009"/>
      <c r="O373" s="1009"/>
      <c r="P373" s="1009"/>
      <c r="Q373" s="1399"/>
      <c r="R373" s="1010"/>
    </row>
    <row r="374" spans="1:18" ht="30" customHeight="1">
      <c r="A374" s="992">
        <f>A372+1</f>
        <v>184</v>
      </c>
      <c r="B374" s="995" t="s">
        <v>2561</v>
      </c>
      <c r="C374" s="995" t="s">
        <v>62</v>
      </c>
      <c r="D374" s="994"/>
      <c r="E374" s="995"/>
      <c r="F374" s="995"/>
      <c r="G374" s="995"/>
      <c r="H374" s="995"/>
      <c r="I374" s="999" t="s">
        <v>1767</v>
      </c>
      <c r="J374" s="1000"/>
      <c r="K374" s="1009"/>
      <c r="L374" s="1009" t="s">
        <v>2967</v>
      </c>
      <c r="M374" s="1009" t="s">
        <v>1009</v>
      </c>
      <c r="N374" s="1009" t="s">
        <v>1009</v>
      </c>
      <c r="O374" s="1009"/>
      <c r="P374" s="1009"/>
      <c r="Q374" s="1400"/>
      <c r="R374" s="1010"/>
    </row>
    <row r="375" spans="1:18" ht="30" customHeight="1">
      <c r="A375" s="992"/>
      <c r="B375" s="995"/>
      <c r="C375" s="995"/>
      <c r="D375" s="994"/>
      <c r="E375" s="995"/>
      <c r="F375" s="995"/>
      <c r="G375" s="995"/>
      <c r="H375" s="995"/>
      <c r="I375" s="999"/>
      <c r="J375" s="1000">
        <v>427.45299999999997</v>
      </c>
      <c r="K375" s="1009"/>
      <c r="L375" s="1009"/>
      <c r="M375" s="1009"/>
      <c r="N375" s="1009"/>
      <c r="O375" s="1009"/>
      <c r="P375" s="1009"/>
      <c r="Q375" s="1401"/>
      <c r="R375" s="1010"/>
    </row>
    <row r="376" spans="1:18" ht="30" customHeight="1">
      <c r="A376" s="992">
        <f>A374+1</f>
        <v>185</v>
      </c>
      <c r="B376" s="995" t="s">
        <v>3061</v>
      </c>
      <c r="C376" s="995" t="s">
        <v>2221</v>
      </c>
      <c r="D376" s="994" t="s">
        <v>2565</v>
      </c>
      <c r="E376" s="995"/>
      <c r="F376" s="995"/>
      <c r="G376" s="995"/>
      <c r="H376" s="995"/>
      <c r="I376" s="999"/>
      <c r="J376" s="1001"/>
      <c r="K376" s="1009"/>
      <c r="L376" s="1009"/>
      <c r="M376" s="1009"/>
      <c r="N376" s="1009"/>
      <c r="O376" s="1009"/>
      <c r="P376" s="1009"/>
      <c r="Q376" s="996"/>
      <c r="R376" s="1010"/>
    </row>
    <row r="377" spans="1:18" ht="30" customHeight="1">
      <c r="A377" s="1046"/>
      <c r="B377" s="1047"/>
      <c r="C377" s="1047"/>
      <c r="D377" s="1048"/>
      <c r="E377" s="1047"/>
      <c r="F377" s="1047"/>
      <c r="G377" s="1047"/>
      <c r="H377" s="1047"/>
      <c r="I377" s="1049"/>
      <c r="J377" s="1050"/>
      <c r="K377" s="1051"/>
      <c r="L377" s="1051"/>
      <c r="M377" s="1051"/>
      <c r="N377" s="1051"/>
      <c r="O377" s="1051"/>
      <c r="P377" s="1051"/>
      <c r="Q377" s="1052"/>
      <c r="R377" s="1012" t="s">
        <v>3250</v>
      </c>
    </row>
    <row r="378" spans="1:18" ht="30" customHeight="1">
      <c r="A378" s="992">
        <f>A376+1</f>
        <v>186</v>
      </c>
      <c r="B378" s="995" t="s">
        <v>3232</v>
      </c>
      <c r="C378" s="995" t="s">
        <v>1319</v>
      </c>
      <c r="D378" s="994" t="s">
        <v>3214</v>
      </c>
      <c r="E378" s="995">
        <v>1.5</v>
      </c>
      <c r="F378" s="995">
        <v>1.5</v>
      </c>
      <c r="G378" s="995">
        <v>1.5</v>
      </c>
      <c r="H378" s="995">
        <v>1.5</v>
      </c>
      <c r="I378" s="999"/>
      <c r="K378" s="1009"/>
      <c r="L378" s="1009"/>
      <c r="M378" s="1009"/>
      <c r="N378" s="1009"/>
      <c r="O378" s="1009"/>
      <c r="P378" s="1009"/>
      <c r="Q378" s="996"/>
      <c r="R378" s="1010"/>
    </row>
    <row r="379" spans="1:18" ht="30" customHeight="1">
      <c r="A379" s="992"/>
      <c r="B379" s="995"/>
      <c r="C379" s="995"/>
      <c r="D379" s="994"/>
      <c r="E379" s="995"/>
      <c r="F379" s="995"/>
      <c r="G379" s="995"/>
      <c r="H379" s="995"/>
      <c r="I379" s="999"/>
      <c r="J379" s="1000">
        <v>392.505</v>
      </c>
      <c r="K379" s="1009"/>
      <c r="L379" s="1009"/>
      <c r="M379" s="1009"/>
      <c r="N379" s="1009"/>
      <c r="O379" s="1009"/>
      <c r="P379" s="1009"/>
      <c r="Q379" s="1399"/>
      <c r="R379" s="1010"/>
    </row>
    <row r="380" spans="1:18" ht="30" customHeight="1">
      <c r="A380" s="992">
        <f>A378+1</f>
        <v>187</v>
      </c>
      <c r="B380" s="995" t="s">
        <v>3195</v>
      </c>
      <c r="C380" s="995" t="s">
        <v>76</v>
      </c>
      <c r="D380" s="994"/>
      <c r="E380" s="995">
        <v>1.5</v>
      </c>
      <c r="F380" s="995">
        <v>1.5</v>
      </c>
      <c r="G380" s="995">
        <v>1.5</v>
      </c>
      <c r="H380" s="995">
        <v>1.5</v>
      </c>
      <c r="I380" s="999"/>
      <c r="J380" s="1000"/>
      <c r="K380" s="1009"/>
      <c r="L380" s="1009"/>
      <c r="M380" s="1009"/>
      <c r="N380" s="1009"/>
      <c r="O380" s="1009"/>
      <c r="P380" s="1009"/>
      <c r="Q380" s="1400"/>
      <c r="R380" s="1010"/>
    </row>
    <row r="381" spans="1:18" ht="30" customHeight="1">
      <c r="A381" s="992"/>
      <c r="B381" s="995"/>
      <c r="C381" s="995"/>
      <c r="D381" s="994"/>
      <c r="E381" s="995"/>
      <c r="F381" s="995"/>
      <c r="G381" s="995"/>
      <c r="H381" s="995"/>
      <c r="I381" s="999"/>
      <c r="J381" s="1000">
        <v>392.67</v>
      </c>
      <c r="K381" s="1009"/>
      <c r="L381" s="1009"/>
      <c r="M381" s="1009"/>
      <c r="N381" s="1009"/>
      <c r="O381" s="1009"/>
      <c r="P381" s="1009"/>
      <c r="Q381" s="1400"/>
      <c r="R381" s="1010"/>
    </row>
    <row r="382" spans="1:18" ht="30" customHeight="1">
      <c r="A382" s="992">
        <f>A380+1</f>
        <v>188</v>
      </c>
      <c r="B382" s="995" t="s">
        <v>3233</v>
      </c>
      <c r="C382" s="995" t="s">
        <v>1269</v>
      </c>
      <c r="D382" s="994" t="s">
        <v>3215</v>
      </c>
      <c r="E382" s="995">
        <v>1.5</v>
      </c>
      <c r="F382" s="995">
        <v>1.5</v>
      </c>
      <c r="G382" s="995">
        <v>1.5</v>
      </c>
      <c r="H382" s="995">
        <v>1.5</v>
      </c>
      <c r="I382" s="999"/>
      <c r="J382" s="1000"/>
      <c r="K382" s="1009"/>
      <c r="L382" s="1009"/>
      <c r="M382" s="1009"/>
      <c r="N382" s="1009"/>
      <c r="O382" s="1009"/>
      <c r="P382" s="1009"/>
      <c r="Q382" s="1400"/>
      <c r="R382" s="1010"/>
    </row>
    <row r="383" spans="1:18" ht="30" customHeight="1">
      <c r="A383" s="992"/>
      <c r="B383" s="995"/>
      <c r="C383" s="995"/>
      <c r="D383" s="994"/>
      <c r="E383" s="995"/>
      <c r="F383" s="995"/>
      <c r="G383" s="995"/>
      <c r="H383" s="995"/>
      <c r="I383" s="999"/>
      <c r="J383" s="1000">
        <v>292.26400000000001</v>
      </c>
      <c r="K383" s="1009"/>
      <c r="L383" s="1009"/>
      <c r="M383" s="1009"/>
      <c r="N383" s="1009"/>
      <c r="O383" s="1009"/>
      <c r="P383" s="1009"/>
      <c r="Q383" s="1401"/>
      <c r="R383" s="1010"/>
    </row>
    <row r="384" spans="1:18" ht="30" customHeight="1">
      <c r="A384" s="992">
        <f>A382+1</f>
        <v>189</v>
      </c>
      <c r="B384" s="995" t="s">
        <v>3196</v>
      </c>
      <c r="C384" s="995" t="s">
        <v>76</v>
      </c>
      <c r="D384" s="994"/>
      <c r="E384" s="995">
        <v>1.5</v>
      </c>
      <c r="F384" s="995">
        <v>1.5</v>
      </c>
      <c r="G384" s="995">
        <v>1.5</v>
      </c>
      <c r="H384" s="995">
        <v>1.5</v>
      </c>
      <c r="I384" s="999"/>
      <c r="J384" s="1000"/>
      <c r="K384" s="1009"/>
      <c r="L384" s="1009"/>
      <c r="M384" s="1009"/>
      <c r="N384" s="1009"/>
      <c r="O384" s="1009"/>
      <c r="P384" s="1009"/>
      <c r="Q384" s="996"/>
      <c r="R384" s="1010"/>
    </row>
    <row r="385" spans="1:18" ht="30" customHeight="1">
      <c r="A385" s="992"/>
      <c r="B385" s="995"/>
      <c r="C385" s="995"/>
      <c r="D385" s="994"/>
      <c r="E385" s="995"/>
      <c r="F385" s="995"/>
      <c r="G385" s="995"/>
      <c r="H385" s="995"/>
      <c r="I385" s="999"/>
      <c r="J385" s="1000">
        <v>321.58699999999999</v>
      </c>
      <c r="K385" s="1009"/>
      <c r="L385" s="1009"/>
      <c r="M385" s="1009"/>
      <c r="N385" s="1009"/>
      <c r="O385" s="1009"/>
      <c r="P385" s="1009"/>
      <c r="Q385" s="996"/>
      <c r="R385" s="988"/>
    </row>
    <row r="386" spans="1:18" ht="30" customHeight="1">
      <c r="A386" s="992">
        <f>A384+1</f>
        <v>190</v>
      </c>
      <c r="B386" s="995" t="s">
        <v>3197</v>
      </c>
      <c r="C386" s="995" t="s">
        <v>76</v>
      </c>
      <c r="D386" s="994"/>
      <c r="E386" s="995">
        <v>1.5</v>
      </c>
      <c r="F386" s="995">
        <v>1.5</v>
      </c>
      <c r="G386" s="995">
        <v>1.5</v>
      </c>
      <c r="H386" s="995">
        <v>1.5</v>
      </c>
      <c r="I386" s="999"/>
      <c r="J386" s="1000"/>
      <c r="K386" s="1009"/>
      <c r="L386" s="1009"/>
      <c r="M386" s="1009"/>
      <c r="N386" s="1009"/>
      <c r="O386" s="1009"/>
      <c r="P386" s="1009"/>
      <c r="Q386" s="996"/>
      <c r="R386" s="988"/>
    </row>
    <row r="387" spans="1:18" ht="30" customHeight="1">
      <c r="A387" s="992"/>
      <c r="B387" s="995"/>
      <c r="C387" s="995"/>
      <c r="D387" s="994"/>
      <c r="E387" s="995"/>
      <c r="F387" s="995"/>
      <c r="G387" s="995"/>
      <c r="H387" s="995"/>
      <c r="I387" s="999"/>
      <c r="J387" s="1000">
        <v>363.88200000000001</v>
      </c>
      <c r="K387" s="1009"/>
      <c r="L387" s="1009"/>
      <c r="M387" s="1009"/>
      <c r="N387" s="1009"/>
      <c r="O387" s="1009"/>
      <c r="P387" s="1009"/>
      <c r="Q387" s="996"/>
      <c r="R387" s="988"/>
    </row>
    <row r="388" spans="1:18" ht="30" customHeight="1">
      <c r="A388" s="992">
        <f>A386+1</f>
        <v>191</v>
      </c>
      <c r="B388" s="995" t="s">
        <v>3234</v>
      </c>
      <c r="C388" s="995" t="s">
        <v>3198</v>
      </c>
      <c r="D388" s="994" t="s">
        <v>3216</v>
      </c>
      <c r="E388" s="995"/>
      <c r="F388" s="995"/>
      <c r="G388" s="995"/>
      <c r="H388" s="995"/>
      <c r="I388" s="999"/>
      <c r="J388" s="1000"/>
      <c r="K388" s="1009"/>
      <c r="L388" s="1009"/>
      <c r="M388" s="1009"/>
      <c r="N388" s="1009"/>
      <c r="O388" s="1009"/>
      <c r="P388" s="1009"/>
      <c r="Q388" s="996"/>
      <c r="R388" s="988"/>
    </row>
    <row r="389" spans="1:18" ht="30" customHeight="1">
      <c r="A389" s="992"/>
      <c r="B389" s="995"/>
      <c r="C389" s="995"/>
      <c r="D389" s="994"/>
      <c r="E389" s="995"/>
      <c r="F389" s="995"/>
      <c r="G389" s="995"/>
      <c r="H389" s="995"/>
      <c r="I389" s="999"/>
      <c r="J389" s="1000">
        <v>369.226</v>
      </c>
      <c r="K389" s="1009"/>
      <c r="L389" s="1009"/>
      <c r="M389" s="1009"/>
      <c r="N389" s="1009"/>
      <c r="O389" s="1009"/>
      <c r="P389" s="1009"/>
      <c r="Q389" s="996"/>
      <c r="R389" s="988"/>
    </row>
    <row r="390" spans="1:18" ht="30" customHeight="1">
      <c r="A390" s="992">
        <f>A388+1</f>
        <v>192</v>
      </c>
      <c r="B390" s="995" t="s">
        <v>3199</v>
      </c>
      <c r="C390" s="995" t="s">
        <v>62</v>
      </c>
      <c r="D390" s="994"/>
      <c r="E390" s="995"/>
      <c r="F390" s="995"/>
      <c r="G390" s="995"/>
      <c r="H390" s="995"/>
      <c r="I390" s="999"/>
      <c r="J390" s="1000"/>
      <c r="K390" s="1009"/>
      <c r="L390" s="1009"/>
      <c r="M390" s="1009"/>
      <c r="N390" s="1009"/>
      <c r="O390" s="1009"/>
      <c r="P390" s="1009"/>
      <c r="Q390" s="996"/>
      <c r="R390" s="988"/>
    </row>
    <row r="391" spans="1:18" ht="30" customHeight="1">
      <c r="A391" s="992"/>
      <c r="B391" s="995"/>
      <c r="C391" s="995"/>
      <c r="D391" s="994"/>
      <c r="E391" s="995"/>
      <c r="F391" s="995"/>
      <c r="G391" s="995"/>
      <c r="H391" s="995"/>
      <c r="I391" s="999"/>
      <c r="J391" s="1000">
        <v>380.673</v>
      </c>
      <c r="K391" s="1009"/>
      <c r="L391" s="1009"/>
      <c r="M391" s="1009"/>
      <c r="N391" s="1009"/>
      <c r="O391" s="1009"/>
      <c r="P391" s="1009"/>
      <c r="Q391" s="996"/>
      <c r="R391" s="988"/>
    </row>
    <row r="392" spans="1:18" ht="30" customHeight="1">
      <c r="A392" s="992">
        <f>A390+1</f>
        <v>193</v>
      </c>
      <c r="B392" s="995" t="s">
        <v>3200</v>
      </c>
      <c r="C392" s="995" t="s">
        <v>76</v>
      </c>
      <c r="D392" s="994"/>
      <c r="E392" s="995"/>
      <c r="F392" s="995"/>
      <c r="G392" s="995"/>
      <c r="H392" s="995"/>
      <c r="I392" s="999"/>
      <c r="J392" s="1000"/>
      <c r="K392" s="1009"/>
      <c r="L392" s="1009"/>
      <c r="M392" s="1009"/>
      <c r="N392" s="1009"/>
      <c r="O392" s="1009"/>
      <c r="P392" s="1009"/>
      <c r="Q392" s="996"/>
      <c r="R392" s="988"/>
    </row>
    <row r="393" spans="1:18" ht="30" customHeight="1">
      <c r="A393" s="992"/>
      <c r="B393" s="995"/>
      <c r="C393" s="995"/>
      <c r="D393" s="994"/>
      <c r="E393" s="995"/>
      <c r="F393" s="995"/>
      <c r="G393" s="995"/>
      <c r="H393" s="995"/>
      <c r="I393" s="999"/>
      <c r="J393" s="1000">
        <v>385.66699999999997</v>
      </c>
      <c r="K393" s="1009"/>
      <c r="L393" s="1009"/>
      <c r="M393" s="1009"/>
      <c r="N393" s="1009"/>
      <c r="O393" s="1009"/>
      <c r="P393" s="1009"/>
      <c r="Q393" s="1399"/>
      <c r="R393" s="988"/>
    </row>
    <row r="394" spans="1:18" ht="30" customHeight="1">
      <c r="A394" s="992">
        <f>A392+1</f>
        <v>194</v>
      </c>
      <c r="B394" s="995" t="s">
        <v>3201</v>
      </c>
      <c r="C394" s="995" t="s">
        <v>53</v>
      </c>
      <c r="D394" s="994"/>
      <c r="E394" s="995"/>
      <c r="F394" s="995"/>
      <c r="G394" s="995"/>
      <c r="H394" s="995"/>
      <c r="I394" s="999"/>
      <c r="J394" s="1000"/>
      <c r="K394" s="1009"/>
      <c r="L394" s="1009" t="s">
        <v>2967</v>
      </c>
      <c r="M394" s="1009"/>
      <c r="N394" s="1009"/>
      <c r="O394" s="1009"/>
      <c r="P394" s="1009"/>
      <c r="Q394" s="1400"/>
      <c r="R394" s="988"/>
    </row>
    <row r="395" spans="1:18" ht="30" customHeight="1">
      <c r="A395" s="992"/>
      <c r="B395" s="995"/>
      <c r="C395" s="995"/>
      <c r="D395" s="994"/>
      <c r="E395" s="995"/>
      <c r="F395" s="995"/>
      <c r="G395" s="995"/>
      <c r="H395" s="995"/>
      <c r="I395" s="999"/>
      <c r="J395" s="1000">
        <v>380.89600000000002</v>
      </c>
      <c r="K395" s="1009"/>
      <c r="L395" s="1009"/>
      <c r="M395" s="1009"/>
      <c r="N395" s="1009"/>
      <c r="O395" s="1009"/>
      <c r="P395" s="1009"/>
      <c r="Q395" s="1400"/>
      <c r="R395" s="988"/>
    </row>
    <row r="396" spans="1:18" ht="30" customHeight="1">
      <c r="A396" s="992">
        <f>A394+1</f>
        <v>195</v>
      </c>
      <c r="B396" s="995" t="s">
        <v>3202</v>
      </c>
      <c r="C396" s="995" t="s">
        <v>76</v>
      </c>
      <c r="D396" s="994"/>
      <c r="E396" s="995"/>
      <c r="F396" s="995"/>
      <c r="G396" s="995"/>
      <c r="H396" s="995"/>
      <c r="I396" s="999"/>
      <c r="J396" s="1000"/>
      <c r="K396" s="1009"/>
      <c r="L396" s="1009" t="s">
        <v>2967</v>
      </c>
      <c r="M396" s="1009"/>
      <c r="N396" s="1009"/>
      <c r="O396" s="1009"/>
      <c r="P396" s="1009"/>
      <c r="Q396" s="1400"/>
      <c r="R396" s="988"/>
    </row>
    <row r="397" spans="1:18" ht="30" customHeight="1">
      <c r="A397" s="992"/>
      <c r="B397" s="995"/>
      <c r="C397" s="995"/>
      <c r="D397" s="994"/>
      <c r="E397" s="995"/>
      <c r="F397" s="995"/>
      <c r="G397" s="995"/>
      <c r="H397" s="995"/>
      <c r="I397" s="999"/>
      <c r="J397" s="1000">
        <v>391.34899999999999</v>
      </c>
      <c r="K397" s="1009"/>
      <c r="L397" s="1009"/>
      <c r="M397" s="1009"/>
      <c r="N397" s="1009"/>
      <c r="O397" s="1009"/>
      <c r="P397" s="1009"/>
      <c r="Q397" s="1401"/>
      <c r="R397" s="988"/>
    </row>
    <row r="398" spans="1:18" ht="30" customHeight="1">
      <c r="A398" s="992">
        <f>A396+1</f>
        <v>196</v>
      </c>
      <c r="B398" s="995" t="s">
        <v>3062</v>
      </c>
      <c r="C398" s="995" t="s">
        <v>1269</v>
      </c>
      <c r="D398" s="994" t="s">
        <v>3217</v>
      </c>
      <c r="E398" s="995"/>
      <c r="F398" s="995"/>
      <c r="G398" s="995"/>
      <c r="H398" s="995"/>
      <c r="I398" s="999" t="s">
        <v>2768</v>
      </c>
      <c r="J398" s="1000"/>
      <c r="K398" s="1009"/>
      <c r="L398" s="1009" t="s">
        <v>2967</v>
      </c>
      <c r="M398" s="1009" t="s">
        <v>22</v>
      </c>
      <c r="N398" s="1009"/>
      <c r="O398" s="1009"/>
      <c r="P398" s="1009"/>
      <c r="Q398" s="996"/>
      <c r="R398" s="988"/>
    </row>
    <row r="399" spans="1:18" ht="30" customHeight="1">
      <c r="A399" s="992"/>
      <c r="B399" s="995"/>
      <c r="C399" s="995"/>
      <c r="D399" s="994"/>
      <c r="E399" s="995"/>
      <c r="F399" s="995"/>
      <c r="G399" s="995"/>
      <c r="H399" s="995"/>
      <c r="I399" s="999"/>
      <c r="J399" s="1000">
        <v>330.49299999999999</v>
      </c>
      <c r="K399" s="1009"/>
      <c r="L399" s="1009"/>
      <c r="M399" s="1009"/>
      <c r="N399" s="1009"/>
      <c r="O399" s="1009"/>
      <c r="P399" s="1009"/>
      <c r="Q399" s="1399"/>
      <c r="R399" s="988"/>
    </row>
    <row r="400" spans="1:18" ht="30" customHeight="1">
      <c r="A400" s="992">
        <f>A398+1</f>
        <v>197</v>
      </c>
      <c r="B400" s="995" t="s">
        <v>2585</v>
      </c>
      <c r="C400" s="995" t="s">
        <v>76</v>
      </c>
      <c r="D400" s="994"/>
      <c r="E400" s="995"/>
      <c r="F400" s="995"/>
      <c r="G400" s="995"/>
      <c r="H400" s="995"/>
      <c r="I400" s="999" t="s">
        <v>3349</v>
      </c>
      <c r="J400" s="1000"/>
      <c r="K400" s="1009"/>
      <c r="L400" s="1009" t="s">
        <v>2967</v>
      </c>
      <c r="M400" s="1009" t="s">
        <v>1009</v>
      </c>
      <c r="N400" s="1009"/>
      <c r="O400" s="1009"/>
      <c r="P400" s="1009"/>
      <c r="Q400" s="1400"/>
      <c r="R400" s="988"/>
    </row>
    <row r="401" spans="1:18" ht="30" customHeight="1">
      <c r="A401" s="992"/>
      <c r="B401" s="995"/>
      <c r="C401" s="995"/>
      <c r="D401" s="994"/>
      <c r="E401" s="995"/>
      <c r="F401" s="995"/>
      <c r="G401" s="995"/>
      <c r="H401" s="995"/>
      <c r="I401" s="999"/>
      <c r="J401" s="1000">
        <v>342.10599999999999</v>
      </c>
      <c r="K401" s="1009"/>
      <c r="L401" s="1009"/>
      <c r="M401" s="1009"/>
      <c r="N401" s="1009"/>
      <c r="O401" s="1009"/>
      <c r="P401" s="1009"/>
      <c r="Q401" s="1400"/>
      <c r="R401" s="1010"/>
    </row>
    <row r="402" spans="1:18" ht="30" customHeight="1">
      <c r="A402" s="992">
        <f>A400+1</f>
        <v>198</v>
      </c>
      <c r="B402" s="995" t="s">
        <v>2586</v>
      </c>
      <c r="C402" s="995" t="s">
        <v>62</v>
      </c>
      <c r="D402" s="994"/>
      <c r="E402" s="995"/>
      <c r="F402" s="995"/>
      <c r="G402" s="995"/>
      <c r="H402" s="995"/>
      <c r="I402" s="999" t="s">
        <v>2768</v>
      </c>
      <c r="J402" s="1000"/>
      <c r="K402" s="1009"/>
      <c r="L402" s="1009" t="s">
        <v>2967</v>
      </c>
      <c r="M402" s="1009" t="s">
        <v>1009</v>
      </c>
      <c r="N402" s="1009" t="s">
        <v>1009</v>
      </c>
      <c r="O402" s="1009"/>
      <c r="P402" s="1009"/>
      <c r="Q402" s="1400"/>
      <c r="R402" s="1010"/>
    </row>
    <row r="403" spans="1:18" ht="30" customHeight="1">
      <c r="A403" s="992"/>
      <c r="B403" s="995"/>
      <c r="C403" s="995"/>
      <c r="D403" s="994"/>
      <c r="E403" s="995"/>
      <c r="F403" s="995"/>
      <c r="G403" s="995"/>
      <c r="H403" s="995"/>
      <c r="I403" s="999"/>
      <c r="J403" s="1000">
        <v>394.28399999999999</v>
      </c>
      <c r="K403" s="1009"/>
      <c r="L403" s="1009"/>
      <c r="M403" s="1009"/>
      <c r="N403" s="1009"/>
      <c r="O403" s="1009"/>
      <c r="P403" s="1009"/>
      <c r="Q403" s="1401"/>
      <c r="R403" s="1010"/>
    </row>
    <row r="404" spans="1:18" ht="30" customHeight="1">
      <c r="A404" s="992">
        <f>A402+1</f>
        <v>199</v>
      </c>
      <c r="B404" s="995" t="s">
        <v>3063</v>
      </c>
      <c r="C404" s="995" t="s">
        <v>1277</v>
      </c>
      <c r="D404" s="994" t="s">
        <v>2588</v>
      </c>
      <c r="E404" s="995"/>
      <c r="F404" s="995"/>
      <c r="G404" s="995"/>
      <c r="H404" s="995"/>
      <c r="I404" s="999" t="s">
        <v>1767</v>
      </c>
      <c r="J404" s="1000"/>
      <c r="K404" s="1009"/>
      <c r="L404" s="1009" t="s">
        <v>2967</v>
      </c>
      <c r="M404" s="1009" t="s">
        <v>1009</v>
      </c>
      <c r="N404" s="1009" t="s">
        <v>1009</v>
      </c>
      <c r="O404" s="1009"/>
      <c r="P404" s="1009"/>
      <c r="Q404" s="996"/>
      <c r="R404" s="1010"/>
    </row>
    <row r="405" spans="1:18" ht="30" customHeight="1">
      <c r="A405" s="992"/>
      <c r="B405" s="995"/>
      <c r="C405" s="995"/>
      <c r="D405" s="994"/>
      <c r="E405" s="995"/>
      <c r="F405" s="995"/>
      <c r="G405" s="995"/>
      <c r="H405" s="995"/>
      <c r="I405" s="999"/>
      <c r="J405" s="1000">
        <v>245.679</v>
      </c>
      <c r="K405" s="1009"/>
      <c r="L405" s="1009"/>
      <c r="M405" s="1009"/>
      <c r="N405" s="1009"/>
      <c r="O405" s="1009"/>
      <c r="P405" s="1009"/>
      <c r="Q405" s="1399"/>
      <c r="R405" s="1010"/>
    </row>
    <row r="406" spans="1:18" ht="30" customHeight="1">
      <c r="A406" s="992">
        <f>A404+1</f>
        <v>200</v>
      </c>
      <c r="B406" s="995" t="s">
        <v>3064</v>
      </c>
      <c r="C406" s="995" t="s">
        <v>1269</v>
      </c>
      <c r="D406" s="994"/>
      <c r="E406" s="995"/>
      <c r="F406" s="995"/>
      <c r="G406" s="995"/>
      <c r="H406" s="995"/>
      <c r="I406" s="999" t="s">
        <v>1767</v>
      </c>
      <c r="J406" s="1000"/>
      <c r="K406" s="1009"/>
      <c r="L406" s="1009" t="s">
        <v>2967</v>
      </c>
      <c r="M406" s="1009" t="s">
        <v>1009</v>
      </c>
      <c r="N406" s="1009" t="s">
        <v>1009</v>
      </c>
      <c r="O406" s="1009"/>
      <c r="P406" s="1009"/>
      <c r="Q406" s="1400"/>
      <c r="R406" s="1010"/>
    </row>
    <row r="407" spans="1:18" ht="30" customHeight="1">
      <c r="A407" s="992"/>
      <c r="B407" s="995"/>
      <c r="C407" s="995"/>
      <c r="D407" s="994"/>
      <c r="E407" s="995"/>
      <c r="F407" s="995"/>
      <c r="G407" s="995"/>
      <c r="H407" s="995"/>
      <c r="I407" s="999"/>
      <c r="J407" s="1000">
        <v>352.93</v>
      </c>
      <c r="K407" s="1009"/>
      <c r="L407" s="1009"/>
      <c r="M407" s="1009"/>
      <c r="N407" s="1009"/>
      <c r="O407" s="1009"/>
      <c r="P407" s="1009"/>
      <c r="Q407" s="1400"/>
      <c r="R407" s="1010"/>
    </row>
    <row r="408" spans="1:18" ht="30" customHeight="1">
      <c r="A408" s="992">
        <f>A406+1</f>
        <v>201</v>
      </c>
      <c r="B408" s="995" t="s">
        <v>3065</v>
      </c>
      <c r="C408" s="995" t="s">
        <v>1992</v>
      </c>
      <c r="D408" s="994" t="s">
        <v>2591</v>
      </c>
      <c r="E408" s="995">
        <v>2</v>
      </c>
      <c r="F408" s="995">
        <v>2</v>
      </c>
      <c r="G408" s="995">
        <v>2</v>
      </c>
      <c r="H408" s="995">
        <v>2</v>
      </c>
      <c r="I408" s="999" t="s">
        <v>2768</v>
      </c>
      <c r="J408" s="1000"/>
      <c r="K408" s="1009"/>
      <c r="L408" s="1009" t="s">
        <v>2967</v>
      </c>
      <c r="M408" s="1009" t="s">
        <v>22</v>
      </c>
      <c r="N408" s="1009"/>
      <c r="O408" s="1009"/>
      <c r="P408" s="1009"/>
      <c r="Q408" s="1400"/>
      <c r="R408" s="1010"/>
    </row>
    <row r="409" spans="1:18" ht="30" customHeight="1">
      <c r="A409" s="992"/>
      <c r="B409" s="995"/>
      <c r="C409" s="995"/>
      <c r="D409" s="994"/>
      <c r="E409" s="995"/>
      <c r="F409" s="995"/>
      <c r="G409" s="995"/>
      <c r="H409" s="995"/>
      <c r="I409" s="999"/>
      <c r="J409" s="1000">
        <v>232.30099999999999</v>
      </c>
      <c r="K409" s="1009"/>
      <c r="L409" s="1009"/>
      <c r="M409" s="1009"/>
      <c r="N409" s="1009"/>
      <c r="O409" s="1009"/>
      <c r="P409" s="1009"/>
      <c r="Q409" s="1400"/>
      <c r="R409" s="1011" t="s">
        <v>3275</v>
      </c>
    </row>
    <row r="410" spans="1:18" ht="30" customHeight="1">
      <c r="A410" s="992">
        <f>A408+1</f>
        <v>202</v>
      </c>
      <c r="B410" s="995" t="s">
        <v>3066</v>
      </c>
      <c r="C410" s="995" t="s">
        <v>1992</v>
      </c>
      <c r="D410" s="994" t="s">
        <v>2593</v>
      </c>
      <c r="E410" s="995"/>
      <c r="F410" s="995"/>
      <c r="G410" s="995"/>
      <c r="H410" s="995"/>
      <c r="I410" s="999" t="s">
        <v>2768</v>
      </c>
      <c r="J410" s="1000"/>
      <c r="K410" s="1009"/>
      <c r="L410" s="1009" t="s">
        <v>2967</v>
      </c>
      <c r="M410" s="1009" t="s">
        <v>22</v>
      </c>
      <c r="N410" s="1009"/>
      <c r="O410" s="1009"/>
      <c r="P410" s="1009"/>
      <c r="Q410" s="1400"/>
      <c r="R410" s="1010"/>
    </row>
    <row r="411" spans="1:18" ht="30" customHeight="1">
      <c r="A411" s="992"/>
      <c r="B411" s="995"/>
      <c r="C411" s="995"/>
      <c r="D411" s="994"/>
      <c r="E411" s="995"/>
      <c r="F411" s="995"/>
      <c r="G411" s="995"/>
      <c r="H411" s="995"/>
      <c r="I411" s="999"/>
      <c r="J411" s="1000">
        <v>474.983</v>
      </c>
      <c r="K411" s="1009"/>
      <c r="L411" s="1009"/>
      <c r="M411" s="1009"/>
      <c r="N411" s="1009"/>
      <c r="O411" s="1009"/>
      <c r="P411" s="1009"/>
      <c r="Q411" s="1400"/>
      <c r="R411" s="1010"/>
    </row>
    <row r="412" spans="1:18" ht="30" customHeight="1">
      <c r="A412" s="992">
        <f>A410+1</f>
        <v>203</v>
      </c>
      <c r="B412" s="995" t="s">
        <v>3067</v>
      </c>
      <c r="C412" s="995" t="s">
        <v>1277</v>
      </c>
      <c r="D412" s="994" t="s">
        <v>2595</v>
      </c>
      <c r="E412" s="995"/>
      <c r="F412" s="995"/>
      <c r="G412" s="995"/>
      <c r="H412" s="995"/>
      <c r="I412" s="999" t="s">
        <v>1767</v>
      </c>
      <c r="J412" s="1000"/>
      <c r="K412" s="1009"/>
      <c r="L412" s="1009" t="s">
        <v>2967</v>
      </c>
      <c r="M412" s="1009" t="s">
        <v>1009</v>
      </c>
      <c r="N412" s="1009"/>
      <c r="O412" s="1009"/>
      <c r="P412" s="1009"/>
      <c r="Q412" s="1400"/>
      <c r="R412" s="1010"/>
    </row>
    <row r="413" spans="1:18" ht="30" customHeight="1">
      <c r="A413" s="992"/>
      <c r="B413" s="995"/>
      <c r="C413" s="995"/>
      <c r="D413" s="994"/>
      <c r="E413" s="995"/>
      <c r="F413" s="995"/>
      <c r="G413" s="995"/>
      <c r="H413" s="995"/>
      <c r="I413" s="999"/>
      <c r="J413" s="1000">
        <v>322.58800000000002</v>
      </c>
      <c r="K413" s="1009"/>
      <c r="L413" s="1009"/>
      <c r="M413" s="1009"/>
      <c r="N413" s="1009"/>
      <c r="O413" s="1009"/>
      <c r="P413" s="1009"/>
      <c r="Q413" s="1401"/>
      <c r="R413" s="1010"/>
    </row>
    <row r="414" spans="1:18" ht="30" customHeight="1">
      <c r="A414" s="992">
        <f>A412+1</f>
        <v>204</v>
      </c>
      <c r="B414" s="995" t="s">
        <v>2596</v>
      </c>
      <c r="C414" s="995" t="s">
        <v>76</v>
      </c>
      <c r="D414" s="994"/>
      <c r="E414" s="995"/>
      <c r="F414" s="995"/>
      <c r="G414" s="995"/>
      <c r="H414" s="995"/>
      <c r="I414" s="999" t="s">
        <v>1767</v>
      </c>
      <c r="J414" s="999"/>
      <c r="K414" s="1008"/>
      <c r="L414" s="995" t="s">
        <v>2967</v>
      </c>
      <c r="M414" s="995" t="s">
        <v>1009</v>
      </c>
      <c r="N414" s="1009" t="s">
        <v>1009</v>
      </c>
      <c r="O414" s="1009"/>
      <c r="P414" s="1009"/>
      <c r="Q414" s="996"/>
      <c r="R414" s="1010"/>
    </row>
    <row r="415" spans="1:18" ht="30" customHeight="1">
      <c r="A415" s="992"/>
      <c r="B415" s="995"/>
      <c r="C415" s="995"/>
      <c r="D415" s="994"/>
      <c r="E415" s="995"/>
      <c r="F415" s="995"/>
      <c r="G415" s="995"/>
      <c r="H415" s="995"/>
      <c r="I415" s="999"/>
      <c r="J415" s="1000">
        <v>317.88400000000001</v>
      </c>
      <c r="K415" s="1009"/>
      <c r="L415" s="1009"/>
      <c r="M415" s="1009"/>
      <c r="N415" s="1009"/>
      <c r="O415" s="1009"/>
      <c r="P415" s="1009"/>
      <c r="Q415" s="996"/>
      <c r="R415" s="1010"/>
    </row>
    <row r="416" spans="1:18" ht="30" customHeight="1">
      <c r="A416" s="992">
        <f>A414+1</f>
        <v>205</v>
      </c>
      <c r="B416" s="995" t="s">
        <v>2597</v>
      </c>
      <c r="C416" s="995" t="s">
        <v>76</v>
      </c>
      <c r="D416" s="994"/>
      <c r="E416" s="995"/>
      <c r="F416" s="995"/>
      <c r="G416" s="995"/>
      <c r="H416" s="995"/>
      <c r="I416" s="999" t="s">
        <v>1767</v>
      </c>
      <c r="J416" s="1000"/>
      <c r="K416" s="1009"/>
      <c r="L416" s="1009" t="s">
        <v>2967</v>
      </c>
      <c r="M416" s="1009" t="s">
        <v>1009</v>
      </c>
      <c r="N416" s="1009" t="s">
        <v>1009</v>
      </c>
      <c r="O416" s="1009"/>
      <c r="P416" s="1009"/>
      <c r="Q416" s="996"/>
      <c r="R416" s="1010"/>
    </row>
    <row r="417" spans="1:18" ht="30" customHeight="1">
      <c r="A417" s="992"/>
      <c r="B417" s="995"/>
      <c r="C417" s="995"/>
      <c r="D417" s="994"/>
      <c r="E417" s="995"/>
      <c r="F417" s="995"/>
      <c r="G417" s="995"/>
      <c r="H417" s="995"/>
      <c r="I417" s="999"/>
      <c r="J417" s="1000">
        <v>297.73500000000001</v>
      </c>
      <c r="K417" s="1009"/>
      <c r="L417" s="1009"/>
      <c r="M417" s="988"/>
      <c r="N417" s="1001"/>
      <c r="O417" s="988"/>
      <c r="P417" s="988"/>
      <c r="Q417" s="988"/>
      <c r="R417" s="988"/>
    </row>
    <row r="418" spans="1:18" ht="30" customHeight="1">
      <c r="A418" s="992">
        <f>A416+1</f>
        <v>206</v>
      </c>
      <c r="B418" s="995" t="s">
        <v>3068</v>
      </c>
      <c r="C418" s="995" t="s">
        <v>1277</v>
      </c>
      <c r="D418" s="994" t="s">
        <v>2599</v>
      </c>
      <c r="E418" s="995"/>
      <c r="F418" s="995"/>
      <c r="G418" s="995"/>
      <c r="H418" s="995"/>
      <c r="I418" s="999"/>
      <c r="J418" s="1000"/>
      <c r="K418" s="1009"/>
      <c r="L418" s="1009"/>
      <c r="M418" s="988"/>
      <c r="N418" s="1001"/>
      <c r="O418" s="988"/>
      <c r="P418" s="988"/>
      <c r="Q418" s="988"/>
      <c r="R418" s="988"/>
    </row>
    <row r="419" spans="1:18" ht="30" customHeight="1">
      <c r="A419" s="992"/>
      <c r="B419" s="995"/>
      <c r="C419" s="995"/>
      <c r="D419" s="994"/>
      <c r="E419" s="995"/>
      <c r="F419" s="995"/>
      <c r="G419" s="995"/>
      <c r="H419" s="995"/>
      <c r="I419" s="999"/>
      <c r="J419" s="1000">
        <v>357.24900000000002</v>
      </c>
      <c r="K419" s="1009"/>
      <c r="L419" s="1009"/>
      <c r="M419" s="988"/>
      <c r="N419" s="1001"/>
      <c r="O419" s="988"/>
      <c r="P419" s="988"/>
      <c r="Q419" s="988"/>
      <c r="R419" s="988"/>
    </row>
    <row r="420" spans="1:18" ht="30" customHeight="1">
      <c r="A420" s="992">
        <f>A418+1</f>
        <v>207</v>
      </c>
      <c r="B420" s="995" t="s">
        <v>2600</v>
      </c>
      <c r="C420" s="995" t="s">
        <v>76</v>
      </c>
      <c r="D420" s="994"/>
      <c r="E420" s="995"/>
      <c r="F420" s="995"/>
      <c r="G420" s="995"/>
      <c r="H420" s="995"/>
      <c r="I420" s="999" t="s">
        <v>1767</v>
      </c>
      <c r="J420" s="1000"/>
      <c r="K420" s="1009"/>
      <c r="L420" s="1009" t="s">
        <v>2967</v>
      </c>
      <c r="M420" s="1001" t="s">
        <v>1009</v>
      </c>
      <c r="N420" s="1001" t="s">
        <v>1009</v>
      </c>
      <c r="O420" s="988"/>
      <c r="P420" s="988"/>
      <c r="Q420" s="988"/>
      <c r="R420" s="988"/>
    </row>
    <row r="421" spans="1:18" ht="30" customHeight="1">
      <c r="A421" s="992"/>
      <c r="B421" s="995"/>
      <c r="C421" s="995"/>
      <c r="D421" s="994"/>
      <c r="E421" s="995"/>
      <c r="F421" s="995"/>
      <c r="G421" s="995"/>
      <c r="H421" s="995"/>
      <c r="I421" s="999"/>
      <c r="J421" s="1000">
        <v>353.03300000000002</v>
      </c>
      <c r="K421" s="1009"/>
      <c r="L421" s="1009"/>
      <c r="M421" s="988"/>
      <c r="N421" s="1001"/>
      <c r="O421" s="988"/>
      <c r="P421" s="988"/>
      <c r="Q421" s="988"/>
      <c r="R421" s="988"/>
    </row>
    <row r="422" spans="1:18" ht="30" customHeight="1">
      <c r="A422" s="992">
        <f>A420+1</f>
        <v>208</v>
      </c>
      <c r="B422" s="995" t="s">
        <v>2601</v>
      </c>
      <c r="C422" s="995" t="s">
        <v>62</v>
      </c>
      <c r="D422" s="994"/>
      <c r="E422" s="995"/>
      <c r="F422" s="995"/>
      <c r="G422" s="995"/>
      <c r="H422" s="995"/>
      <c r="I422" s="999" t="s">
        <v>1767</v>
      </c>
      <c r="J422" s="1000"/>
      <c r="K422" s="1009"/>
      <c r="L422" s="1009" t="s">
        <v>2967</v>
      </c>
      <c r="M422" s="1001" t="s">
        <v>1009</v>
      </c>
      <c r="N422" s="1001" t="s">
        <v>1009</v>
      </c>
      <c r="O422" s="988"/>
      <c r="P422" s="988"/>
      <c r="Q422" s="988"/>
      <c r="R422" s="988"/>
    </row>
    <row r="423" spans="1:18" ht="30" customHeight="1">
      <c r="A423" s="992"/>
      <c r="B423" s="995"/>
      <c r="C423" s="995"/>
      <c r="D423" s="994"/>
      <c r="E423" s="995"/>
      <c r="F423" s="995"/>
      <c r="G423" s="995"/>
      <c r="H423" s="995"/>
      <c r="I423" s="999"/>
      <c r="J423" s="1000">
        <v>406.76600000000002</v>
      </c>
      <c r="K423" s="1009"/>
      <c r="L423" s="1009"/>
      <c r="M423" s="988"/>
      <c r="N423" s="1001"/>
      <c r="O423" s="988"/>
      <c r="P423" s="988"/>
      <c r="Q423" s="988"/>
      <c r="R423" s="988"/>
    </row>
    <row r="424" spans="1:18" ht="30" customHeight="1">
      <c r="A424" s="992">
        <f>A422+1</f>
        <v>209</v>
      </c>
      <c r="B424" s="995" t="s">
        <v>3069</v>
      </c>
      <c r="C424" s="995" t="s">
        <v>1319</v>
      </c>
      <c r="D424" s="994" t="s">
        <v>2619</v>
      </c>
      <c r="E424" s="995"/>
      <c r="F424" s="995"/>
      <c r="G424" s="995"/>
      <c r="H424" s="995"/>
      <c r="I424" s="999"/>
      <c r="J424" s="1000"/>
      <c r="K424" s="1009"/>
      <c r="L424" s="1009" t="s">
        <v>2967</v>
      </c>
      <c r="M424" s="1001" t="s">
        <v>22</v>
      </c>
      <c r="N424" s="1001"/>
      <c r="O424" s="988"/>
      <c r="P424" s="988"/>
      <c r="Q424" s="988"/>
      <c r="R424" s="988"/>
    </row>
    <row r="425" spans="1:18" ht="30" customHeight="1">
      <c r="A425" s="992"/>
      <c r="B425" s="995"/>
      <c r="C425" s="995"/>
      <c r="D425" s="994"/>
      <c r="E425" s="995"/>
      <c r="F425" s="995"/>
      <c r="G425" s="995"/>
      <c r="H425" s="995"/>
      <c r="I425" s="999"/>
      <c r="J425" s="1000">
        <v>392.39499999999998</v>
      </c>
      <c r="K425" s="1009"/>
      <c r="L425" s="1009"/>
      <c r="M425" s="988"/>
      <c r="N425" s="1001"/>
      <c r="O425" s="988"/>
      <c r="P425" s="988"/>
      <c r="Q425" s="988"/>
      <c r="R425" s="988"/>
    </row>
    <row r="426" spans="1:18" ht="30" customHeight="1">
      <c r="A426" s="992">
        <f>A424+1</f>
        <v>210</v>
      </c>
      <c r="B426" s="995" t="s">
        <v>2604</v>
      </c>
      <c r="C426" s="995" t="s">
        <v>62</v>
      </c>
      <c r="D426" s="994"/>
      <c r="E426" s="995"/>
      <c r="F426" s="995"/>
      <c r="G426" s="995"/>
      <c r="H426" s="995"/>
      <c r="I426" s="999" t="s">
        <v>1767</v>
      </c>
      <c r="J426" s="1000"/>
      <c r="K426" s="1009"/>
      <c r="L426" s="1009" t="s">
        <v>2967</v>
      </c>
      <c r="M426" s="1001" t="s">
        <v>1009</v>
      </c>
      <c r="N426" s="1001" t="s">
        <v>1009</v>
      </c>
      <c r="O426" s="988"/>
      <c r="P426" s="988"/>
      <c r="Q426" s="988"/>
      <c r="R426" s="988"/>
    </row>
    <row r="427" spans="1:18" ht="30" customHeight="1">
      <c r="A427" s="992"/>
      <c r="B427" s="995"/>
      <c r="C427" s="995"/>
      <c r="D427" s="994"/>
      <c r="E427" s="995"/>
      <c r="F427" s="995"/>
      <c r="G427" s="995"/>
      <c r="H427" s="995"/>
      <c r="I427" s="999"/>
      <c r="J427" s="1000">
        <v>408.83499999999998</v>
      </c>
      <c r="K427" s="1009"/>
      <c r="L427" s="1009"/>
      <c r="M427" s="988"/>
      <c r="N427" s="1001"/>
      <c r="O427" s="988"/>
      <c r="P427" s="988"/>
      <c r="Q427" s="988"/>
      <c r="R427" s="988"/>
    </row>
    <row r="428" spans="1:18" ht="30" customHeight="1">
      <c r="A428" s="992">
        <f>A426+1</f>
        <v>211</v>
      </c>
      <c r="B428" s="995" t="s">
        <v>2605</v>
      </c>
      <c r="C428" s="995" t="s">
        <v>76</v>
      </c>
      <c r="D428" s="994"/>
      <c r="E428" s="995"/>
      <c r="F428" s="995"/>
      <c r="G428" s="995"/>
      <c r="H428" s="995"/>
      <c r="I428" s="999" t="s">
        <v>1767</v>
      </c>
      <c r="J428" s="1000"/>
      <c r="K428" s="1009"/>
      <c r="L428" s="1009" t="s">
        <v>2967</v>
      </c>
      <c r="M428" s="1001" t="s">
        <v>1009</v>
      </c>
      <c r="N428" s="1001" t="s">
        <v>1009</v>
      </c>
      <c r="O428" s="988"/>
      <c r="P428" s="988"/>
      <c r="Q428" s="988"/>
      <c r="R428" s="988"/>
    </row>
    <row r="429" spans="1:18" ht="30" customHeight="1">
      <c r="A429" s="992"/>
      <c r="B429" s="995"/>
      <c r="C429" s="995"/>
      <c r="D429" s="994"/>
      <c r="E429" s="995"/>
      <c r="F429" s="995"/>
      <c r="G429" s="995"/>
      <c r="H429" s="995"/>
      <c r="I429" s="999"/>
      <c r="J429" s="1000">
        <v>333.09</v>
      </c>
      <c r="K429" s="1009"/>
      <c r="L429" s="1009"/>
      <c r="M429" s="988"/>
      <c r="N429" s="1001"/>
      <c r="O429" s="988"/>
      <c r="P429" s="988"/>
      <c r="Q429" s="988"/>
      <c r="R429" s="988"/>
    </row>
    <row r="430" spans="1:18" ht="30" customHeight="1">
      <c r="A430" s="992">
        <f>A428+1</f>
        <v>212</v>
      </c>
      <c r="B430" s="995" t="s">
        <v>2606</v>
      </c>
      <c r="C430" s="995" t="s">
        <v>76</v>
      </c>
      <c r="D430" s="994"/>
      <c r="E430" s="995">
        <v>1</v>
      </c>
      <c r="F430" s="995">
        <v>1</v>
      </c>
      <c r="G430" s="995">
        <v>1</v>
      </c>
      <c r="H430" s="995">
        <v>1</v>
      </c>
      <c r="I430" s="999"/>
      <c r="J430" s="1000"/>
      <c r="K430" s="1009"/>
      <c r="L430" s="1009"/>
      <c r="M430" s="988"/>
      <c r="N430" s="1001"/>
      <c r="O430" s="988"/>
      <c r="P430" s="988"/>
      <c r="Q430" s="988"/>
      <c r="R430" s="988"/>
    </row>
    <row r="431" spans="1:18" ht="30" customHeight="1">
      <c r="A431" s="992"/>
      <c r="B431" s="995"/>
      <c r="C431" s="995"/>
      <c r="D431" s="994"/>
      <c r="E431" s="995"/>
      <c r="F431" s="995"/>
      <c r="G431" s="995"/>
      <c r="H431" s="995"/>
      <c r="I431" s="999"/>
      <c r="J431" s="1000">
        <v>343.68299999999999</v>
      </c>
      <c r="K431" s="1009"/>
      <c r="L431" s="1009"/>
      <c r="M431" s="988"/>
      <c r="N431" s="1001"/>
      <c r="O431" s="988"/>
      <c r="P431" s="988"/>
      <c r="Q431" s="988"/>
      <c r="R431" s="988"/>
    </row>
    <row r="432" spans="1:18" ht="30" customHeight="1">
      <c r="A432" s="992">
        <f>A430+1</f>
        <v>213</v>
      </c>
      <c r="B432" s="995" t="s">
        <v>2607</v>
      </c>
      <c r="C432" s="995" t="s">
        <v>76</v>
      </c>
      <c r="D432" s="994"/>
      <c r="E432" s="995"/>
      <c r="F432" s="995"/>
      <c r="G432" s="995"/>
      <c r="H432" s="995"/>
      <c r="I432" s="999" t="s">
        <v>1767</v>
      </c>
      <c r="J432" s="1000"/>
      <c r="K432" s="1009"/>
      <c r="L432" s="1009" t="s">
        <v>2967</v>
      </c>
      <c r="M432" s="1001" t="s">
        <v>1009</v>
      </c>
      <c r="N432" s="1001"/>
      <c r="O432" s="988"/>
      <c r="P432" s="988"/>
      <c r="Q432" s="988"/>
      <c r="R432" s="988"/>
    </row>
    <row r="433" spans="1:18" ht="30" customHeight="1">
      <c r="A433" s="992"/>
      <c r="B433" s="995"/>
      <c r="C433" s="995"/>
      <c r="D433" s="994"/>
      <c r="E433" s="995"/>
      <c r="F433" s="995"/>
      <c r="G433" s="995"/>
      <c r="H433" s="995"/>
      <c r="I433" s="999"/>
      <c r="J433" s="1000">
        <v>383.59899999999999</v>
      </c>
      <c r="K433" s="1009"/>
      <c r="L433" s="1009"/>
      <c r="M433" s="1009"/>
      <c r="N433" s="1001"/>
      <c r="O433" s="988"/>
      <c r="P433" s="988"/>
      <c r="Q433" s="988"/>
      <c r="R433" s="988"/>
    </row>
    <row r="434" spans="1:18" ht="30" customHeight="1">
      <c r="A434" s="992">
        <f>A432+1</f>
        <v>214</v>
      </c>
      <c r="B434" s="995" t="s">
        <v>3070</v>
      </c>
      <c r="C434" s="995" t="s">
        <v>1277</v>
      </c>
      <c r="D434" s="994" t="s">
        <v>2609</v>
      </c>
      <c r="E434" s="995"/>
      <c r="F434" s="995"/>
      <c r="G434" s="995"/>
      <c r="H434" s="995"/>
      <c r="I434" s="999" t="s">
        <v>1767</v>
      </c>
      <c r="J434" s="1000"/>
      <c r="K434" s="1009"/>
      <c r="L434" s="1009" t="s">
        <v>2967</v>
      </c>
      <c r="M434" s="1009" t="s">
        <v>1009</v>
      </c>
      <c r="N434" s="1001"/>
      <c r="O434" s="988"/>
      <c r="P434" s="988"/>
      <c r="Q434" s="988"/>
      <c r="R434" s="988"/>
    </row>
    <row r="435" spans="1:18" ht="30" customHeight="1">
      <c r="A435" s="992"/>
      <c r="B435" s="995"/>
      <c r="C435" s="995"/>
      <c r="D435" s="994"/>
      <c r="E435" s="995"/>
      <c r="F435" s="995"/>
      <c r="G435" s="995"/>
      <c r="H435" s="995"/>
      <c r="I435" s="999"/>
      <c r="J435" s="1000">
        <v>282.75900000000001</v>
      </c>
      <c r="K435" s="1009"/>
      <c r="L435" s="1009"/>
      <c r="M435" s="1009"/>
      <c r="N435" s="1001"/>
      <c r="O435" s="988"/>
      <c r="P435" s="988"/>
      <c r="Q435" s="988"/>
      <c r="R435" s="988"/>
    </row>
    <row r="436" spans="1:18" ht="30" customHeight="1">
      <c r="A436" s="992">
        <f>A434+1</f>
        <v>215</v>
      </c>
      <c r="B436" s="995" t="s">
        <v>3204</v>
      </c>
      <c r="C436" s="995" t="s">
        <v>76</v>
      </c>
      <c r="D436" s="994"/>
      <c r="E436" s="995"/>
      <c r="F436" s="995"/>
      <c r="G436" s="995"/>
      <c r="H436" s="995"/>
      <c r="I436" s="999" t="s">
        <v>1767</v>
      </c>
      <c r="J436" s="1000"/>
      <c r="K436" s="1009"/>
      <c r="L436" s="1009" t="s">
        <v>2967</v>
      </c>
      <c r="M436" s="1009" t="s">
        <v>1009</v>
      </c>
      <c r="N436" s="1001"/>
      <c r="O436" s="988"/>
      <c r="P436" s="988"/>
      <c r="Q436" s="988"/>
      <c r="R436" s="988"/>
    </row>
    <row r="437" spans="1:18" ht="30" customHeight="1">
      <c r="A437" s="992"/>
      <c r="B437" s="995"/>
      <c r="C437" s="995"/>
      <c r="D437" s="994"/>
      <c r="E437" s="995"/>
      <c r="F437" s="995"/>
      <c r="G437" s="995"/>
      <c r="H437" s="995"/>
      <c r="I437" s="999"/>
      <c r="J437" s="1000">
        <v>385.27100000000002</v>
      </c>
      <c r="K437" s="1009"/>
      <c r="L437" s="1009"/>
      <c r="M437" s="1009"/>
      <c r="N437" s="1001"/>
      <c r="O437" s="988"/>
      <c r="P437" s="988"/>
      <c r="Q437" s="988"/>
      <c r="R437" s="988"/>
    </row>
    <row r="438" spans="1:18" ht="30" customHeight="1">
      <c r="A438" s="992">
        <f>A436+1</f>
        <v>216</v>
      </c>
      <c r="B438" s="995" t="s">
        <v>3205</v>
      </c>
      <c r="C438" s="995" t="s">
        <v>62</v>
      </c>
      <c r="D438" s="994"/>
      <c r="E438" s="995"/>
      <c r="F438" s="995"/>
      <c r="G438" s="995"/>
      <c r="H438" s="995"/>
      <c r="I438" s="999" t="s">
        <v>1767</v>
      </c>
      <c r="J438" s="1000"/>
      <c r="K438" s="1009"/>
      <c r="L438" s="1009" t="s">
        <v>2967</v>
      </c>
      <c r="M438" s="1009" t="s">
        <v>1009</v>
      </c>
      <c r="N438" s="1001"/>
      <c r="O438" s="988"/>
      <c r="P438" s="988"/>
      <c r="Q438" s="988"/>
      <c r="R438" s="988"/>
    </row>
    <row r="439" spans="1:18" ht="30" customHeight="1">
      <c r="A439" s="992"/>
      <c r="B439" s="995"/>
      <c r="C439" s="995"/>
      <c r="D439" s="994"/>
      <c r="E439" s="995"/>
      <c r="F439" s="995"/>
      <c r="G439" s="995"/>
      <c r="H439" s="995"/>
      <c r="I439" s="999"/>
      <c r="J439" s="1000">
        <v>361.36099999999999</v>
      </c>
      <c r="K439" s="1009"/>
      <c r="L439" s="1009"/>
      <c r="M439" s="1009"/>
      <c r="N439" s="1001"/>
      <c r="O439" s="988"/>
      <c r="P439" s="988"/>
      <c r="Q439" s="988"/>
      <c r="R439" s="988"/>
    </row>
    <row r="440" spans="1:18" ht="30" customHeight="1">
      <c r="A440" s="992">
        <f>A438+1</f>
        <v>217</v>
      </c>
      <c r="B440" s="995" t="s">
        <v>3235</v>
      </c>
      <c r="C440" s="995" t="s">
        <v>1277</v>
      </c>
      <c r="D440" s="994" t="s">
        <v>3218</v>
      </c>
      <c r="E440" s="995"/>
      <c r="F440" s="995"/>
      <c r="G440" s="995"/>
      <c r="H440" s="995"/>
      <c r="I440" s="999" t="s">
        <v>1767</v>
      </c>
      <c r="J440" s="1000"/>
      <c r="K440" s="1009"/>
      <c r="L440" s="1009" t="s">
        <v>2967</v>
      </c>
      <c r="M440" s="1009" t="s">
        <v>1009</v>
      </c>
      <c r="N440" s="1001"/>
      <c r="O440" s="988"/>
      <c r="P440" s="988"/>
      <c r="Q440" s="988"/>
      <c r="R440" s="988"/>
    </row>
    <row r="441" spans="1:18" ht="30" customHeight="1">
      <c r="A441" s="992"/>
      <c r="B441" s="995"/>
      <c r="C441" s="995"/>
      <c r="D441" s="994"/>
      <c r="E441" s="995"/>
      <c r="F441" s="995"/>
      <c r="G441" s="995"/>
      <c r="H441" s="995"/>
      <c r="I441" s="999"/>
      <c r="J441" s="1000">
        <v>235.09</v>
      </c>
      <c r="K441" s="1009"/>
      <c r="L441" s="1009"/>
      <c r="M441" s="1009"/>
      <c r="N441" s="1001"/>
      <c r="O441" s="988"/>
      <c r="P441" s="988"/>
      <c r="Q441" s="988"/>
      <c r="R441" s="988"/>
    </row>
    <row r="442" spans="1:18" ht="30" customHeight="1">
      <c r="A442" s="992">
        <f>A440+1</f>
        <v>218</v>
      </c>
      <c r="B442" s="995" t="s">
        <v>3236</v>
      </c>
      <c r="C442" s="995" t="s">
        <v>1319</v>
      </c>
      <c r="D442" s="994" t="s">
        <v>3219</v>
      </c>
      <c r="E442" s="995"/>
      <c r="F442" s="995"/>
      <c r="G442" s="995"/>
      <c r="H442" s="995"/>
      <c r="I442" s="999" t="s">
        <v>1767</v>
      </c>
      <c r="J442" s="1000"/>
      <c r="K442" s="1009"/>
      <c r="L442" s="1009" t="s">
        <v>2967</v>
      </c>
      <c r="M442" s="1009" t="s">
        <v>1009</v>
      </c>
      <c r="N442" s="1001"/>
      <c r="O442" s="988"/>
      <c r="P442" s="988"/>
      <c r="Q442" s="988"/>
      <c r="R442" s="988"/>
    </row>
    <row r="443" spans="1:18" ht="30" customHeight="1">
      <c r="A443" s="992"/>
      <c r="B443" s="995"/>
      <c r="C443" s="995"/>
      <c r="D443" s="994"/>
      <c r="E443" s="995"/>
      <c r="F443" s="995"/>
      <c r="G443" s="995"/>
      <c r="H443" s="995"/>
      <c r="I443" s="999"/>
      <c r="J443" s="1000">
        <v>351.74299999999999</v>
      </c>
      <c r="K443" s="1009"/>
      <c r="L443" s="1009"/>
      <c r="M443" s="1009"/>
      <c r="N443" s="1001"/>
      <c r="O443" s="988"/>
      <c r="P443" s="988"/>
      <c r="Q443" s="988"/>
      <c r="R443" s="988"/>
    </row>
    <row r="444" spans="1:18" ht="30" customHeight="1">
      <c r="A444" s="992">
        <f>A442+1</f>
        <v>219</v>
      </c>
      <c r="B444" s="995" t="s">
        <v>3206</v>
      </c>
      <c r="C444" s="995" t="s">
        <v>76</v>
      </c>
      <c r="D444" s="994"/>
      <c r="E444" s="995"/>
      <c r="F444" s="995"/>
      <c r="G444" s="995"/>
      <c r="H444" s="995"/>
      <c r="I444" s="999" t="s">
        <v>1767</v>
      </c>
      <c r="J444" s="1000"/>
      <c r="K444" s="1009"/>
      <c r="L444" s="1009" t="s">
        <v>2967</v>
      </c>
      <c r="M444" s="1009" t="s">
        <v>1009</v>
      </c>
      <c r="N444" s="1001" t="s">
        <v>1009</v>
      </c>
      <c r="O444" s="988"/>
      <c r="P444" s="988"/>
      <c r="Q444" s="988"/>
      <c r="R444" s="988"/>
    </row>
    <row r="445" spans="1:18" ht="30" customHeight="1">
      <c r="A445" s="992"/>
      <c r="B445" s="995"/>
      <c r="C445" s="995"/>
      <c r="D445" s="994"/>
      <c r="E445" s="995"/>
      <c r="F445" s="995"/>
      <c r="G445" s="995"/>
      <c r="H445" s="995"/>
      <c r="I445" s="999"/>
      <c r="J445" s="1000">
        <v>386.03800000000001</v>
      </c>
      <c r="K445" s="1009"/>
      <c r="L445" s="1009"/>
      <c r="M445" s="1009"/>
      <c r="N445" s="1001"/>
      <c r="O445" s="988"/>
      <c r="P445" s="988"/>
      <c r="Q445" s="988"/>
      <c r="R445" s="988"/>
    </row>
    <row r="446" spans="1:18" ht="30" customHeight="1">
      <c r="A446" s="992">
        <f>A444+1</f>
        <v>220</v>
      </c>
      <c r="B446" s="995" t="s">
        <v>3207</v>
      </c>
      <c r="C446" s="995" t="s">
        <v>76</v>
      </c>
      <c r="D446" s="994"/>
      <c r="E446" s="995"/>
      <c r="F446" s="995"/>
      <c r="G446" s="995"/>
      <c r="H446" s="995"/>
      <c r="I446" s="999" t="s">
        <v>1767</v>
      </c>
      <c r="J446" s="1000"/>
      <c r="K446" s="1009"/>
      <c r="L446" s="1009" t="s">
        <v>2967</v>
      </c>
      <c r="M446" s="1009" t="s">
        <v>1009</v>
      </c>
      <c r="N446" s="1001" t="s">
        <v>1009</v>
      </c>
      <c r="O446" s="988"/>
      <c r="P446" s="988"/>
      <c r="Q446" s="988"/>
      <c r="R446" s="988"/>
    </row>
    <row r="447" spans="1:18" ht="30" customHeight="1">
      <c r="A447" s="992"/>
      <c r="B447" s="995"/>
      <c r="C447" s="995"/>
      <c r="D447" s="994"/>
      <c r="E447" s="995"/>
      <c r="F447" s="995"/>
      <c r="G447" s="995"/>
      <c r="H447" s="995"/>
      <c r="I447" s="999"/>
      <c r="J447" s="1000">
        <v>387.69499999999999</v>
      </c>
      <c r="K447" s="1009"/>
      <c r="L447" s="1009"/>
      <c r="M447" s="1009"/>
      <c r="N447" s="1001"/>
      <c r="O447" s="988"/>
      <c r="P447" s="988"/>
      <c r="Q447" s="988"/>
      <c r="R447" s="988"/>
    </row>
    <row r="448" spans="1:18" ht="30" customHeight="1">
      <c r="A448" s="992">
        <f>A446+1</f>
        <v>221</v>
      </c>
      <c r="B448" s="995" t="s">
        <v>3208</v>
      </c>
      <c r="C448" s="995" t="s">
        <v>76</v>
      </c>
      <c r="D448" s="994"/>
      <c r="E448" s="995"/>
      <c r="F448" s="995"/>
      <c r="G448" s="995"/>
      <c r="H448" s="995"/>
      <c r="I448" s="999" t="s">
        <v>1767</v>
      </c>
      <c r="J448" s="1000"/>
      <c r="K448" s="1009"/>
      <c r="L448" s="1009" t="s">
        <v>2967</v>
      </c>
      <c r="M448" s="1009" t="s">
        <v>1009</v>
      </c>
      <c r="N448" s="1001" t="s">
        <v>1009</v>
      </c>
      <c r="O448" s="988"/>
      <c r="P448" s="988"/>
      <c r="Q448" s="988"/>
      <c r="R448" s="988"/>
    </row>
    <row r="449" spans="1:18" ht="30" customHeight="1">
      <c r="A449" s="992"/>
      <c r="B449" s="995"/>
      <c r="C449" s="995"/>
      <c r="D449" s="994"/>
      <c r="E449" s="995"/>
      <c r="F449" s="995"/>
      <c r="G449" s="995"/>
      <c r="H449" s="995"/>
      <c r="I449" s="999"/>
      <c r="J449" s="1000">
        <v>389.56799999999998</v>
      </c>
      <c r="K449" s="1009"/>
      <c r="L449" s="1009"/>
      <c r="M449" s="1009"/>
      <c r="N449" s="1009"/>
      <c r="O449" s="988"/>
      <c r="P449" s="988"/>
      <c r="Q449" s="988"/>
      <c r="R449" s="988"/>
    </row>
    <row r="450" spans="1:18" ht="30" customHeight="1">
      <c r="A450" s="992">
        <f>A448+1</f>
        <v>222</v>
      </c>
      <c r="B450" s="995" t="s">
        <v>3237</v>
      </c>
      <c r="C450" s="995" t="s">
        <v>1277</v>
      </c>
      <c r="D450" s="994" t="s">
        <v>3220</v>
      </c>
      <c r="E450" s="995"/>
      <c r="F450" s="995"/>
      <c r="G450" s="995"/>
      <c r="H450" s="995"/>
      <c r="I450" s="999" t="s">
        <v>1767</v>
      </c>
      <c r="J450" s="1000"/>
      <c r="K450" s="1009"/>
      <c r="L450" s="1009" t="s">
        <v>2967</v>
      </c>
      <c r="M450" s="1009" t="s">
        <v>1009</v>
      </c>
      <c r="N450" s="1009" t="s">
        <v>1009</v>
      </c>
      <c r="O450" s="988"/>
      <c r="P450" s="988"/>
      <c r="Q450" s="988"/>
      <c r="R450" s="988"/>
    </row>
    <row r="451" spans="1:18" ht="30" customHeight="1">
      <c r="A451" s="992"/>
      <c r="B451" s="995"/>
      <c r="C451" s="995"/>
      <c r="D451" s="994"/>
      <c r="E451" s="995"/>
      <c r="F451" s="995"/>
      <c r="G451" s="995"/>
      <c r="H451" s="995"/>
      <c r="I451" s="999"/>
      <c r="J451" s="1000">
        <v>376.14400000000001</v>
      </c>
      <c r="K451" s="1009"/>
      <c r="L451" s="1009"/>
      <c r="M451" s="1009"/>
      <c r="N451" s="1009"/>
      <c r="O451" s="988"/>
      <c r="P451" s="988"/>
      <c r="Q451" s="988"/>
      <c r="R451" s="988"/>
    </row>
    <row r="452" spans="1:18" ht="30" customHeight="1">
      <c r="A452" s="992">
        <f>A450+1</f>
        <v>223</v>
      </c>
      <c r="B452" s="995" t="s">
        <v>3209</v>
      </c>
      <c r="C452" s="995" t="s">
        <v>53</v>
      </c>
      <c r="D452" s="994"/>
      <c r="E452" s="995"/>
      <c r="F452" s="995"/>
      <c r="G452" s="995"/>
      <c r="H452" s="995"/>
      <c r="I452" s="999" t="s">
        <v>1767</v>
      </c>
      <c r="J452" s="1000"/>
      <c r="K452" s="1009"/>
      <c r="L452" s="1009" t="s">
        <v>2967</v>
      </c>
      <c r="M452" s="1009" t="s">
        <v>1009</v>
      </c>
      <c r="N452" s="1009" t="s">
        <v>1009</v>
      </c>
      <c r="O452" s="988"/>
      <c r="P452" s="988"/>
      <c r="Q452" s="988"/>
      <c r="R452" s="988"/>
    </row>
    <row r="453" spans="1:18" ht="30" customHeight="1">
      <c r="A453" s="992"/>
      <c r="B453" s="995"/>
      <c r="C453" s="995"/>
      <c r="D453" s="994"/>
      <c r="E453" s="995"/>
      <c r="F453" s="995"/>
      <c r="G453" s="995"/>
      <c r="H453" s="995"/>
      <c r="I453" s="999"/>
      <c r="J453" s="1000">
        <v>408</v>
      </c>
      <c r="K453" s="1009"/>
      <c r="L453" s="1009"/>
      <c r="M453" s="1009"/>
      <c r="N453" s="1009"/>
      <c r="O453" s="988"/>
      <c r="P453" s="988"/>
      <c r="Q453" s="988"/>
      <c r="R453" s="988"/>
    </row>
    <row r="454" spans="1:18" ht="30" customHeight="1">
      <c r="A454" s="992">
        <f>A452+1</f>
        <v>224</v>
      </c>
      <c r="B454" s="995" t="s">
        <v>3210</v>
      </c>
      <c r="C454" s="995" t="s">
        <v>76</v>
      </c>
      <c r="D454" s="994"/>
      <c r="E454" s="995"/>
      <c r="F454" s="995"/>
      <c r="G454" s="995"/>
      <c r="H454" s="995"/>
      <c r="I454" s="999" t="s">
        <v>1767</v>
      </c>
      <c r="J454" s="1000"/>
      <c r="K454" s="1009"/>
      <c r="L454" s="1009" t="s">
        <v>2967</v>
      </c>
      <c r="M454" s="1009" t="s">
        <v>1009</v>
      </c>
      <c r="N454" s="1009"/>
      <c r="O454" s="988"/>
      <c r="P454" s="988"/>
      <c r="Q454" s="988"/>
      <c r="R454" s="988"/>
    </row>
    <row r="455" spans="1:18" ht="30" customHeight="1">
      <c r="A455" s="992"/>
      <c r="B455" s="995"/>
      <c r="C455" s="995"/>
      <c r="D455" s="994"/>
      <c r="E455" s="995"/>
      <c r="F455" s="995"/>
      <c r="G455" s="995"/>
      <c r="H455" s="995"/>
      <c r="I455" s="999"/>
      <c r="J455" s="1000">
        <v>365.41300000000001</v>
      </c>
      <c r="K455" s="1009"/>
      <c r="L455" s="1009"/>
      <c r="M455" s="1009"/>
      <c r="N455" s="1009"/>
      <c r="O455" s="988"/>
      <c r="P455" s="988"/>
      <c r="Q455" s="988"/>
      <c r="R455" s="988"/>
    </row>
    <row r="456" spans="1:18" ht="30" customHeight="1">
      <c r="A456" s="992">
        <f>A454+1</f>
        <v>225</v>
      </c>
      <c r="B456" s="995" t="s">
        <v>3211</v>
      </c>
      <c r="C456" s="995" t="s">
        <v>76</v>
      </c>
      <c r="D456" s="994"/>
      <c r="E456" s="995"/>
      <c r="F456" s="995"/>
      <c r="G456" s="995"/>
      <c r="H456" s="995"/>
      <c r="I456" s="999" t="s">
        <v>1767</v>
      </c>
      <c r="J456" s="1000"/>
      <c r="K456" s="1009"/>
      <c r="L456" s="1009" t="s">
        <v>2967</v>
      </c>
      <c r="M456" s="1009" t="s">
        <v>1009</v>
      </c>
      <c r="N456" s="1009" t="s">
        <v>1009</v>
      </c>
      <c r="O456" s="988"/>
      <c r="P456" s="988"/>
      <c r="Q456" s="988"/>
      <c r="R456" s="988"/>
    </row>
    <row r="457" spans="1:18" ht="30" customHeight="1">
      <c r="A457" s="992"/>
      <c r="B457" s="995"/>
      <c r="C457" s="995"/>
      <c r="D457" s="994"/>
      <c r="E457" s="995"/>
      <c r="F457" s="995"/>
      <c r="G457" s="995"/>
      <c r="H457" s="995"/>
      <c r="I457" s="999"/>
      <c r="J457" s="1000">
        <v>280.471</v>
      </c>
      <c r="K457" s="1009"/>
      <c r="L457" s="1009"/>
      <c r="M457" s="1009"/>
      <c r="N457" s="1009"/>
      <c r="O457" s="988"/>
      <c r="P457" s="988"/>
      <c r="Q457" s="988"/>
      <c r="R457" s="988"/>
    </row>
    <row r="458" spans="1:18" ht="30" customHeight="1">
      <c r="A458" s="992">
        <f>A456+1</f>
        <v>226</v>
      </c>
      <c r="B458" s="995" t="s">
        <v>3212</v>
      </c>
      <c r="C458" s="995" t="s">
        <v>76</v>
      </c>
      <c r="D458" s="994"/>
      <c r="E458" s="995"/>
      <c r="F458" s="995"/>
      <c r="G458" s="995"/>
      <c r="H458" s="995"/>
      <c r="I458" s="999" t="s">
        <v>1767</v>
      </c>
      <c r="J458" s="1000"/>
      <c r="K458" s="1009"/>
      <c r="L458" s="1009" t="s">
        <v>2967</v>
      </c>
      <c r="M458" s="1009" t="s">
        <v>1009</v>
      </c>
      <c r="N458" s="1009" t="s">
        <v>1009</v>
      </c>
      <c r="O458" s="988"/>
      <c r="P458" s="988"/>
      <c r="Q458" s="988"/>
      <c r="R458" s="988"/>
    </row>
    <row r="459" spans="1:18" ht="30" customHeight="1">
      <c r="A459" s="992"/>
      <c r="B459" s="995"/>
      <c r="C459" s="995"/>
      <c r="D459" s="994"/>
      <c r="E459" s="995"/>
      <c r="F459" s="995"/>
      <c r="G459" s="995"/>
      <c r="H459" s="995"/>
      <c r="I459" s="999"/>
      <c r="J459" s="1000">
        <v>305.68900000000002</v>
      </c>
      <c r="K459" s="1009"/>
      <c r="L459" s="1009"/>
      <c r="M459" s="1009"/>
      <c r="N459" s="1009"/>
      <c r="O459" s="988"/>
      <c r="P459" s="988"/>
      <c r="Q459" s="988"/>
      <c r="R459" s="988"/>
    </row>
    <row r="460" spans="1:18" ht="30" customHeight="1">
      <c r="A460" s="992">
        <f>A458+1</f>
        <v>227</v>
      </c>
      <c r="B460" s="995" t="s">
        <v>3238</v>
      </c>
      <c r="C460" s="995" t="s">
        <v>1269</v>
      </c>
      <c r="D460" s="994" t="s">
        <v>3221</v>
      </c>
      <c r="E460" s="995"/>
      <c r="F460" s="995"/>
      <c r="G460" s="995"/>
      <c r="H460" s="995"/>
      <c r="I460" s="999" t="s">
        <v>1767</v>
      </c>
      <c r="J460" s="1000"/>
      <c r="K460" s="1009"/>
      <c r="L460" s="1009" t="s">
        <v>2967</v>
      </c>
      <c r="M460" s="1009" t="s">
        <v>1009</v>
      </c>
      <c r="N460" s="1009" t="s">
        <v>1009</v>
      </c>
      <c r="O460" s="988"/>
      <c r="P460" s="988"/>
      <c r="Q460" s="988"/>
      <c r="R460" s="988"/>
    </row>
    <row r="461" spans="1:18" ht="30" customHeight="1">
      <c r="A461" s="992"/>
      <c r="B461" s="995"/>
      <c r="C461" s="995"/>
      <c r="D461" s="994"/>
      <c r="E461" s="995"/>
      <c r="F461" s="995"/>
      <c r="G461" s="995"/>
      <c r="H461" s="995"/>
      <c r="I461" s="999"/>
      <c r="J461" s="1000">
        <v>363.35899999999998</v>
      </c>
      <c r="K461" s="1009"/>
      <c r="L461" s="1009"/>
      <c r="M461" s="1009"/>
      <c r="N461" s="1009"/>
      <c r="O461" s="988"/>
      <c r="P461" s="988"/>
      <c r="Q461" s="988"/>
      <c r="R461" s="988"/>
    </row>
    <row r="462" spans="1:18" ht="30" customHeight="1">
      <c r="A462" s="992">
        <f>A460+1</f>
        <v>228</v>
      </c>
      <c r="B462" s="995" t="s">
        <v>3213</v>
      </c>
      <c r="C462" s="995" t="s">
        <v>76</v>
      </c>
      <c r="D462" s="994"/>
      <c r="E462" s="995"/>
      <c r="F462" s="995"/>
      <c r="G462" s="995"/>
      <c r="H462" s="995"/>
      <c r="I462" s="999" t="s">
        <v>1767</v>
      </c>
      <c r="J462" s="1000"/>
      <c r="K462" s="1009"/>
      <c r="L462" s="1009" t="s">
        <v>2967</v>
      </c>
      <c r="M462" s="1009" t="s">
        <v>1009</v>
      </c>
      <c r="N462" s="1009"/>
      <c r="O462" s="988"/>
      <c r="P462" s="988"/>
      <c r="Q462" s="988"/>
      <c r="R462" s="988"/>
    </row>
    <row r="463" spans="1:18" ht="30" customHeight="1">
      <c r="A463" s="992"/>
      <c r="B463" s="995"/>
      <c r="C463" s="995"/>
      <c r="D463" s="994"/>
      <c r="E463" s="995"/>
      <c r="F463" s="995"/>
      <c r="G463" s="995"/>
      <c r="H463" s="995"/>
      <c r="I463" s="999"/>
      <c r="J463" s="1000">
        <v>428.54300000000001</v>
      </c>
      <c r="K463" s="1009"/>
      <c r="L463" s="1009"/>
      <c r="M463" s="1009"/>
      <c r="N463" s="1009"/>
      <c r="O463" s="988"/>
      <c r="P463" s="988"/>
      <c r="Q463" s="988"/>
      <c r="R463" s="988"/>
    </row>
    <row r="464" spans="1:18" ht="30" customHeight="1">
      <c r="A464" s="992">
        <f>A462+1</f>
        <v>229</v>
      </c>
      <c r="B464" s="995" t="s">
        <v>3239</v>
      </c>
      <c r="C464" s="995" t="s">
        <v>2236</v>
      </c>
      <c r="D464" s="994" t="s">
        <v>3222</v>
      </c>
      <c r="E464" s="995"/>
      <c r="F464" s="995"/>
      <c r="G464" s="995"/>
      <c r="H464" s="995"/>
      <c r="I464" s="999"/>
      <c r="J464" s="1000"/>
      <c r="K464" s="1009"/>
      <c r="L464" s="1009"/>
      <c r="M464" s="1009"/>
      <c r="N464" s="1009"/>
      <c r="O464" s="988"/>
      <c r="P464" s="988"/>
      <c r="Q464" s="988"/>
      <c r="R464" s="988"/>
    </row>
    <row r="465" spans="1:18" ht="30" customHeight="1">
      <c r="A465" s="992"/>
      <c r="B465" s="995"/>
      <c r="C465" s="995"/>
      <c r="D465" s="994"/>
      <c r="E465" s="995"/>
      <c r="F465" s="995"/>
      <c r="G465" s="995"/>
      <c r="H465" s="995"/>
      <c r="I465" s="999"/>
      <c r="J465" s="1000">
        <v>223.00200000000001</v>
      </c>
      <c r="K465" s="1009"/>
      <c r="L465" s="1009"/>
      <c r="M465" s="1009"/>
      <c r="N465" s="1009"/>
      <c r="O465" s="1009"/>
      <c r="P465" s="1009"/>
      <c r="Q465" s="996"/>
      <c r="R465" s="1011" t="s">
        <v>3274</v>
      </c>
    </row>
    <row r="466" spans="1:18" ht="30" customHeight="1">
      <c r="A466" s="992">
        <f>A464+1</f>
        <v>230</v>
      </c>
      <c r="B466" s="995" t="s">
        <v>3240</v>
      </c>
      <c r="C466" s="995" t="s">
        <v>2221</v>
      </c>
      <c r="D466" s="994" t="s">
        <v>3223</v>
      </c>
      <c r="E466" s="995"/>
      <c r="F466" s="995"/>
      <c r="G466" s="995"/>
      <c r="H466" s="995"/>
      <c r="I466" s="999" t="s">
        <v>2768</v>
      </c>
      <c r="J466" s="1000"/>
      <c r="K466" s="1009"/>
      <c r="L466" s="1009" t="s">
        <v>2967</v>
      </c>
      <c r="M466" s="1009" t="s">
        <v>1009</v>
      </c>
      <c r="N466" s="1009"/>
      <c r="O466" s="1009"/>
      <c r="P466" s="1009"/>
      <c r="Q466" s="996"/>
      <c r="R466" s="1010"/>
    </row>
    <row r="467" spans="1:18" ht="30" customHeight="1">
      <c r="A467" s="992"/>
      <c r="B467" s="995"/>
      <c r="C467" s="995"/>
      <c r="D467" s="994"/>
      <c r="E467" s="995"/>
      <c r="F467" s="995"/>
      <c r="G467" s="995"/>
      <c r="H467" s="995"/>
      <c r="I467" s="999"/>
      <c r="J467" s="1000">
        <v>433.78399999999999</v>
      </c>
      <c r="K467" s="1009"/>
      <c r="L467" s="1009"/>
      <c r="M467" s="1009"/>
      <c r="N467" s="1009"/>
      <c r="O467" s="1009"/>
      <c r="P467" s="1009"/>
      <c r="Q467" s="996"/>
      <c r="R467" s="1010"/>
    </row>
    <row r="468" spans="1:18" ht="30" customHeight="1">
      <c r="A468" s="992">
        <f>A466+1</f>
        <v>231</v>
      </c>
      <c r="B468" s="995" t="s">
        <v>3321</v>
      </c>
      <c r="C468" s="995" t="s">
        <v>76</v>
      </c>
      <c r="D468" s="994"/>
      <c r="E468" s="995"/>
      <c r="F468" s="995"/>
      <c r="G468" s="995"/>
      <c r="H468" s="995"/>
      <c r="I468" s="999"/>
      <c r="J468" s="1000"/>
      <c r="K468" s="1009"/>
      <c r="L468" s="1009"/>
      <c r="M468" s="1009"/>
      <c r="N468" s="1009"/>
      <c r="O468" s="1009"/>
      <c r="P468" s="1009"/>
      <c r="Q468" s="996"/>
      <c r="R468" s="1010"/>
    </row>
    <row r="469" spans="1:18" ht="30" customHeight="1">
      <c r="A469" s="992"/>
      <c r="B469" s="995"/>
      <c r="C469" s="995"/>
      <c r="D469" s="994"/>
      <c r="E469" s="995"/>
      <c r="F469" s="995"/>
      <c r="G469" s="995"/>
      <c r="H469" s="995"/>
      <c r="I469" s="999"/>
      <c r="J469" s="1000">
        <v>377.77699999999999</v>
      </c>
      <c r="K469" s="1009"/>
      <c r="L469" s="1009"/>
      <c r="M469" s="1009"/>
      <c r="N469" s="1009"/>
      <c r="O469" s="1009"/>
      <c r="P469" s="1009"/>
      <c r="Q469" s="996"/>
      <c r="R469" s="1010"/>
    </row>
    <row r="470" spans="1:18" ht="30" customHeight="1">
      <c r="A470" s="992">
        <f>A468+1</f>
        <v>232</v>
      </c>
      <c r="B470" s="995" t="s">
        <v>3322</v>
      </c>
      <c r="C470" s="995" t="s">
        <v>76</v>
      </c>
      <c r="D470" s="994"/>
      <c r="E470" s="995"/>
      <c r="F470" s="995"/>
      <c r="G470" s="995"/>
      <c r="H470" s="995"/>
      <c r="I470" s="999"/>
      <c r="J470" s="1000"/>
      <c r="K470" s="1009"/>
      <c r="L470" s="1009"/>
      <c r="M470" s="1009"/>
      <c r="N470" s="1009"/>
      <c r="O470" s="1009"/>
      <c r="P470" s="1009"/>
      <c r="Q470" s="996"/>
      <c r="R470" s="1010"/>
    </row>
    <row r="471" spans="1:18" ht="30" customHeight="1">
      <c r="A471" s="992"/>
      <c r="B471" s="995"/>
      <c r="C471" s="995"/>
      <c r="D471" s="994"/>
      <c r="E471" s="995"/>
      <c r="F471" s="995"/>
      <c r="G471" s="995"/>
      <c r="H471" s="995"/>
      <c r="I471" s="999"/>
      <c r="J471" s="1000">
        <v>375.892</v>
      </c>
      <c r="K471" s="1009"/>
      <c r="L471" s="1009"/>
      <c r="M471" s="1009"/>
      <c r="N471" s="1009"/>
      <c r="O471" s="1009"/>
      <c r="P471" s="1009"/>
      <c r="Q471" s="996"/>
      <c r="R471" s="1010"/>
    </row>
    <row r="472" spans="1:18" ht="30" customHeight="1">
      <c r="A472" s="992">
        <f>A470+1</f>
        <v>233</v>
      </c>
      <c r="B472" s="995" t="s">
        <v>3323</v>
      </c>
      <c r="C472" s="995" t="s">
        <v>76</v>
      </c>
      <c r="D472" s="994"/>
      <c r="E472" s="995"/>
      <c r="F472" s="995"/>
      <c r="G472" s="995"/>
      <c r="H472" s="995"/>
      <c r="I472" s="999"/>
      <c r="J472" s="1000"/>
      <c r="K472" s="1009"/>
      <c r="L472" s="1009"/>
      <c r="M472" s="1009"/>
      <c r="N472" s="1009"/>
      <c r="O472" s="1009"/>
      <c r="P472" s="1009"/>
      <c r="Q472" s="996"/>
      <c r="R472" s="1010"/>
    </row>
    <row r="473" spans="1:18" ht="30" customHeight="1">
      <c r="A473" s="992"/>
      <c r="B473" s="995"/>
      <c r="C473" s="995"/>
      <c r="D473" s="994"/>
      <c r="E473" s="995"/>
      <c r="F473" s="995"/>
      <c r="G473" s="995"/>
      <c r="H473" s="995"/>
      <c r="I473" s="999"/>
      <c r="J473" s="1000">
        <v>394.94400000000002</v>
      </c>
      <c r="K473" s="1009"/>
      <c r="L473" s="1009"/>
      <c r="M473" s="1009"/>
      <c r="N473" s="1009"/>
      <c r="O473" s="1009"/>
      <c r="P473" s="1009"/>
      <c r="Q473" s="996"/>
      <c r="R473" s="1010"/>
    </row>
    <row r="474" spans="1:18" ht="30" customHeight="1">
      <c r="A474" s="992">
        <f>A472+1</f>
        <v>234</v>
      </c>
      <c r="B474" s="995" t="s">
        <v>3241</v>
      </c>
      <c r="C474" s="995" t="s">
        <v>2236</v>
      </c>
      <c r="D474" s="994" t="s">
        <v>3224</v>
      </c>
      <c r="E474" s="995"/>
      <c r="F474" s="995"/>
      <c r="G474" s="995"/>
      <c r="H474" s="995"/>
      <c r="I474" s="999"/>
      <c r="J474" s="1000"/>
      <c r="K474" s="1009"/>
      <c r="L474" s="1009"/>
      <c r="M474" s="1009"/>
      <c r="N474" s="1009"/>
      <c r="O474" s="1009"/>
      <c r="P474" s="1009"/>
      <c r="Q474" s="996"/>
      <c r="R474" s="1010"/>
    </row>
    <row r="475" spans="1:18" ht="30" customHeight="1">
      <c r="A475" s="992"/>
      <c r="B475" s="995"/>
      <c r="C475" s="995"/>
      <c r="D475" s="994"/>
      <c r="E475" s="995"/>
      <c r="F475" s="995"/>
      <c r="G475" s="995"/>
      <c r="H475" s="995"/>
      <c r="I475" s="999"/>
      <c r="J475" s="1000">
        <v>237.64099999999999</v>
      </c>
      <c r="K475" s="1009"/>
      <c r="L475" s="1009"/>
      <c r="M475" s="1009"/>
      <c r="N475" s="1009"/>
      <c r="O475" s="1009"/>
      <c r="P475" s="1009"/>
      <c r="Q475" s="996"/>
      <c r="R475" s="1011" t="s">
        <v>3273</v>
      </c>
    </row>
    <row r="476" spans="1:18" ht="30" customHeight="1">
      <c r="A476" s="992">
        <f>A474+1</f>
        <v>235</v>
      </c>
      <c r="B476" s="995" t="s">
        <v>3242</v>
      </c>
      <c r="C476" s="995" t="s">
        <v>2221</v>
      </c>
      <c r="D476" s="994" t="s">
        <v>3225</v>
      </c>
      <c r="E476" s="995"/>
      <c r="F476" s="995"/>
      <c r="G476" s="995"/>
      <c r="H476" s="995"/>
      <c r="I476" s="999"/>
      <c r="J476" s="1000"/>
      <c r="K476" s="1009"/>
      <c r="L476" s="1009"/>
      <c r="M476" s="1009"/>
      <c r="N476" s="1009"/>
      <c r="O476" s="1009"/>
      <c r="P476" s="1009"/>
      <c r="Q476" s="996"/>
      <c r="R476" s="1010"/>
    </row>
    <row r="477" spans="1:18" ht="30" customHeight="1">
      <c r="A477" s="992"/>
      <c r="B477" s="995"/>
      <c r="C477" s="995"/>
      <c r="D477" s="994"/>
      <c r="E477" s="995"/>
      <c r="F477" s="995"/>
      <c r="G477" s="995"/>
      <c r="H477" s="995"/>
      <c r="I477" s="999"/>
      <c r="J477" s="1000">
        <v>222.608</v>
      </c>
      <c r="K477" s="1009"/>
      <c r="L477" s="1009"/>
      <c r="M477" s="1009"/>
      <c r="N477" s="1009"/>
      <c r="O477" s="1009"/>
      <c r="P477" s="1009"/>
      <c r="Q477" s="996"/>
      <c r="R477" s="1010"/>
    </row>
    <row r="478" spans="1:18" ht="30" customHeight="1">
      <c r="A478" s="992">
        <f>A476+1</f>
        <v>236</v>
      </c>
      <c r="B478" s="995" t="s">
        <v>3243</v>
      </c>
      <c r="C478" s="995" t="s">
        <v>1981</v>
      </c>
      <c r="D478" s="994" t="s">
        <v>3226</v>
      </c>
      <c r="E478" s="995"/>
      <c r="F478" s="995"/>
      <c r="G478" s="995"/>
      <c r="H478" s="995"/>
      <c r="I478" s="999"/>
      <c r="J478" s="1000"/>
      <c r="K478" s="1009"/>
      <c r="L478" s="1009"/>
      <c r="M478" s="1009"/>
      <c r="N478" s="1009"/>
      <c r="O478" s="1009"/>
      <c r="P478" s="1009"/>
      <c r="Q478" s="996"/>
      <c r="R478" s="1010"/>
    </row>
    <row r="479" spans="1:18" ht="30" customHeight="1">
      <c r="A479" s="992"/>
      <c r="B479" s="995"/>
      <c r="C479" s="995"/>
      <c r="D479" s="994"/>
      <c r="E479" s="995"/>
      <c r="F479" s="995"/>
      <c r="G479" s="995"/>
      <c r="H479" s="995"/>
      <c r="I479" s="999"/>
      <c r="J479" s="1000">
        <v>201.44200000000001</v>
      </c>
      <c r="K479" s="1009"/>
      <c r="L479" s="1009"/>
      <c r="M479" s="1009"/>
      <c r="N479" s="1009"/>
      <c r="O479" s="1009"/>
      <c r="P479" s="1009"/>
      <c r="Q479" s="996"/>
      <c r="R479" s="1011" t="s">
        <v>3272</v>
      </c>
    </row>
    <row r="480" spans="1:18" ht="30" customHeight="1">
      <c r="A480" s="992">
        <f>A478+1</f>
        <v>237</v>
      </c>
      <c r="B480" s="995" t="s">
        <v>3244</v>
      </c>
      <c r="C480" s="995" t="s">
        <v>90</v>
      </c>
      <c r="D480" s="994" t="s">
        <v>3227</v>
      </c>
      <c r="E480" s="995"/>
      <c r="F480" s="995"/>
      <c r="G480" s="995"/>
      <c r="H480" s="995"/>
      <c r="I480" s="999"/>
      <c r="J480" s="1000"/>
      <c r="K480" s="1009"/>
      <c r="L480" s="1009"/>
      <c r="M480" s="1009"/>
      <c r="N480" s="1009"/>
      <c r="O480" s="1009"/>
      <c r="P480" s="1009"/>
      <c r="Q480" s="996"/>
      <c r="R480" s="1045"/>
    </row>
    <row r="481" spans="1:18" ht="30" customHeight="1">
      <c r="A481" s="992"/>
      <c r="B481" s="995"/>
      <c r="C481" s="995"/>
      <c r="D481" s="994"/>
      <c r="E481" s="995"/>
      <c r="F481" s="995"/>
      <c r="G481" s="995"/>
      <c r="H481" s="995"/>
      <c r="I481" s="999"/>
      <c r="J481" s="1000">
        <v>228.755</v>
      </c>
      <c r="K481" s="1009"/>
      <c r="L481" s="1009"/>
      <c r="M481" s="1009"/>
      <c r="N481" s="1009"/>
      <c r="O481" s="1009"/>
      <c r="P481" s="1009"/>
      <c r="Q481" s="996"/>
      <c r="R481" s="1011" t="s">
        <v>3271</v>
      </c>
    </row>
    <row r="482" spans="1:18" ht="30" customHeight="1">
      <c r="A482" s="992">
        <f>A480+1</f>
        <v>238</v>
      </c>
      <c r="B482" s="995" t="s">
        <v>3245</v>
      </c>
      <c r="C482" s="995" t="s">
        <v>1938</v>
      </c>
      <c r="D482" s="994" t="s">
        <v>3228</v>
      </c>
      <c r="E482" s="995">
        <v>1</v>
      </c>
      <c r="F482" s="995">
        <v>1</v>
      </c>
      <c r="G482" s="995">
        <v>1</v>
      </c>
      <c r="H482" s="995">
        <v>1</v>
      </c>
      <c r="I482" s="999"/>
      <c r="J482" s="1000"/>
      <c r="K482" s="1009"/>
      <c r="L482" s="1009"/>
      <c r="M482" s="1009"/>
      <c r="N482" s="1009"/>
      <c r="O482" s="1009"/>
      <c r="P482" s="1009"/>
      <c r="Q482" s="996"/>
      <c r="R482" s="1010"/>
    </row>
    <row r="483" spans="1:18" ht="30" customHeight="1">
      <c r="A483" s="992"/>
      <c r="B483" s="995"/>
      <c r="C483" s="995"/>
      <c r="D483" s="994"/>
      <c r="E483" s="995"/>
      <c r="F483" s="995"/>
      <c r="G483" s="995"/>
      <c r="H483" s="995"/>
      <c r="I483" s="999"/>
      <c r="J483" s="1000">
        <v>241.17099999999999</v>
      </c>
      <c r="K483" s="1009"/>
      <c r="L483" s="1009"/>
      <c r="M483" s="1009"/>
      <c r="N483" s="1009"/>
      <c r="O483" s="1009"/>
      <c r="P483" s="1009"/>
      <c r="Q483" s="996"/>
      <c r="R483" s="1011" t="s">
        <v>3270</v>
      </c>
    </row>
    <row r="484" spans="1:18" ht="30" customHeight="1">
      <c r="A484" s="992">
        <f>A482+1</f>
        <v>239</v>
      </c>
      <c r="B484" s="995" t="s">
        <v>3246</v>
      </c>
      <c r="C484" s="995" t="s">
        <v>1938</v>
      </c>
      <c r="D484" s="994" t="s">
        <v>3229</v>
      </c>
      <c r="E484" s="995"/>
      <c r="F484" s="995"/>
      <c r="G484" s="995"/>
      <c r="H484" s="995"/>
      <c r="I484" s="999"/>
      <c r="J484" s="1000"/>
      <c r="K484" s="1009"/>
      <c r="L484" s="1009"/>
      <c r="M484" s="1009"/>
      <c r="N484" s="1009"/>
      <c r="O484" s="1009"/>
      <c r="P484" s="1009"/>
      <c r="Q484" s="996"/>
      <c r="R484" s="1010"/>
    </row>
    <row r="485" spans="1:18" ht="30" customHeight="1">
      <c r="A485" s="992"/>
      <c r="B485" s="995"/>
      <c r="C485" s="995"/>
      <c r="D485" s="994"/>
      <c r="E485" s="995"/>
      <c r="F485" s="995"/>
      <c r="G485" s="995"/>
      <c r="H485" s="995"/>
      <c r="I485" s="999"/>
      <c r="J485" s="1000">
        <v>265.92200000000003</v>
      </c>
      <c r="K485" s="1009"/>
      <c r="L485" s="1009"/>
      <c r="M485" s="1009"/>
      <c r="N485" s="1009"/>
      <c r="O485" s="1009"/>
      <c r="P485" s="1009"/>
      <c r="Q485" s="996"/>
      <c r="R485" s="1010"/>
    </row>
    <row r="486" spans="1:18" ht="30" customHeight="1">
      <c r="A486" s="992">
        <f>A484+1</f>
        <v>240</v>
      </c>
      <c r="B486" s="995" t="s">
        <v>3247</v>
      </c>
      <c r="C486" s="995" t="s">
        <v>2236</v>
      </c>
      <c r="D486" s="994" t="s">
        <v>3230</v>
      </c>
      <c r="E486" s="995"/>
      <c r="F486" s="995"/>
      <c r="G486" s="995"/>
      <c r="H486" s="995"/>
      <c r="I486" s="999"/>
      <c r="J486" s="1000"/>
      <c r="K486" s="1009"/>
      <c r="L486" s="1009"/>
      <c r="M486" s="1009"/>
      <c r="N486" s="1009"/>
      <c r="O486" s="1009"/>
      <c r="P486" s="1009"/>
      <c r="Q486" s="996"/>
      <c r="R486" s="1010"/>
    </row>
    <row r="487" spans="1:18" ht="30" customHeight="1">
      <c r="A487" s="992"/>
      <c r="B487" s="995"/>
      <c r="C487" s="995"/>
      <c r="D487" s="994"/>
      <c r="E487" s="995"/>
      <c r="F487" s="995"/>
      <c r="G487" s="995"/>
      <c r="H487" s="995"/>
      <c r="I487" s="999"/>
      <c r="J487" s="1000">
        <v>215.81700000000001</v>
      </c>
      <c r="K487" s="1009"/>
      <c r="L487" s="1009"/>
      <c r="M487" s="1009"/>
      <c r="N487" s="1009"/>
      <c r="O487" s="1009"/>
      <c r="P487" s="1009"/>
      <c r="Q487" s="996"/>
      <c r="R487" s="1011" t="s">
        <v>3269</v>
      </c>
    </row>
    <row r="488" spans="1:18" ht="30" customHeight="1">
      <c r="A488" s="992">
        <f>A486+1</f>
        <v>241</v>
      </c>
      <c r="B488" s="995" t="s">
        <v>3248</v>
      </c>
      <c r="C488" s="995" t="s">
        <v>2236</v>
      </c>
      <c r="D488" s="994" t="s">
        <v>3231</v>
      </c>
      <c r="E488" s="995"/>
      <c r="F488" s="995"/>
      <c r="G488" s="995"/>
      <c r="H488" s="995"/>
      <c r="I488" s="999"/>
      <c r="J488" s="1001"/>
      <c r="K488" s="1009"/>
      <c r="L488" s="1009"/>
      <c r="M488" s="1009"/>
      <c r="N488" s="1009"/>
      <c r="O488" s="1009"/>
      <c r="P488" s="1009"/>
      <c r="Q488" s="996"/>
      <c r="R488" s="1010"/>
    </row>
    <row r="489" spans="1:18" ht="27.5" customHeight="1">
      <c r="J489" s="989">
        <f>SUM(J8:J488)/1000</f>
        <v>84.930134999999993</v>
      </c>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5"/>
  </cols>
  <sheetData>
    <row r="3" spans="2:9">
      <c r="B3" s="1087" t="s">
        <v>1786</v>
      </c>
      <c r="C3" s="1087" t="s">
        <v>3268</v>
      </c>
      <c r="D3" s="1087" t="s">
        <v>1405</v>
      </c>
      <c r="E3" s="1087" t="s">
        <v>997</v>
      </c>
      <c r="F3" s="1087" t="s">
        <v>997</v>
      </c>
      <c r="G3" s="1087" t="s">
        <v>997</v>
      </c>
      <c r="H3" s="1087" t="s">
        <v>997</v>
      </c>
      <c r="I3" s="1087"/>
    </row>
    <row r="4" spans="2:9">
      <c r="B4" s="1087">
        <v>1</v>
      </c>
      <c r="C4" s="1086" t="s">
        <v>3234</v>
      </c>
      <c r="D4" s="1086" t="s">
        <v>1269</v>
      </c>
      <c r="E4" s="1086"/>
      <c r="F4" s="1086"/>
      <c r="G4" s="1086"/>
      <c r="H4" s="1086"/>
      <c r="I4" s="1087"/>
    </row>
    <row r="5" spans="2:9">
      <c r="B5" s="1087">
        <f>B4+1</f>
        <v>2</v>
      </c>
      <c r="E5" s="1086"/>
      <c r="F5" s="1086"/>
      <c r="G5" s="1086"/>
      <c r="H5" s="1086"/>
      <c r="I5" s="1087"/>
    </row>
    <row r="6" spans="2:9">
      <c r="B6" s="1087">
        <f t="shared" ref="B6:B59" si="0">B5+1</f>
        <v>3</v>
      </c>
      <c r="E6" s="1086"/>
      <c r="F6" s="1086"/>
      <c r="G6" s="1086"/>
      <c r="H6" s="1086"/>
      <c r="I6" s="1087"/>
    </row>
    <row r="7" spans="2:9">
      <c r="B7" s="1087">
        <f t="shared" si="0"/>
        <v>4</v>
      </c>
      <c r="E7" s="1086">
        <v>1</v>
      </c>
      <c r="F7" s="1086">
        <v>1</v>
      </c>
      <c r="G7" s="1086">
        <v>1</v>
      </c>
      <c r="H7" s="1086">
        <v>1</v>
      </c>
      <c r="I7" s="1087"/>
    </row>
    <row r="8" spans="2:9">
      <c r="B8" s="1087">
        <f t="shared" si="0"/>
        <v>5</v>
      </c>
      <c r="E8" s="1086"/>
      <c r="F8" s="1086"/>
      <c r="G8" s="1086"/>
      <c r="H8" s="1086"/>
      <c r="I8" s="1087"/>
    </row>
    <row r="9" spans="2:9">
      <c r="B9" s="1087">
        <f t="shared" si="0"/>
        <v>6</v>
      </c>
      <c r="C9" s="1088" t="s">
        <v>3062</v>
      </c>
      <c r="D9" s="1086" t="s">
        <v>1269</v>
      </c>
      <c r="E9" s="1086">
        <v>2</v>
      </c>
      <c r="F9" s="1086">
        <v>2</v>
      </c>
      <c r="G9" s="1086">
        <v>2</v>
      </c>
      <c r="H9" s="1086">
        <v>2</v>
      </c>
      <c r="I9" s="1087"/>
    </row>
    <row r="10" spans="2:9">
      <c r="B10" s="1087">
        <f t="shared" si="0"/>
        <v>7</v>
      </c>
      <c r="E10" s="1086"/>
      <c r="F10" s="1086"/>
      <c r="G10" s="1086"/>
      <c r="H10" s="1086"/>
      <c r="I10" s="1087"/>
    </row>
    <row r="11" spans="2:9">
      <c r="B11" s="1087">
        <f t="shared" si="0"/>
        <v>8</v>
      </c>
      <c r="E11" s="1086"/>
      <c r="F11" s="1086"/>
      <c r="G11" s="1086"/>
      <c r="H11" s="1086"/>
      <c r="I11" s="1087"/>
    </row>
    <row r="12" spans="2:9">
      <c r="B12" s="1087">
        <f t="shared" si="0"/>
        <v>9</v>
      </c>
      <c r="E12" s="1086"/>
      <c r="F12" s="1086"/>
      <c r="G12" s="1086"/>
      <c r="H12" s="1086"/>
      <c r="I12" s="1087"/>
    </row>
    <row r="13" spans="2:9">
      <c r="B13" s="1087">
        <f t="shared" si="0"/>
        <v>10</v>
      </c>
      <c r="E13" s="1086"/>
      <c r="F13" s="1086"/>
      <c r="G13" s="1086"/>
      <c r="H13" s="1086"/>
      <c r="I13" s="1087"/>
    </row>
    <row r="14" spans="2:9">
      <c r="B14" s="1087">
        <f t="shared" si="0"/>
        <v>11</v>
      </c>
      <c r="E14" s="1086"/>
      <c r="F14" s="1086"/>
      <c r="G14" s="1086"/>
      <c r="H14" s="1086"/>
      <c r="I14" s="1087"/>
    </row>
    <row r="15" spans="2:9">
      <c r="B15" s="1087">
        <f t="shared" si="0"/>
        <v>12</v>
      </c>
      <c r="E15" s="1086"/>
      <c r="F15" s="1086"/>
      <c r="G15" s="1086"/>
      <c r="H15" s="1086"/>
      <c r="I15" s="1089" t="s">
        <v>3265</v>
      </c>
    </row>
    <row r="16" spans="2:9">
      <c r="B16" s="1087">
        <f t="shared" si="0"/>
        <v>13</v>
      </c>
      <c r="E16" s="1086"/>
      <c r="F16" s="1086"/>
      <c r="G16" s="1086"/>
      <c r="H16" s="1086"/>
      <c r="I16" s="1089" t="s">
        <v>3265</v>
      </c>
    </row>
    <row r="17" spans="2:9">
      <c r="B17" s="1087">
        <f t="shared" si="0"/>
        <v>14</v>
      </c>
      <c r="E17" s="1086"/>
      <c r="F17" s="1086"/>
      <c r="G17" s="1086"/>
      <c r="H17" s="1086"/>
      <c r="I17" s="1089" t="s">
        <v>3265</v>
      </c>
    </row>
    <row r="18" spans="2:9">
      <c r="B18" s="1087">
        <f t="shared" si="0"/>
        <v>15</v>
      </c>
      <c r="E18" s="1086"/>
      <c r="F18" s="1086"/>
      <c r="G18" s="1086"/>
      <c r="H18" s="1086"/>
      <c r="I18" s="1089" t="s">
        <v>3265</v>
      </c>
    </row>
    <row r="19" spans="2:9">
      <c r="B19" s="1087">
        <f t="shared" si="0"/>
        <v>16</v>
      </c>
      <c r="E19" s="1086"/>
      <c r="F19" s="1086"/>
      <c r="G19" s="1086"/>
      <c r="H19" s="1086"/>
      <c r="I19" s="1087"/>
    </row>
    <row r="20" spans="2:9">
      <c r="B20" s="1087">
        <f t="shared" si="0"/>
        <v>17</v>
      </c>
      <c r="E20" s="1086"/>
      <c r="F20" s="1086"/>
      <c r="G20" s="1086"/>
      <c r="H20" s="1086"/>
      <c r="I20" s="1087"/>
    </row>
    <row r="21" spans="2:9">
      <c r="B21" s="1087">
        <f t="shared" si="0"/>
        <v>18</v>
      </c>
      <c r="E21" s="1086"/>
      <c r="F21" s="1086"/>
      <c r="G21" s="1086"/>
      <c r="H21" s="1086"/>
      <c r="I21" s="1087"/>
    </row>
    <row r="22" spans="2:9">
      <c r="B22" s="1087">
        <f t="shared" si="0"/>
        <v>19</v>
      </c>
      <c r="E22" s="1086">
        <v>1</v>
      </c>
      <c r="F22" s="1086">
        <v>1</v>
      </c>
      <c r="G22" s="1086">
        <v>1</v>
      </c>
      <c r="H22" s="1086">
        <v>1</v>
      </c>
      <c r="I22" s="1087"/>
    </row>
    <row r="23" spans="2:9">
      <c r="B23" s="1087">
        <f t="shared" si="0"/>
        <v>20</v>
      </c>
      <c r="C23" s="1086"/>
      <c r="D23" s="1086"/>
      <c r="E23" s="1086"/>
      <c r="F23" s="1086"/>
      <c r="G23" s="1086"/>
      <c r="H23" s="1086"/>
      <c r="I23" s="1087"/>
    </row>
    <row r="24" spans="2:9">
      <c r="B24" s="1087">
        <f t="shared" si="0"/>
        <v>21</v>
      </c>
      <c r="C24" s="1086"/>
      <c r="D24" s="1086"/>
      <c r="E24" s="1086"/>
      <c r="F24" s="1086"/>
      <c r="G24" s="1086"/>
      <c r="H24" s="1086"/>
      <c r="I24" s="1087"/>
    </row>
    <row r="25" spans="2:9">
      <c r="B25" s="1087">
        <f t="shared" si="0"/>
        <v>22</v>
      </c>
      <c r="E25" s="1086"/>
      <c r="F25" s="1086"/>
      <c r="G25" s="1086"/>
      <c r="H25" s="1086"/>
      <c r="I25" s="1087"/>
    </row>
    <row r="26" spans="2:9">
      <c r="B26" s="1087">
        <f t="shared" si="0"/>
        <v>23</v>
      </c>
      <c r="E26" s="1086"/>
      <c r="F26" s="1086"/>
      <c r="G26" s="1086"/>
      <c r="H26" s="1086"/>
      <c r="I26" s="1087"/>
    </row>
    <row r="27" spans="2:9">
      <c r="B27" s="1087">
        <f t="shared" si="0"/>
        <v>24</v>
      </c>
      <c r="E27" s="1086"/>
      <c r="F27" s="1086"/>
      <c r="G27" s="1086"/>
      <c r="H27" s="1086"/>
      <c r="I27" s="1087"/>
    </row>
    <row r="28" spans="2:9">
      <c r="B28" s="1087">
        <f t="shared" si="0"/>
        <v>25</v>
      </c>
      <c r="E28" s="1086"/>
      <c r="F28" s="1086"/>
      <c r="G28" s="1086"/>
      <c r="H28" s="1086"/>
      <c r="I28" s="1089"/>
    </row>
    <row r="29" spans="2:9">
      <c r="B29" s="1087">
        <f t="shared" si="0"/>
        <v>26</v>
      </c>
      <c r="E29" s="1086"/>
      <c r="F29" s="1086"/>
      <c r="G29" s="1086"/>
      <c r="H29" s="1086"/>
      <c r="I29" s="1089"/>
    </row>
    <row r="30" spans="2:9">
      <c r="B30" s="1087">
        <f t="shared" si="0"/>
        <v>27</v>
      </c>
      <c r="E30" s="1086"/>
      <c r="F30" s="1086"/>
      <c r="G30" s="1086"/>
      <c r="H30" s="1086"/>
      <c r="I30" s="1089"/>
    </row>
    <row r="31" spans="2:9">
      <c r="B31" s="1087">
        <f t="shared" si="0"/>
        <v>28</v>
      </c>
      <c r="E31" s="1086"/>
      <c r="F31" s="1086"/>
      <c r="G31" s="1086"/>
      <c r="H31" s="1086"/>
      <c r="I31" s="1089"/>
    </row>
    <row r="32" spans="2:9">
      <c r="B32" s="1087">
        <f t="shared" si="0"/>
        <v>29</v>
      </c>
      <c r="E32" s="1086"/>
      <c r="F32" s="1086"/>
      <c r="G32" s="1086"/>
      <c r="H32" s="1086"/>
      <c r="I32" s="1089"/>
    </row>
    <row r="33" spans="2:9">
      <c r="B33" s="1087">
        <f t="shared" si="0"/>
        <v>30</v>
      </c>
      <c r="E33" s="1086"/>
      <c r="F33" s="1086"/>
      <c r="G33" s="1086"/>
      <c r="H33" s="1086"/>
      <c r="I33" s="1089"/>
    </row>
    <row r="34" spans="2:9">
      <c r="B34" s="1087">
        <f t="shared" si="0"/>
        <v>31</v>
      </c>
      <c r="E34" s="1086"/>
      <c r="F34" s="1086"/>
      <c r="G34" s="1086"/>
      <c r="H34" s="1086"/>
      <c r="I34" s="1089"/>
    </row>
    <row r="35" spans="2:9">
      <c r="B35" s="1087">
        <f t="shared" si="0"/>
        <v>32</v>
      </c>
      <c r="E35" s="1086"/>
      <c r="F35" s="1086"/>
      <c r="G35" s="1086"/>
      <c r="H35" s="1086"/>
      <c r="I35" s="1089"/>
    </row>
    <row r="36" spans="2:9">
      <c r="B36" s="1087">
        <f t="shared" si="0"/>
        <v>33</v>
      </c>
      <c r="E36" s="1086"/>
      <c r="F36" s="1086"/>
      <c r="G36" s="1086"/>
      <c r="H36" s="1086"/>
      <c r="I36" s="1087"/>
    </row>
    <row r="37" spans="2:9">
      <c r="B37" s="1087">
        <f t="shared" si="0"/>
        <v>34</v>
      </c>
      <c r="E37" s="1086"/>
      <c r="F37" s="1086"/>
      <c r="G37" s="1086"/>
      <c r="H37" s="1086"/>
      <c r="I37" s="1087"/>
    </row>
    <row r="38" spans="2:9">
      <c r="B38" s="1087">
        <f t="shared" si="0"/>
        <v>35</v>
      </c>
      <c r="E38" s="1086"/>
      <c r="F38" s="1086"/>
      <c r="G38" s="1086"/>
      <c r="H38" s="1086"/>
      <c r="I38" s="1087"/>
    </row>
    <row r="39" spans="2:9">
      <c r="B39" s="1087">
        <f t="shared" si="0"/>
        <v>36</v>
      </c>
      <c r="E39" s="1086"/>
      <c r="F39" s="1086"/>
      <c r="G39" s="1086"/>
      <c r="H39" s="1086"/>
      <c r="I39" s="1087"/>
    </row>
    <row r="40" spans="2:9">
      <c r="B40" s="1087">
        <f t="shared" si="0"/>
        <v>37</v>
      </c>
      <c r="E40" s="1086"/>
      <c r="F40" s="1086"/>
      <c r="G40" s="1086"/>
      <c r="H40" s="1086"/>
      <c r="I40" s="1087"/>
    </row>
    <row r="41" spans="2:9">
      <c r="B41" s="1087">
        <f t="shared" si="0"/>
        <v>38</v>
      </c>
      <c r="E41" s="1086"/>
      <c r="F41" s="1086"/>
      <c r="G41" s="1086"/>
      <c r="H41" s="1086"/>
      <c r="I41" s="1087"/>
    </row>
    <row r="42" spans="2:9">
      <c r="B42" s="1087">
        <f t="shared" si="0"/>
        <v>39</v>
      </c>
      <c r="E42" s="1086"/>
      <c r="F42" s="1086"/>
      <c r="G42" s="1086"/>
      <c r="H42" s="1086"/>
      <c r="I42" s="1087"/>
    </row>
    <row r="43" spans="2:9">
      <c r="B43" s="1087">
        <f t="shared" si="0"/>
        <v>40</v>
      </c>
      <c r="E43" s="1087"/>
      <c r="F43" s="1087"/>
      <c r="G43" s="1087"/>
      <c r="H43" s="1087"/>
      <c r="I43" s="1087"/>
    </row>
    <row r="44" spans="2:9">
      <c r="B44" s="1087">
        <f t="shared" si="0"/>
        <v>41</v>
      </c>
      <c r="E44" s="1087"/>
      <c r="F44" s="1087"/>
      <c r="G44" s="1087"/>
      <c r="H44" s="1087"/>
      <c r="I44" s="1087"/>
    </row>
    <row r="45" spans="2:9">
      <c r="B45" s="1087">
        <f t="shared" si="0"/>
        <v>42</v>
      </c>
      <c r="E45" s="1087"/>
      <c r="F45" s="1087"/>
      <c r="G45" s="1087"/>
      <c r="H45" s="1087"/>
      <c r="I45" s="1087"/>
    </row>
    <row r="46" spans="2:9">
      <c r="B46" s="1087">
        <f t="shared" si="0"/>
        <v>43</v>
      </c>
      <c r="E46" s="1087"/>
      <c r="F46" s="1087"/>
      <c r="G46" s="1087"/>
      <c r="H46" s="1087"/>
      <c r="I46" s="1087"/>
    </row>
    <row r="47" spans="2:9">
      <c r="B47" s="1087">
        <f t="shared" si="0"/>
        <v>44</v>
      </c>
      <c r="E47" s="1087"/>
      <c r="F47" s="1087"/>
      <c r="G47" s="1087"/>
      <c r="H47" s="1087"/>
      <c r="I47" s="1087"/>
    </row>
    <row r="48" spans="2:9">
      <c r="B48" s="1087">
        <f t="shared" si="0"/>
        <v>45</v>
      </c>
      <c r="E48" s="1087"/>
      <c r="F48" s="1087"/>
      <c r="G48" s="1087"/>
      <c r="H48" s="1087"/>
      <c r="I48" s="1087"/>
    </row>
    <row r="49" spans="2:9">
      <c r="B49" s="1087">
        <f t="shared" si="0"/>
        <v>46</v>
      </c>
      <c r="C49" s="1087" t="s">
        <v>2950</v>
      </c>
      <c r="D49" s="1087" t="s">
        <v>1277</v>
      </c>
      <c r="E49" s="1087"/>
      <c r="F49" s="1087"/>
      <c r="G49" s="1087"/>
      <c r="H49" s="1087"/>
      <c r="I49" s="1087"/>
    </row>
    <row r="50" spans="2:9">
      <c r="B50" s="1087">
        <f t="shared" si="0"/>
        <v>47</v>
      </c>
      <c r="C50" s="1087" t="s">
        <v>2952</v>
      </c>
      <c r="D50" s="1087" t="s">
        <v>1319</v>
      </c>
      <c r="E50" s="1087"/>
      <c r="F50" s="1087"/>
      <c r="G50" s="1087"/>
      <c r="H50" s="1087"/>
      <c r="I50" s="1087"/>
    </row>
    <row r="51" spans="2:9">
      <c r="B51" s="1087">
        <f t="shared" si="0"/>
        <v>48</v>
      </c>
      <c r="C51" s="1090" t="s">
        <v>2954</v>
      </c>
      <c r="D51" s="1086" t="s">
        <v>76</v>
      </c>
      <c r="E51" s="1087"/>
      <c r="F51" s="1087"/>
      <c r="G51" s="1087"/>
      <c r="H51" s="1087"/>
      <c r="I51" s="1087"/>
    </row>
    <row r="52" spans="2:9">
      <c r="B52" s="1087">
        <f t="shared" si="0"/>
        <v>49</v>
      </c>
      <c r="C52" s="1090" t="s">
        <v>2955</v>
      </c>
      <c r="D52" s="1086" t="s">
        <v>76</v>
      </c>
      <c r="E52" s="1087"/>
      <c r="F52" s="1087"/>
      <c r="G52" s="1087"/>
      <c r="H52" s="1087"/>
      <c r="I52" s="1087"/>
    </row>
    <row r="53" spans="2:9">
      <c r="B53" s="1087">
        <f t="shared" si="0"/>
        <v>50</v>
      </c>
      <c r="C53" s="1090" t="s">
        <v>2957</v>
      </c>
      <c r="D53" s="1086" t="s">
        <v>76</v>
      </c>
      <c r="E53" s="1087"/>
      <c r="F53" s="1087"/>
      <c r="G53" s="1087"/>
      <c r="H53" s="1087"/>
      <c r="I53" s="1087"/>
    </row>
    <row r="54" spans="2:9">
      <c r="B54" s="1087">
        <f t="shared" si="0"/>
        <v>51</v>
      </c>
      <c r="C54" s="1090" t="s">
        <v>2958</v>
      </c>
      <c r="D54" s="1086" t="s">
        <v>1269</v>
      </c>
      <c r="E54" s="1087"/>
      <c r="F54" s="1087"/>
      <c r="G54" s="1087"/>
      <c r="H54" s="1087"/>
      <c r="I54" s="1087"/>
    </row>
    <row r="55" spans="2:9">
      <c r="B55" s="1087">
        <f t="shared" si="0"/>
        <v>52</v>
      </c>
      <c r="E55" s="1087"/>
      <c r="F55" s="1087"/>
      <c r="G55" s="1087"/>
      <c r="H55" s="1087"/>
      <c r="I55" s="1087"/>
    </row>
    <row r="56" spans="2:9">
      <c r="B56" s="1087">
        <f t="shared" si="0"/>
        <v>53</v>
      </c>
      <c r="E56" s="1087"/>
      <c r="F56" s="1087"/>
      <c r="G56" s="1087"/>
      <c r="H56" s="1087"/>
      <c r="I56" s="1087"/>
    </row>
    <row r="57" spans="2:9">
      <c r="B57" s="1087">
        <f t="shared" si="0"/>
        <v>54</v>
      </c>
      <c r="E57" s="1087"/>
      <c r="F57" s="1087"/>
      <c r="G57" s="1087"/>
      <c r="H57" s="1087"/>
      <c r="I57" s="1087"/>
    </row>
    <row r="58" spans="2:9">
      <c r="B58" s="1087">
        <f t="shared" si="0"/>
        <v>55</v>
      </c>
      <c r="C58" s="1087" t="s">
        <v>2962</v>
      </c>
      <c r="D58" s="1086" t="s">
        <v>76</v>
      </c>
      <c r="E58" s="1087"/>
      <c r="F58" s="1087"/>
      <c r="G58" s="1087"/>
      <c r="H58" s="1087"/>
      <c r="I58" s="1087"/>
    </row>
    <row r="59" spans="2:9">
      <c r="B59" s="1087">
        <f t="shared" si="0"/>
        <v>56</v>
      </c>
      <c r="C59" s="1087" t="s">
        <v>2963</v>
      </c>
      <c r="D59" s="1087" t="s">
        <v>1361</v>
      </c>
      <c r="E59" s="1087"/>
      <c r="F59" s="1087"/>
      <c r="G59" s="1087"/>
      <c r="H59" s="1087"/>
      <c r="I59" s="1087"/>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8"/>
    <col min="3" max="3" width="6.08984375" style="1148" bestFit="1" customWidth="1"/>
    <col min="4" max="4" width="15.453125" style="1148" bestFit="1" customWidth="1"/>
    <col min="5" max="5" width="10.6328125" style="1147" bestFit="1" customWidth="1"/>
    <col min="6" max="6" width="16.36328125" style="1147" customWidth="1"/>
    <col min="7" max="7" width="8.54296875" style="1147" customWidth="1"/>
    <col min="8" max="8" width="1.7265625" style="1148" customWidth="1"/>
    <col min="9" max="10" width="8.7265625" style="1148"/>
    <col min="11" max="11" width="11.36328125" style="1147" customWidth="1"/>
    <col min="12" max="16384" width="8.7265625" style="1148"/>
  </cols>
  <sheetData>
    <row r="2" spans="3:12" s="1156" customFormat="1" ht="43.5">
      <c r="C2" s="1153" t="s">
        <v>2925</v>
      </c>
      <c r="D2" s="1153" t="s">
        <v>3329</v>
      </c>
      <c r="E2" s="1154" t="s">
        <v>3129</v>
      </c>
      <c r="F2" s="1154" t="s">
        <v>3338</v>
      </c>
      <c r="G2" s="1154" t="s">
        <v>994</v>
      </c>
      <c r="I2" s="1158" t="s">
        <v>2925</v>
      </c>
      <c r="J2" s="1154" t="s">
        <v>3339</v>
      </c>
      <c r="K2" s="1154" t="s">
        <v>3340</v>
      </c>
      <c r="L2" s="1154" t="s">
        <v>994</v>
      </c>
    </row>
    <row r="3" spans="3:12">
      <c r="C3" s="1403" t="s">
        <v>1675</v>
      </c>
      <c r="D3" s="834" t="s">
        <v>3330</v>
      </c>
      <c r="E3" s="1150">
        <f>34+39+12+2</f>
        <v>87</v>
      </c>
      <c r="F3" s="1150"/>
      <c r="G3" s="1150">
        <f>E3+F3</f>
        <v>87</v>
      </c>
      <c r="I3" s="1157" t="s">
        <v>76</v>
      </c>
      <c r="J3" s="1157">
        <v>34</v>
      </c>
      <c r="K3" s="1157"/>
      <c r="L3" s="1157">
        <f>J3+K3</f>
        <v>34</v>
      </c>
    </row>
    <row r="4" spans="3:12">
      <c r="C4" s="1403"/>
      <c r="D4" s="1151" t="s">
        <v>3331</v>
      </c>
      <c r="E4" s="1150">
        <f>34+12+2</f>
        <v>48</v>
      </c>
      <c r="F4" s="1150"/>
      <c r="G4" s="1150">
        <f t="shared" ref="G4:G25" si="0">E4+F4</f>
        <v>48</v>
      </c>
      <c r="I4" s="1157" t="s">
        <v>62</v>
      </c>
      <c r="J4" s="1157">
        <v>39</v>
      </c>
      <c r="K4" s="1157"/>
      <c r="L4" s="1157">
        <f t="shared" ref="L4:L28" si="1">J4+K4</f>
        <v>39</v>
      </c>
    </row>
    <row r="5" spans="3:12">
      <c r="C5" s="1403"/>
      <c r="D5" s="1151" t="s">
        <v>3332</v>
      </c>
      <c r="E5" s="1150">
        <v>39</v>
      </c>
      <c r="F5" s="1150"/>
      <c r="G5" s="1150">
        <f t="shared" si="0"/>
        <v>39</v>
      </c>
      <c r="I5" s="1157" t="s">
        <v>53</v>
      </c>
      <c r="J5" s="1157">
        <v>12</v>
      </c>
      <c r="K5" s="1157"/>
      <c r="L5" s="1157">
        <f t="shared" si="1"/>
        <v>12</v>
      </c>
    </row>
    <row r="6" spans="3:12">
      <c r="C6" s="1403"/>
      <c r="D6" s="1151" t="s">
        <v>3333</v>
      </c>
      <c r="E6" s="1150">
        <v>12</v>
      </c>
      <c r="F6" s="1150"/>
      <c r="G6" s="1150">
        <f t="shared" si="0"/>
        <v>12</v>
      </c>
      <c r="I6" s="1157" t="s">
        <v>249</v>
      </c>
      <c r="J6" s="1157">
        <v>2</v>
      </c>
      <c r="K6" s="1157"/>
      <c r="L6" s="1157">
        <f t="shared" si="1"/>
        <v>2</v>
      </c>
    </row>
    <row r="7" spans="3:12">
      <c r="C7" s="1403"/>
      <c r="D7" s="1151" t="s">
        <v>3334</v>
      </c>
      <c r="E7" s="1150">
        <v>2</v>
      </c>
      <c r="F7" s="1150"/>
      <c r="G7" s="1150">
        <f t="shared" si="0"/>
        <v>2</v>
      </c>
      <c r="I7" s="1157"/>
      <c r="J7" s="1157"/>
      <c r="K7" s="1157"/>
      <c r="L7" s="1157">
        <f t="shared" si="1"/>
        <v>0</v>
      </c>
    </row>
    <row r="8" spans="3:12" ht="7" customHeight="1">
      <c r="C8" s="1149"/>
      <c r="D8" s="1149"/>
      <c r="E8" s="1152"/>
      <c r="F8" s="1152"/>
      <c r="G8" s="1152"/>
      <c r="I8" s="1157"/>
      <c r="J8" s="1157"/>
      <c r="K8" s="1157"/>
      <c r="L8" s="1157"/>
    </row>
    <row r="9" spans="3:12">
      <c r="C9" s="1403" t="s">
        <v>2422</v>
      </c>
      <c r="D9" s="834" t="s">
        <v>3330</v>
      </c>
      <c r="E9" s="1150">
        <f>10+2+1</f>
        <v>13</v>
      </c>
      <c r="F9" s="1150">
        <v>16</v>
      </c>
      <c r="G9" s="1150">
        <f t="shared" si="0"/>
        <v>29</v>
      </c>
      <c r="I9" s="1157" t="s">
        <v>1269</v>
      </c>
      <c r="J9" s="1157">
        <v>10</v>
      </c>
      <c r="K9" s="1157">
        <v>14</v>
      </c>
      <c r="L9" s="1157">
        <f t="shared" si="1"/>
        <v>24</v>
      </c>
    </row>
    <row r="10" spans="3:12">
      <c r="C10" s="1403"/>
      <c r="D10" s="1151" t="s">
        <v>3331</v>
      </c>
      <c r="E10" s="1150">
        <v>11</v>
      </c>
      <c r="F10" s="1150">
        <v>16</v>
      </c>
      <c r="G10" s="1150">
        <f t="shared" si="0"/>
        <v>27</v>
      </c>
      <c r="I10" s="1157" t="s">
        <v>90</v>
      </c>
      <c r="J10" s="1157">
        <v>2</v>
      </c>
      <c r="K10" s="1157"/>
      <c r="L10" s="1157">
        <f t="shared" si="1"/>
        <v>2</v>
      </c>
    </row>
    <row r="11" spans="3:12">
      <c r="C11" s="1403"/>
      <c r="D11" s="1151" t="s">
        <v>3332</v>
      </c>
      <c r="E11" s="1150">
        <v>2</v>
      </c>
      <c r="F11" s="1150"/>
      <c r="G11" s="1150">
        <f t="shared" si="0"/>
        <v>2</v>
      </c>
      <c r="I11" s="1157" t="s">
        <v>1938</v>
      </c>
      <c r="J11" s="1157">
        <v>1</v>
      </c>
      <c r="K11" s="1157"/>
      <c r="L11" s="1157">
        <f t="shared" si="1"/>
        <v>1</v>
      </c>
    </row>
    <row r="12" spans="3:12">
      <c r="C12" s="1403"/>
      <c r="D12" s="1151" t="s">
        <v>3333</v>
      </c>
      <c r="E12" s="1150">
        <v>1</v>
      </c>
      <c r="F12" s="1150"/>
      <c r="G12" s="1150">
        <f t="shared" si="0"/>
        <v>1</v>
      </c>
      <c r="I12" s="1157" t="s">
        <v>1981</v>
      </c>
      <c r="J12" s="1157"/>
      <c r="K12" s="1157">
        <v>2</v>
      </c>
      <c r="L12" s="1157">
        <f t="shared" si="1"/>
        <v>2</v>
      </c>
    </row>
    <row r="13" spans="3:12">
      <c r="C13" s="1403"/>
      <c r="D13" s="1151" t="s">
        <v>3334</v>
      </c>
      <c r="E13" s="1150"/>
      <c r="F13" s="1150">
        <v>2</v>
      </c>
      <c r="G13" s="1150">
        <f t="shared" si="0"/>
        <v>2</v>
      </c>
      <c r="I13" s="1157"/>
      <c r="J13" s="1157"/>
      <c r="K13" s="1157"/>
      <c r="L13" s="1157">
        <f t="shared" si="1"/>
        <v>0</v>
      </c>
    </row>
    <row r="14" spans="3:12" ht="7" customHeight="1">
      <c r="C14" s="1149"/>
      <c r="D14" s="1149"/>
      <c r="E14" s="1152"/>
      <c r="F14" s="1152"/>
      <c r="G14" s="1152"/>
      <c r="I14" s="1157"/>
      <c r="J14" s="1157"/>
      <c r="K14" s="1157"/>
      <c r="L14" s="1157"/>
    </row>
    <row r="15" spans="3:12">
      <c r="C15" s="1403" t="s">
        <v>2423</v>
      </c>
      <c r="D15" s="834" t="s">
        <v>3330</v>
      </c>
      <c r="E15" s="1150">
        <v>5</v>
      </c>
      <c r="F15" s="1150"/>
      <c r="G15" s="1150">
        <f t="shared" si="0"/>
        <v>5</v>
      </c>
      <c r="I15" s="1157" t="s">
        <v>1277</v>
      </c>
      <c r="J15" s="1157"/>
      <c r="K15" s="1157"/>
      <c r="L15" s="1157">
        <f t="shared" si="1"/>
        <v>0</v>
      </c>
    </row>
    <row r="16" spans="3:12">
      <c r="C16" s="1403"/>
      <c r="D16" s="1151" t="s">
        <v>3331</v>
      </c>
      <c r="E16" s="1150">
        <v>2</v>
      </c>
      <c r="F16" s="1150"/>
      <c r="G16" s="1150">
        <f t="shared" si="0"/>
        <v>2</v>
      </c>
      <c r="I16" s="1157" t="s">
        <v>1361</v>
      </c>
      <c r="J16" s="1157">
        <v>3</v>
      </c>
      <c r="K16" s="1157"/>
      <c r="L16" s="1157">
        <f t="shared" si="1"/>
        <v>3</v>
      </c>
    </row>
    <row r="17" spans="3:12">
      <c r="C17" s="1403"/>
      <c r="D17" s="1151" t="s">
        <v>3332</v>
      </c>
      <c r="E17" s="1150">
        <v>3</v>
      </c>
      <c r="F17" s="1150"/>
      <c r="G17" s="1150">
        <f t="shared" si="0"/>
        <v>3</v>
      </c>
      <c r="I17" s="1157" t="s">
        <v>1402</v>
      </c>
      <c r="J17" s="1157">
        <v>2</v>
      </c>
      <c r="K17" s="1157"/>
      <c r="L17" s="1157">
        <f t="shared" si="1"/>
        <v>2</v>
      </c>
    </row>
    <row r="18" spans="3:12">
      <c r="C18" s="1403"/>
      <c r="D18" s="1151" t="s">
        <v>3333</v>
      </c>
      <c r="E18" s="1150">
        <v>2</v>
      </c>
      <c r="F18" s="1150"/>
      <c r="G18" s="1150">
        <f t="shared" si="0"/>
        <v>2</v>
      </c>
      <c r="I18" s="1157" t="s">
        <v>1957</v>
      </c>
      <c r="J18" s="1157"/>
      <c r="K18" s="1157"/>
      <c r="L18" s="1157">
        <f t="shared" si="1"/>
        <v>0</v>
      </c>
    </row>
    <row r="19" spans="3:12">
      <c r="C19" s="1403"/>
      <c r="D19" s="1151" t="s">
        <v>3334</v>
      </c>
      <c r="E19" s="1150"/>
      <c r="F19" s="1150"/>
      <c r="G19" s="1150"/>
      <c r="I19" s="1157"/>
      <c r="J19" s="1157"/>
      <c r="K19" s="1157"/>
      <c r="L19" s="1157">
        <f t="shared" si="1"/>
        <v>0</v>
      </c>
    </row>
    <row r="20" spans="3:12" ht="6" customHeight="1">
      <c r="C20" s="1149"/>
      <c r="D20" s="1149"/>
      <c r="E20" s="1152"/>
      <c r="F20" s="1152"/>
      <c r="G20" s="1152"/>
      <c r="I20" s="1157"/>
      <c r="J20" s="1157"/>
      <c r="K20" s="1157"/>
      <c r="L20" s="1157"/>
    </row>
    <row r="21" spans="3:12">
      <c r="C21" s="1403" t="s">
        <v>2451</v>
      </c>
      <c r="D21" s="834" t="s">
        <v>3330</v>
      </c>
      <c r="E21" s="1150">
        <v>5</v>
      </c>
      <c r="F21" s="1150">
        <f>20-1</f>
        <v>19</v>
      </c>
      <c r="G21" s="1150">
        <f t="shared" si="0"/>
        <v>24</v>
      </c>
      <c r="I21" s="1157" t="s">
        <v>1319</v>
      </c>
      <c r="J21" s="1157"/>
      <c r="K21" s="1157">
        <v>13</v>
      </c>
      <c r="L21" s="1157">
        <f t="shared" si="1"/>
        <v>13</v>
      </c>
    </row>
    <row r="22" spans="3:12">
      <c r="C22" s="1403"/>
      <c r="D22" s="1151" t="s">
        <v>3331</v>
      </c>
      <c r="E22" s="1150">
        <v>2</v>
      </c>
      <c r="F22" s="1150">
        <v>18</v>
      </c>
      <c r="G22" s="1150">
        <f t="shared" si="0"/>
        <v>20</v>
      </c>
      <c r="I22" s="1157" t="s">
        <v>1999</v>
      </c>
      <c r="J22" s="1157">
        <v>3</v>
      </c>
      <c r="K22" s="1157">
        <v>1</v>
      </c>
      <c r="L22" s="1157">
        <f t="shared" si="1"/>
        <v>4</v>
      </c>
    </row>
    <row r="23" spans="3:12">
      <c r="C23" s="1403"/>
      <c r="D23" s="1151" t="s">
        <v>3332</v>
      </c>
      <c r="E23" s="1150">
        <v>3</v>
      </c>
      <c r="F23" s="1150">
        <v>1</v>
      </c>
      <c r="G23" s="1150">
        <f t="shared" si="0"/>
        <v>4</v>
      </c>
      <c r="I23" s="1157" t="s">
        <v>1939</v>
      </c>
      <c r="J23" s="1157">
        <v>2</v>
      </c>
      <c r="K23" s="1157"/>
      <c r="L23" s="1157">
        <f t="shared" si="1"/>
        <v>2</v>
      </c>
    </row>
    <row r="24" spans="3:12">
      <c r="C24" s="1403"/>
      <c r="D24" s="1151" t="s">
        <v>3333</v>
      </c>
      <c r="E24" s="1150">
        <v>2</v>
      </c>
      <c r="F24" s="1150"/>
      <c r="G24" s="1150">
        <f t="shared" si="0"/>
        <v>2</v>
      </c>
      <c r="I24" s="1157" t="s">
        <v>2236</v>
      </c>
      <c r="J24" s="1157"/>
      <c r="K24" s="1157">
        <v>5</v>
      </c>
      <c r="L24" s="1157">
        <f t="shared" si="1"/>
        <v>5</v>
      </c>
    </row>
    <row r="25" spans="3:12">
      <c r="C25" s="1403"/>
      <c r="D25" s="1151" t="s">
        <v>3334</v>
      </c>
      <c r="E25" s="1150"/>
      <c r="F25" s="1150">
        <v>5</v>
      </c>
      <c r="G25" s="1150">
        <f t="shared" si="0"/>
        <v>5</v>
      </c>
      <c r="I25" s="1157"/>
      <c r="J25" s="1157"/>
      <c r="K25" s="1157"/>
      <c r="L25" s="1157">
        <f t="shared" si="1"/>
        <v>0</v>
      </c>
    </row>
    <row r="26" spans="3:12">
      <c r="C26" s="1403"/>
      <c r="D26" s="1151" t="s">
        <v>3335</v>
      </c>
      <c r="E26" s="1150"/>
      <c r="F26" s="1150"/>
      <c r="G26" s="1150"/>
      <c r="I26" s="1157"/>
      <c r="J26" s="1157"/>
      <c r="K26" s="1157"/>
      <c r="L26" s="1157">
        <f t="shared" si="1"/>
        <v>0</v>
      </c>
    </row>
    <row r="27" spans="3:12">
      <c r="C27" s="1403"/>
      <c r="D27" s="1151" t="s">
        <v>3336</v>
      </c>
      <c r="E27" s="1150"/>
      <c r="F27" s="1150"/>
      <c r="G27" s="1150"/>
      <c r="I27" s="1157"/>
      <c r="J27" s="1157"/>
      <c r="K27" s="1157"/>
      <c r="L27" s="1157">
        <f t="shared" si="1"/>
        <v>0</v>
      </c>
    </row>
    <row r="28" spans="3:12">
      <c r="C28" s="1403"/>
      <c r="D28" s="1151" t="s">
        <v>3337</v>
      </c>
      <c r="E28" s="1150"/>
      <c r="F28" s="1150"/>
      <c r="G28" s="1150"/>
      <c r="I28" s="1157"/>
      <c r="J28" s="1157"/>
      <c r="K28" s="1157"/>
      <c r="L28" s="1157">
        <f t="shared" si="1"/>
        <v>0</v>
      </c>
    </row>
    <row r="29" spans="3:12">
      <c r="C29" s="1404" t="s">
        <v>994</v>
      </c>
      <c r="D29" s="1404"/>
      <c r="E29" s="1155">
        <f>E21+E15+E9+E3</f>
        <v>110</v>
      </c>
      <c r="F29" s="1155">
        <f>F21+F15+F9+F3</f>
        <v>35</v>
      </c>
      <c r="G29" s="1155">
        <f>G21+G15+G9+G3</f>
        <v>145</v>
      </c>
      <c r="I29" s="1155" t="s">
        <v>994</v>
      </c>
      <c r="J29" s="1155">
        <f>SUM(J3:J28)</f>
        <v>110</v>
      </c>
      <c r="K29" s="1155">
        <f>SUM(K3:K28)</f>
        <v>35</v>
      </c>
      <c r="L29" s="1155">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46083</v>
      </c>
    </row>
    <row r="2" spans="1:16" ht="12.5">
      <c r="A2" s="651" t="s">
        <v>3255</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91" t="s">
        <v>1786</v>
      </c>
      <c r="B5" s="1391" t="s">
        <v>998</v>
      </c>
      <c r="C5" s="1391" t="s">
        <v>44</v>
      </c>
      <c r="D5" s="1391" t="s">
        <v>45</v>
      </c>
      <c r="E5" s="1391" t="s">
        <v>1763</v>
      </c>
      <c r="F5" s="1391" t="s">
        <v>1441</v>
      </c>
      <c r="G5" s="1393" t="s">
        <v>28</v>
      </c>
      <c r="H5" s="1394"/>
      <c r="I5" s="1394"/>
      <c r="J5" s="1394"/>
      <c r="K5" s="1395"/>
      <c r="L5" s="1396" t="s">
        <v>2420</v>
      </c>
      <c r="M5" s="1391" t="s">
        <v>627</v>
      </c>
      <c r="N5" s="659" t="s">
        <v>1764</v>
      </c>
      <c r="O5" s="660" t="s">
        <v>1765</v>
      </c>
      <c r="P5" s="660" t="s">
        <v>1766</v>
      </c>
    </row>
    <row r="6" spans="1:16" s="661" customFormat="1" ht="17.5" customHeight="1">
      <c r="A6" s="1392"/>
      <c r="B6" s="1392"/>
      <c r="C6" s="1392"/>
      <c r="D6" s="1392"/>
      <c r="E6" s="1392"/>
      <c r="F6" s="1392"/>
      <c r="G6" s="659" t="s">
        <v>1416</v>
      </c>
      <c r="H6" s="659" t="s">
        <v>2418</v>
      </c>
      <c r="I6" s="659" t="s">
        <v>2392</v>
      </c>
      <c r="J6" s="659" t="s">
        <v>2419</v>
      </c>
      <c r="K6" s="659" t="s">
        <v>2410</v>
      </c>
      <c r="L6" s="1397"/>
      <c r="M6" s="1392"/>
      <c r="N6" s="659"/>
      <c r="O6" s="660"/>
      <c r="P6" s="660"/>
    </row>
    <row r="7" spans="1:16" s="1067" customFormat="1" ht="40.5" customHeight="1">
      <c r="A7" s="940">
        <v>1</v>
      </c>
      <c r="B7" s="941" t="s">
        <v>3071</v>
      </c>
      <c r="C7" s="940" t="s">
        <v>3257</v>
      </c>
      <c r="D7" s="940" t="s">
        <v>92</v>
      </c>
      <c r="E7" s="942">
        <f>31.932+4.177</f>
        <v>36.108999999999995</v>
      </c>
      <c r="F7" s="943" t="s">
        <v>3287</v>
      </c>
      <c r="G7" s="943"/>
      <c r="H7" s="943"/>
      <c r="I7" s="943"/>
      <c r="J7" s="943"/>
      <c r="K7" s="943"/>
      <c r="L7" s="943"/>
      <c r="M7" s="944" t="s">
        <v>22</v>
      </c>
      <c r="N7" s="940" t="s">
        <v>3256</v>
      </c>
      <c r="O7" s="940">
        <v>5</v>
      </c>
      <c r="P7" s="945" t="s">
        <v>3306</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F0"/>
  </sheetPr>
  <dimension ref="A1:Q152"/>
  <sheetViews>
    <sheetView zoomScale="90" zoomScaleNormal="90" workbookViewId="0">
      <pane ySplit="6" topLeftCell="A112" activePane="bottomLeft" state="frozen"/>
      <selection activeCell="N98" sqref="N98"/>
      <selection pane="bottomLeft" activeCell="G115" sqref="G11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9" customWidth="1"/>
    <col min="19" max="16384" width="7.90625" style="1109"/>
  </cols>
  <sheetData>
    <row r="1" spans="1:17" ht="12.5">
      <c r="A1" s="1398" t="s">
        <v>3379</v>
      </c>
      <c r="B1" s="1398"/>
      <c r="C1" s="1398"/>
      <c r="D1" s="1398"/>
      <c r="E1" s="1398"/>
      <c r="F1" s="1398"/>
      <c r="G1" s="1398"/>
      <c r="H1" s="1398"/>
      <c r="I1" s="647"/>
      <c r="J1" s="647"/>
      <c r="K1" s="647"/>
      <c r="M1" s="647"/>
      <c r="N1" s="647"/>
      <c r="O1" s="699" t="s">
        <v>38</v>
      </c>
      <c r="P1" s="700">
        <f>'TB-605'!E1</f>
        <v>46083</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0" customFormat="1" ht="17.5" customHeight="1">
      <c r="A5" s="1391" t="s">
        <v>1786</v>
      </c>
      <c r="B5" s="1391" t="s">
        <v>998</v>
      </c>
      <c r="C5" s="1391" t="s">
        <v>44</v>
      </c>
      <c r="D5" s="1391" t="s">
        <v>45</v>
      </c>
      <c r="E5" s="1391" t="s">
        <v>1763</v>
      </c>
      <c r="F5" s="1391" t="s">
        <v>1441</v>
      </c>
      <c r="G5" s="1393" t="s">
        <v>28</v>
      </c>
      <c r="H5" s="1394"/>
      <c r="I5" s="1394"/>
      <c r="J5" s="1394"/>
      <c r="K5" s="1395"/>
      <c r="L5" s="1396" t="s">
        <v>2420</v>
      </c>
      <c r="M5" s="1391" t="s">
        <v>3292</v>
      </c>
      <c r="N5" s="1391" t="s">
        <v>609</v>
      </c>
      <c r="O5" s="659" t="s">
        <v>1764</v>
      </c>
      <c r="P5" s="660" t="s">
        <v>1765</v>
      </c>
      <c r="Q5" s="660" t="s">
        <v>1766</v>
      </c>
    </row>
    <row r="6" spans="1:17" s="1110" customFormat="1" ht="17.5" customHeight="1">
      <c r="A6" s="1392"/>
      <c r="B6" s="1392"/>
      <c r="C6" s="1392"/>
      <c r="D6" s="1392"/>
      <c r="E6" s="1392"/>
      <c r="F6" s="1392"/>
      <c r="G6" s="659" t="s">
        <v>1416</v>
      </c>
      <c r="H6" s="659" t="s">
        <v>2418</v>
      </c>
      <c r="I6" s="659" t="s">
        <v>2392</v>
      </c>
      <c r="J6" s="659" t="s">
        <v>2419</v>
      </c>
      <c r="K6" s="659" t="s">
        <v>2410</v>
      </c>
      <c r="L6" s="1397"/>
      <c r="M6" s="1392"/>
      <c r="N6" s="1392"/>
      <c r="O6" s="659"/>
      <c r="P6" s="660"/>
      <c r="Q6" s="660"/>
    </row>
    <row r="7" spans="1:17" s="1067" customFormat="1" ht="56" customHeight="1">
      <c r="A7" s="751">
        <v>1</v>
      </c>
      <c r="B7" s="752" t="s">
        <v>2756</v>
      </c>
      <c r="C7" s="751" t="s">
        <v>62</v>
      </c>
      <c r="D7" s="751" t="s">
        <v>1767</v>
      </c>
      <c r="E7" s="787">
        <f>31.932+4.177</f>
        <v>36.108999999999995</v>
      </c>
      <c r="F7" s="753">
        <v>45925</v>
      </c>
      <c r="G7" s="753">
        <v>46033</v>
      </c>
      <c r="H7" s="753">
        <v>46033</v>
      </c>
      <c r="I7" s="753">
        <v>46033</v>
      </c>
      <c r="J7" s="753">
        <v>46033</v>
      </c>
      <c r="K7" s="753">
        <v>46033</v>
      </c>
      <c r="L7" s="753">
        <v>46033</v>
      </c>
      <c r="M7" s="960" t="s">
        <v>631</v>
      </c>
      <c r="N7" s="960"/>
      <c r="O7" s="751" t="s">
        <v>2757</v>
      </c>
      <c r="P7" s="751">
        <v>25</v>
      </c>
      <c r="Q7" s="871" t="s">
        <v>3308</v>
      </c>
    </row>
    <row r="8" spans="1:17" s="1067"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60" t="s">
        <v>631</v>
      </c>
      <c r="N8" s="960"/>
      <c r="O8" s="751" t="s">
        <v>2872</v>
      </c>
      <c r="P8" s="751">
        <v>10</v>
      </c>
      <c r="Q8" s="871"/>
    </row>
    <row r="9" spans="1:17" s="1067" customFormat="1" ht="45" customHeight="1">
      <c r="A9" s="751">
        <f>A8+1</f>
        <v>3</v>
      </c>
      <c r="B9" s="752" t="s">
        <v>2878</v>
      </c>
      <c r="C9" s="751" t="s">
        <v>76</v>
      </c>
      <c r="D9" s="751" t="s">
        <v>1767</v>
      </c>
      <c r="E9" s="787"/>
      <c r="F9" s="753">
        <v>45946</v>
      </c>
      <c r="G9" s="753">
        <v>45955</v>
      </c>
      <c r="H9" s="753">
        <v>45955</v>
      </c>
      <c r="I9" s="753">
        <v>45955</v>
      </c>
      <c r="J9" s="753">
        <v>45956</v>
      </c>
      <c r="K9" s="753">
        <v>45957</v>
      </c>
      <c r="L9" s="753">
        <v>45957</v>
      </c>
      <c r="M9" s="960" t="s">
        <v>631</v>
      </c>
      <c r="N9" s="960"/>
      <c r="O9" s="751" t="s">
        <v>2879</v>
      </c>
      <c r="P9" s="751">
        <v>9</v>
      </c>
      <c r="Q9" s="871"/>
    </row>
    <row r="10" spans="1:17" s="1067" customFormat="1" ht="45" customHeight="1">
      <c r="A10" s="751">
        <f t="shared" ref="A10:A25" si="0">A9+1</f>
        <v>4</v>
      </c>
      <c r="B10" s="752" t="s">
        <v>2883</v>
      </c>
      <c r="C10" s="751" t="s">
        <v>53</v>
      </c>
      <c r="D10" s="751" t="s">
        <v>1767</v>
      </c>
      <c r="E10" s="787"/>
      <c r="F10" s="753">
        <v>45949</v>
      </c>
      <c r="G10" s="753">
        <v>45955</v>
      </c>
      <c r="H10" s="753">
        <v>45957</v>
      </c>
      <c r="I10" s="753">
        <v>45957</v>
      </c>
      <c r="J10" s="753">
        <v>45958</v>
      </c>
      <c r="K10" s="753">
        <v>45958</v>
      </c>
      <c r="L10" s="753">
        <v>45958</v>
      </c>
      <c r="M10" s="960" t="s">
        <v>631</v>
      </c>
      <c r="N10" s="960"/>
      <c r="O10" s="751" t="s">
        <v>2879</v>
      </c>
      <c r="P10" s="751">
        <v>10</v>
      </c>
      <c r="Q10" s="871"/>
    </row>
    <row r="11" spans="1:17" s="1067"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60" t="s">
        <v>631</v>
      </c>
      <c r="N11" s="960"/>
      <c r="O11" s="751" t="s">
        <v>2863</v>
      </c>
      <c r="P11" s="751">
        <v>12</v>
      </c>
      <c r="Q11" s="871"/>
    </row>
    <row r="12" spans="1:17" s="1067"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60" t="s">
        <v>631</v>
      </c>
      <c r="N12" s="960"/>
      <c r="O12" s="751" t="s">
        <v>2863</v>
      </c>
      <c r="P12" s="751">
        <v>12</v>
      </c>
      <c r="Q12" s="871"/>
    </row>
    <row r="13" spans="1:17" s="1067"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60" t="s">
        <v>631</v>
      </c>
      <c r="N13" s="1026">
        <v>45965</v>
      </c>
      <c r="O13" s="751" t="s">
        <v>2872</v>
      </c>
      <c r="P13" s="751">
        <v>10</v>
      </c>
      <c r="Q13" s="871"/>
    </row>
    <row r="14" spans="1:17" s="1067"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60" t="s">
        <v>631</v>
      </c>
      <c r="N14" s="1026">
        <v>45973</v>
      </c>
      <c r="O14" s="1073" t="s">
        <v>2863</v>
      </c>
      <c r="P14" s="1389">
        <v>16</v>
      </c>
      <c r="Q14" s="871"/>
    </row>
    <row r="15" spans="1:17" s="1067"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60" t="s">
        <v>631</v>
      </c>
      <c r="N15" s="1026">
        <v>45973</v>
      </c>
      <c r="O15" s="1073" t="s">
        <v>2863</v>
      </c>
      <c r="P15" s="1390"/>
      <c r="Q15" s="871"/>
    </row>
    <row r="16" spans="1:17" s="1067" customFormat="1" ht="45" customHeight="1">
      <c r="A16" s="751">
        <f t="shared" si="0"/>
        <v>10</v>
      </c>
      <c r="B16" s="752" t="s">
        <v>2887</v>
      </c>
      <c r="C16" s="751" t="s">
        <v>62</v>
      </c>
      <c r="D16" s="751" t="s">
        <v>1767</v>
      </c>
      <c r="E16" s="787"/>
      <c r="F16" s="753">
        <v>45956</v>
      </c>
      <c r="G16" s="753">
        <v>45960</v>
      </c>
      <c r="H16" s="753">
        <v>45961</v>
      </c>
      <c r="I16" s="753">
        <v>45961</v>
      </c>
      <c r="J16" s="753">
        <v>45961</v>
      </c>
      <c r="K16" s="753">
        <v>45961</v>
      </c>
      <c r="L16" s="753">
        <v>45961</v>
      </c>
      <c r="M16" s="960" t="s">
        <v>631</v>
      </c>
      <c r="N16" s="1026">
        <v>45968</v>
      </c>
      <c r="O16" s="751" t="s">
        <v>2757</v>
      </c>
      <c r="P16" s="751">
        <f>8+15</f>
        <v>23</v>
      </c>
      <c r="Q16" s="871"/>
    </row>
    <row r="17" spans="1:17" s="1067" customFormat="1" ht="45" customHeight="1">
      <c r="A17" s="751">
        <f t="shared" si="0"/>
        <v>11</v>
      </c>
      <c r="B17" s="752" t="s">
        <v>2888</v>
      </c>
      <c r="C17" s="751" t="s">
        <v>76</v>
      </c>
      <c r="D17" s="751" t="s">
        <v>1767</v>
      </c>
      <c r="E17" s="787"/>
      <c r="F17" s="753">
        <v>45957</v>
      </c>
      <c r="G17" s="753">
        <v>45958</v>
      </c>
      <c r="H17" s="753">
        <v>45960</v>
      </c>
      <c r="I17" s="753">
        <v>45960</v>
      </c>
      <c r="J17" s="753">
        <v>45960</v>
      </c>
      <c r="K17" s="753">
        <v>45961</v>
      </c>
      <c r="L17" s="753">
        <v>45961</v>
      </c>
      <c r="M17" s="960" t="s">
        <v>631</v>
      </c>
      <c r="N17" s="1026">
        <v>45970</v>
      </c>
      <c r="O17" s="751" t="s">
        <v>2879</v>
      </c>
      <c r="P17" s="751">
        <v>19</v>
      </c>
      <c r="Q17" s="871"/>
    </row>
    <row r="18" spans="1:17" s="1067"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60" t="s">
        <v>631</v>
      </c>
      <c r="N18" s="1026">
        <v>45967</v>
      </c>
      <c r="O18" s="1073" t="s">
        <v>2872</v>
      </c>
      <c r="P18" s="1389">
        <v>20</v>
      </c>
      <c r="Q18" s="871"/>
    </row>
    <row r="19" spans="1:17" s="1067"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60" t="s">
        <v>631</v>
      </c>
      <c r="N19" s="1026">
        <v>45969</v>
      </c>
      <c r="O19" s="1073" t="s">
        <v>2872</v>
      </c>
      <c r="P19" s="1390"/>
      <c r="Q19" s="871"/>
    </row>
    <row r="20" spans="1:17" s="1067" customFormat="1" ht="45" customHeight="1">
      <c r="A20" s="751">
        <f t="shared" si="0"/>
        <v>14</v>
      </c>
      <c r="B20" s="752" t="s">
        <v>2895</v>
      </c>
      <c r="C20" s="751" t="s">
        <v>76</v>
      </c>
      <c r="D20" s="751" t="s">
        <v>1767</v>
      </c>
      <c r="E20" s="787"/>
      <c r="F20" s="753">
        <v>45959</v>
      </c>
      <c r="G20" s="753">
        <v>45965</v>
      </c>
      <c r="H20" s="753">
        <v>45966</v>
      </c>
      <c r="I20" s="753">
        <v>45967</v>
      </c>
      <c r="J20" s="753">
        <v>45967</v>
      </c>
      <c r="K20" s="753">
        <v>45969</v>
      </c>
      <c r="L20" s="753">
        <v>45969</v>
      </c>
      <c r="M20" s="960" t="s">
        <v>631</v>
      </c>
      <c r="N20" s="1026">
        <v>45970</v>
      </c>
      <c r="O20" s="1073" t="s">
        <v>2905</v>
      </c>
      <c r="P20" s="1389">
        <v>13</v>
      </c>
      <c r="Q20" s="871"/>
    </row>
    <row r="21" spans="1:17" s="1067" customFormat="1" ht="45" customHeight="1">
      <c r="A21" s="751">
        <f t="shared" si="0"/>
        <v>15</v>
      </c>
      <c r="B21" s="752" t="s">
        <v>2906</v>
      </c>
      <c r="C21" s="751" t="s">
        <v>76</v>
      </c>
      <c r="D21" s="751" t="s">
        <v>1767</v>
      </c>
      <c r="E21" s="787"/>
      <c r="F21" s="753">
        <v>45961</v>
      </c>
      <c r="G21" s="753">
        <v>45969</v>
      </c>
      <c r="H21" s="753">
        <v>45970</v>
      </c>
      <c r="I21" s="753">
        <v>45970</v>
      </c>
      <c r="J21" s="753">
        <v>45970</v>
      </c>
      <c r="K21" s="753">
        <v>45971</v>
      </c>
      <c r="L21" s="753">
        <v>45971</v>
      </c>
      <c r="M21" s="960" t="s">
        <v>631</v>
      </c>
      <c r="N21" s="1026">
        <v>45972</v>
      </c>
      <c r="O21" s="1073" t="s">
        <v>2905</v>
      </c>
      <c r="P21" s="1390"/>
      <c r="Q21" s="871"/>
    </row>
    <row r="22" spans="1:17" s="1067" customFormat="1" ht="45" customHeight="1">
      <c r="A22" s="751">
        <f t="shared" si="0"/>
        <v>16</v>
      </c>
      <c r="B22" s="752" t="s">
        <v>2896</v>
      </c>
      <c r="C22" s="751" t="s">
        <v>76</v>
      </c>
      <c r="D22" s="751" t="s">
        <v>1767</v>
      </c>
      <c r="E22" s="787"/>
      <c r="F22" s="753">
        <v>45959</v>
      </c>
      <c r="G22" s="753">
        <v>45960</v>
      </c>
      <c r="H22" s="753">
        <v>45963</v>
      </c>
      <c r="I22" s="753">
        <v>45963</v>
      </c>
      <c r="J22" s="753">
        <v>45963</v>
      </c>
      <c r="K22" s="753">
        <v>45965</v>
      </c>
      <c r="L22" s="753">
        <v>45965</v>
      </c>
      <c r="M22" s="960" t="s">
        <v>631</v>
      </c>
      <c r="N22" s="1026"/>
      <c r="O22" s="1073" t="s">
        <v>2879</v>
      </c>
      <c r="P22" s="1389">
        <v>19</v>
      </c>
      <c r="Q22" s="871"/>
    </row>
    <row r="23" spans="1:17" s="1067" customFormat="1" ht="45" customHeight="1">
      <c r="A23" s="751">
        <f t="shared" si="0"/>
        <v>17</v>
      </c>
      <c r="B23" s="752" t="s">
        <v>2908</v>
      </c>
      <c r="C23" s="751" t="s">
        <v>62</v>
      </c>
      <c r="D23" s="751" t="s">
        <v>1767</v>
      </c>
      <c r="E23" s="787"/>
      <c r="F23" s="753">
        <v>45964</v>
      </c>
      <c r="G23" s="753">
        <v>45968</v>
      </c>
      <c r="H23" s="753">
        <v>45970</v>
      </c>
      <c r="I23" s="753">
        <v>45970</v>
      </c>
      <c r="J23" s="753">
        <v>45971</v>
      </c>
      <c r="K23" s="753">
        <v>45971</v>
      </c>
      <c r="L23" s="753">
        <v>45971</v>
      </c>
      <c r="M23" s="960" t="s">
        <v>631</v>
      </c>
      <c r="N23" s="1026">
        <v>45975</v>
      </c>
      <c r="O23" s="1073" t="s">
        <v>2879</v>
      </c>
      <c r="P23" s="1390"/>
      <c r="Q23" s="871"/>
    </row>
    <row r="24" spans="1:17" s="1067" customFormat="1" ht="45" customHeight="1">
      <c r="A24" s="751">
        <f t="shared" si="0"/>
        <v>18</v>
      </c>
      <c r="B24" s="752" t="s">
        <v>2897</v>
      </c>
      <c r="C24" s="751" t="s">
        <v>76</v>
      </c>
      <c r="D24" s="751" t="s">
        <v>1767</v>
      </c>
      <c r="E24" s="787"/>
      <c r="F24" s="753">
        <v>45960</v>
      </c>
      <c r="G24" s="753">
        <v>45963</v>
      </c>
      <c r="H24" s="753">
        <v>45969</v>
      </c>
      <c r="I24" s="753">
        <v>45970</v>
      </c>
      <c r="J24" s="753">
        <v>45971</v>
      </c>
      <c r="K24" s="753">
        <v>45973</v>
      </c>
      <c r="L24" s="753">
        <v>45973</v>
      </c>
      <c r="M24" s="960" t="s">
        <v>631</v>
      </c>
      <c r="N24" s="1026">
        <v>45977</v>
      </c>
      <c r="O24" s="1073" t="s">
        <v>2898</v>
      </c>
      <c r="P24" s="1389">
        <v>25</v>
      </c>
      <c r="Q24" s="871"/>
    </row>
    <row r="25" spans="1:17" s="1067" customFormat="1" ht="45" customHeight="1">
      <c r="A25" s="751">
        <f t="shared" si="0"/>
        <v>19</v>
      </c>
      <c r="B25" s="752" t="s">
        <v>2907</v>
      </c>
      <c r="C25" s="751" t="s">
        <v>76</v>
      </c>
      <c r="D25" s="751" t="s">
        <v>1767</v>
      </c>
      <c r="E25" s="787"/>
      <c r="F25" s="753">
        <v>45963</v>
      </c>
      <c r="G25" s="753">
        <v>45967</v>
      </c>
      <c r="H25" s="753">
        <v>45971</v>
      </c>
      <c r="I25" s="753">
        <v>45972</v>
      </c>
      <c r="J25" s="753">
        <v>45972</v>
      </c>
      <c r="K25" s="753">
        <v>45974</v>
      </c>
      <c r="L25" s="753">
        <v>45974</v>
      </c>
      <c r="M25" s="960" t="s">
        <v>631</v>
      </c>
      <c r="N25" s="1026">
        <v>45977</v>
      </c>
      <c r="O25" s="1073" t="s">
        <v>2898</v>
      </c>
      <c r="P25" s="1390"/>
      <c r="Q25" s="871"/>
    </row>
    <row r="26" spans="1:17" s="1067" customFormat="1" ht="45" customHeight="1">
      <c r="A26" s="751">
        <f t="shared" ref="A26:A64" si="1">A25+1</f>
        <v>20</v>
      </c>
      <c r="B26" s="752" t="s">
        <v>2904</v>
      </c>
      <c r="C26" s="751" t="s">
        <v>1319</v>
      </c>
      <c r="D26" s="751" t="s">
        <v>1767</v>
      </c>
      <c r="E26" s="787"/>
      <c r="F26" s="753">
        <v>45962</v>
      </c>
      <c r="G26" s="753">
        <v>45978</v>
      </c>
      <c r="H26" s="753">
        <v>45979</v>
      </c>
      <c r="I26" s="753">
        <v>45979</v>
      </c>
      <c r="J26" s="753">
        <v>45981</v>
      </c>
      <c r="K26" s="753">
        <v>45983</v>
      </c>
      <c r="L26" s="753">
        <v>45983</v>
      </c>
      <c r="M26" s="960" t="s">
        <v>631</v>
      </c>
      <c r="N26" s="1026">
        <v>45980</v>
      </c>
      <c r="O26" s="751" t="s">
        <v>2757</v>
      </c>
      <c r="P26" s="751">
        <v>25</v>
      </c>
      <c r="Q26" s="871"/>
    </row>
    <row r="27" spans="1:17" s="1067" customFormat="1" ht="45" customHeight="1">
      <c r="A27" s="751">
        <f t="shared" si="1"/>
        <v>21</v>
      </c>
      <c r="B27" s="752" t="s">
        <v>3046</v>
      </c>
      <c r="C27" s="751" t="s">
        <v>1277</v>
      </c>
      <c r="D27" s="751" t="s">
        <v>1767</v>
      </c>
      <c r="E27" s="787"/>
      <c r="F27" s="753">
        <v>45968</v>
      </c>
      <c r="G27" s="753">
        <v>45973</v>
      </c>
      <c r="H27" s="753">
        <v>45974</v>
      </c>
      <c r="I27" s="753">
        <v>45974</v>
      </c>
      <c r="J27" s="753">
        <v>45974</v>
      </c>
      <c r="K27" s="753">
        <v>45977</v>
      </c>
      <c r="L27" s="753">
        <v>45977</v>
      </c>
      <c r="M27" s="960" t="s">
        <v>631</v>
      </c>
      <c r="N27" s="1026">
        <v>45980</v>
      </c>
      <c r="O27" s="751" t="s">
        <v>2872</v>
      </c>
      <c r="P27" s="751">
        <v>20</v>
      </c>
      <c r="Q27" s="871"/>
    </row>
    <row r="28" spans="1:17" s="1067"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60" t="s">
        <v>631</v>
      </c>
      <c r="N28" s="1026">
        <v>45982</v>
      </c>
      <c r="O28" s="751" t="s">
        <v>3122</v>
      </c>
      <c r="P28" s="751">
        <v>16</v>
      </c>
      <c r="Q28" s="871"/>
    </row>
    <row r="29" spans="1:17" s="1067" customFormat="1" ht="45" customHeight="1">
      <c r="A29" s="751">
        <f t="shared" si="1"/>
        <v>23</v>
      </c>
      <c r="B29" s="752" t="s">
        <v>3140</v>
      </c>
      <c r="C29" s="751" t="s">
        <v>76</v>
      </c>
      <c r="D29" s="751" t="s">
        <v>1767</v>
      </c>
      <c r="E29" s="787"/>
      <c r="F29" s="753">
        <v>45970</v>
      </c>
      <c r="G29" s="753">
        <v>45974</v>
      </c>
      <c r="H29" s="753">
        <v>45975</v>
      </c>
      <c r="I29" s="753">
        <v>45975</v>
      </c>
      <c r="J29" s="753">
        <v>45975</v>
      </c>
      <c r="K29" s="753">
        <v>45976</v>
      </c>
      <c r="L29" s="753">
        <v>45976</v>
      </c>
      <c r="M29" s="960" t="s">
        <v>631</v>
      </c>
      <c r="N29" s="1026">
        <v>45977</v>
      </c>
      <c r="O29" s="751" t="s">
        <v>2905</v>
      </c>
      <c r="P29" s="751">
        <v>20</v>
      </c>
      <c r="Q29" s="871"/>
    </row>
    <row r="30" spans="1:17" s="1067" customFormat="1" ht="45" customHeight="1">
      <c r="A30" s="751">
        <f t="shared" si="1"/>
        <v>24</v>
      </c>
      <c r="B30" s="752" t="s">
        <v>3003</v>
      </c>
      <c r="C30" s="751" t="s">
        <v>1277</v>
      </c>
      <c r="D30" s="751" t="s">
        <v>1767</v>
      </c>
      <c r="E30" s="787"/>
      <c r="F30" s="753">
        <v>45971</v>
      </c>
      <c r="G30" s="753">
        <v>45978</v>
      </c>
      <c r="H30" s="753">
        <v>45979</v>
      </c>
      <c r="I30" s="753">
        <v>45979</v>
      </c>
      <c r="J30" s="753">
        <v>45979</v>
      </c>
      <c r="K30" s="753">
        <v>45980</v>
      </c>
      <c r="L30" s="753">
        <v>45980</v>
      </c>
      <c r="M30" s="960" t="s">
        <v>631</v>
      </c>
      <c r="N30" s="1026">
        <v>45992</v>
      </c>
      <c r="O30" s="751" t="s">
        <v>2879</v>
      </c>
      <c r="P30" s="751">
        <v>19</v>
      </c>
      <c r="Q30" s="871"/>
    </row>
    <row r="31" spans="1:17" s="1067"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60" t="s">
        <v>631</v>
      </c>
      <c r="N31" s="1026">
        <v>45976</v>
      </c>
      <c r="O31" s="751" t="s">
        <v>2863</v>
      </c>
      <c r="P31" s="751">
        <v>16</v>
      </c>
      <c r="Q31" s="871"/>
    </row>
    <row r="32" spans="1:17" s="1067" customFormat="1" ht="45" customHeight="1">
      <c r="A32" s="751">
        <f t="shared" si="1"/>
        <v>26</v>
      </c>
      <c r="B32" s="752" t="s">
        <v>3142</v>
      </c>
      <c r="C32" s="751" t="s">
        <v>62</v>
      </c>
      <c r="D32" s="751" t="s">
        <v>1767</v>
      </c>
      <c r="E32" s="787"/>
      <c r="F32" s="753">
        <v>45972</v>
      </c>
      <c r="G32" s="753">
        <v>45973</v>
      </c>
      <c r="H32" s="753">
        <v>45976</v>
      </c>
      <c r="I32" s="753">
        <v>45979</v>
      </c>
      <c r="J32" s="753">
        <v>45979</v>
      </c>
      <c r="K32" s="753">
        <v>45981</v>
      </c>
      <c r="L32" s="753">
        <v>45981</v>
      </c>
      <c r="M32" s="960" t="s">
        <v>631</v>
      </c>
      <c r="N32" s="1026">
        <v>45982</v>
      </c>
      <c r="O32" s="1073" t="s">
        <v>2898</v>
      </c>
      <c r="P32" s="1389">
        <v>25</v>
      </c>
      <c r="Q32" s="871"/>
    </row>
    <row r="33" spans="1:17" s="1067" customFormat="1" ht="45" customHeight="1">
      <c r="A33" s="751">
        <f t="shared" si="1"/>
        <v>27</v>
      </c>
      <c r="B33" s="752" t="s">
        <v>3011</v>
      </c>
      <c r="C33" s="751" t="s">
        <v>90</v>
      </c>
      <c r="D33" s="751" t="s">
        <v>1767</v>
      </c>
      <c r="E33" s="787"/>
      <c r="F33" s="753">
        <v>45973</v>
      </c>
      <c r="G33" s="753">
        <v>45980</v>
      </c>
      <c r="H33" s="753">
        <v>45982</v>
      </c>
      <c r="I33" s="753">
        <v>45982</v>
      </c>
      <c r="J33" s="753">
        <v>45984</v>
      </c>
      <c r="K33" s="753">
        <v>45985</v>
      </c>
      <c r="L33" s="753">
        <v>45985</v>
      </c>
      <c r="M33" s="960" t="s">
        <v>631</v>
      </c>
      <c r="N33" s="1026">
        <v>45992</v>
      </c>
      <c r="O33" s="1073" t="s">
        <v>2898</v>
      </c>
      <c r="P33" s="1390"/>
      <c r="Q33" s="871"/>
    </row>
    <row r="34" spans="1:17" s="1067" customFormat="1" ht="45" customHeight="1">
      <c r="A34" s="751">
        <f t="shared" si="1"/>
        <v>28</v>
      </c>
      <c r="B34" s="752" t="s">
        <v>3143</v>
      </c>
      <c r="C34" s="751" t="s">
        <v>76</v>
      </c>
      <c r="D34" s="751" t="s">
        <v>1767</v>
      </c>
      <c r="E34" s="787"/>
      <c r="F34" s="753">
        <v>45974</v>
      </c>
      <c r="G34" s="753">
        <v>45979</v>
      </c>
      <c r="H34" s="753">
        <v>45980</v>
      </c>
      <c r="I34" s="753">
        <v>45980</v>
      </c>
      <c r="J34" s="753">
        <v>45981</v>
      </c>
      <c r="K34" s="753">
        <v>45981</v>
      </c>
      <c r="L34" s="753">
        <v>45981</v>
      </c>
      <c r="M34" s="960" t="s">
        <v>631</v>
      </c>
      <c r="N34" s="1026">
        <v>45982</v>
      </c>
      <c r="O34" s="751" t="s">
        <v>2921</v>
      </c>
      <c r="P34" s="751">
        <v>11</v>
      </c>
      <c r="Q34" s="871"/>
    </row>
    <row r="35" spans="1:17" s="1067"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60" t="s">
        <v>631</v>
      </c>
      <c r="N35" s="1026">
        <v>45980</v>
      </c>
      <c r="O35" s="751" t="s">
        <v>2863</v>
      </c>
      <c r="P35" s="751">
        <v>16</v>
      </c>
      <c r="Q35" s="871"/>
    </row>
    <row r="36" spans="1:17" s="1067"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60" t="s">
        <v>631</v>
      </c>
      <c r="N36" s="1026">
        <v>45982</v>
      </c>
      <c r="O36" s="751" t="s">
        <v>3122</v>
      </c>
      <c r="P36" s="751">
        <v>16</v>
      </c>
      <c r="Q36" s="871"/>
    </row>
    <row r="37" spans="1:17" s="1067" customFormat="1" ht="45" customHeight="1">
      <c r="A37" s="751">
        <f t="shared" si="1"/>
        <v>31</v>
      </c>
      <c r="B37" s="752" t="s">
        <v>3044</v>
      </c>
      <c r="C37" s="1055" t="s">
        <v>915</v>
      </c>
      <c r="D37" s="751" t="s">
        <v>897</v>
      </c>
      <c r="E37" s="787"/>
      <c r="F37" s="753">
        <v>45977</v>
      </c>
      <c r="G37" s="753">
        <v>45988</v>
      </c>
      <c r="H37" s="753">
        <v>45989</v>
      </c>
      <c r="I37" s="753">
        <v>45989</v>
      </c>
      <c r="J37" s="753">
        <v>45989</v>
      </c>
      <c r="K37" s="753">
        <v>45991</v>
      </c>
      <c r="L37" s="753">
        <v>45991</v>
      </c>
      <c r="M37" s="960" t="s">
        <v>631</v>
      </c>
      <c r="N37" s="1026">
        <v>45992</v>
      </c>
      <c r="O37" s="751" t="s">
        <v>2872</v>
      </c>
      <c r="P37" s="751">
        <v>20</v>
      </c>
      <c r="Q37" s="871"/>
    </row>
    <row r="38" spans="1:17" s="1067" customFormat="1" ht="45" customHeight="1">
      <c r="A38" s="751">
        <f t="shared" si="1"/>
        <v>32</v>
      </c>
      <c r="B38" s="752" t="s">
        <v>3008</v>
      </c>
      <c r="C38" s="751" t="s">
        <v>1277</v>
      </c>
      <c r="D38" s="751" t="s">
        <v>1767</v>
      </c>
      <c r="E38" s="787"/>
      <c r="F38" s="753">
        <v>45978</v>
      </c>
      <c r="G38" s="753">
        <v>45988</v>
      </c>
      <c r="H38" s="753">
        <v>45988</v>
      </c>
      <c r="I38" s="753">
        <v>45988</v>
      </c>
      <c r="J38" s="753">
        <v>45989</v>
      </c>
      <c r="K38" s="753">
        <v>45990</v>
      </c>
      <c r="L38" s="753">
        <v>45990</v>
      </c>
      <c r="M38" s="960" t="s">
        <v>631</v>
      </c>
      <c r="N38" s="1026">
        <v>45992</v>
      </c>
      <c r="O38" s="751" t="s">
        <v>3159</v>
      </c>
      <c r="P38" s="751">
        <v>12</v>
      </c>
      <c r="Q38" s="871"/>
    </row>
    <row r="39" spans="1:17" s="1067" customFormat="1" ht="50">
      <c r="A39" s="751">
        <f t="shared" si="1"/>
        <v>33</v>
      </c>
      <c r="B39" s="752" t="s">
        <v>2975</v>
      </c>
      <c r="C39" s="751" t="s">
        <v>90</v>
      </c>
      <c r="D39" s="751" t="s">
        <v>1767</v>
      </c>
      <c r="E39" s="787"/>
      <c r="F39" s="753">
        <v>45979</v>
      </c>
      <c r="G39" s="753">
        <v>46001</v>
      </c>
      <c r="H39" s="753">
        <v>46002</v>
      </c>
      <c r="I39" s="753">
        <v>46002</v>
      </c>
      <c r="J39" s="753">
        <v>46002</v>
      </c>
      <c r="K39" s="753">
        <v>46004</v>
      </c>
      <c r="L39" s="753">
        <v>46004</v>
      </c>
      <c r="M39" s="960" t="s">
        <v>631</v>
      </c>
      <c r="N39" s="1026">
        <v>46005</v>
      </c>
      <c r="O39" s="751" t="s">
        <v>2863</v>
      </c>
      <c r="P39" s="751">
        <v>16</v>
      </c>
      <c r="Q39" s="871" t="s">
        <v>3259</v>
      </c>
    </row>
    <row r="40" spans="1:17" s="1067"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60" t="s">
        <v>631</v>
      </c>
      <c r="N40" s="1026">
        <v>45987</v>
      </c>
      <c r="O40" s="751" t="s">
        <v>3122</v>
      </c>
      <c r="P40" s="751">
        <v>16</v>
      </c>
      <c r="Q40" s="871"/>
    </row>
    <row r="41" spans="1:17" s="1067" customFormat="1" ht="45" customHeight="1">
      <c r="A41" s="751">
        <f t="shared" si="1"/>
        <v>35</v>
      </c>
      <c r="B41" s="752" t="s">
        <v>3005</v>
      </c>
      <c r="C41" s="751" t="s">
        <v>1269</v>
      </c>
      <c r="D41" s="751" t="s">
        <v>1767</v>
      </c>
      <c r="E41" s="787"/>
      <c r="F41" s="753">
        <v>45981</v>
      </c>
      <c r="G41" s="753">
        <v>45985</v>
      </c>
      <c r="H41" s="753">
        <v>45986</v>
      </c>
      <c r="I41" s="753">
        <v>45986</v>
      </c>
      <c r="J41" s="753">
        <v>45987</v>
      </c>
      <c r="K41" s="753">
        <v>45988</v>
      </c>
      <c r="L41" s="753">
        <v>45988</v>
      </c>
      <c r="M41" s="960" t="s">
        <v>631</v>
      </c>
      <c r="N41" s="1026">
        <v>45996</v>
      </c>
      <c r="O41" s="751" t="s">
        <v>2879</v>
      </c>
      <c r="P41" s="751">
        <v>19</v>
      </c>
      <c r="Q41" s="871"/>
    </row>
    <row r="42" spans="1:17" s="1067" customFormat="1" ht="45" customHeight="1">
      <c r="A42" s="751">
        <f t="shared" si="1"/>
        <v>36</v>
      </c>
      <c r="B42" s="752" t="s">
        <v>3160</v>
      </c>
      <c r="C42" s="751" t="s">
        <v>62</v>
      </c>
      <c r="D42" s="751" t="s">
        <v>1767</v>
      </c>
      <c r="E42" s="787"/>
      <c r="F42" s="753">
        <v>45981</v>
      </c>
      <c r="G42" s="753">
        <v>45984</v>
      </c>
      <c r="H42" s="753">
        <v>45986</v>
      </c>
      <c r="I42" s="753">
        <v>45986</v>
      </c>
      <c r="J42" s="753">
        <v>45987</v>
      </c>
      <c r="K42" s="753">
        <v>45987</v>
      </c>
      <c r="L42" s="753">
        <v>45987</v>
      </c>
      <c r="M42" s="960" t="s">
        <v>631</v>
      </c>
      <c r="N42" s="1026">
        <v>45987</v>
      </c>
      <c r="O42" s="751" t="s">
        <v>2898</v>
      </c>
      <c r="P42" s="751">
        <v>12</v>
      </c>
      <c r="Q42" s="871"/>
    </row>
    <row r="43" spans="1:17" s="1067" customFormat="1" ht="45" customHeight="1">
      <c r="A43" s="751">
        <f t="shared" si="1"/>
        <v>37</v>
      </c>
      <c r="B43" s="752" t="s">
        <v>3161</v>
      </c>
      <c r="C43" s="751" t="s">
        <v>76</v>
      </c>
      <c r="D43" s="751" t="s">
        <v>1767</v>
      </c>
      <c r="E43" s="787"/>
      <c r="F43" s="753">
        <v>45983</v>
      </c>
      <c r="G43" s="753">
        <v>45987</v>
      </c>
      <c r="H43" s="753">
        <v>45988</v>
      </c>
      <c r="I43" s="753">
        <v>45988</v>
      </c>
      <c r="J43" s="753">
        <v>45989</v>
      </c>
      <c r="K43" s="753">
        <v>45989</v>
      </c>
      <c r="L43" s="753">
        <v>45989</v>
      </c>
      <c r="M43" s="960" t="s">
        <v>631</v>
      </c>
      <c r="N43" s="1026">
        <v>45989</v>
      </c>
      <c r="O43" s="751" t="s">
        <v>2921</v>
      </c>
      <c r="P43" s="751">
        <v>11</v>
      </c>
      <c r="Q43" s="871"/>
    </row>
    <row r="44" spans="1:17" s="1067"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60" t="s">
        <v>631</v>
      </c>
      <c r="N44" s="1026">
        <v>45992</v>
      </c>
      <c r="O44" s="751" t="s">
        <v>3122</v>
      </c>
      <c r="P44" s="751">
        <v>16</v>
      </c>
      <c r="Q44" s="871"/>
    </row>
    <row r="45" spans="1:17" s="1067" customFormat="1" ht="45" customHeight="1">
      <c r="A45" s="751">
        <f t="shared" si="1"/>
        <v>39</v>
      </c>
      <c r="B45" s="752" t="s">
        <v>2994</v>
      </c>
      <c r="C45" s="751" t="s">
        <v>1981</v>
      </c>
      <c r="D45" s="751" t="s">
        <v>2768</v>
      </c>
      <c r="E45" s="787"/>
      <c r="F45" s="753">
        <v>45982</v>
      </c>
      <c r="G45" s="753">
        <v>45988</v>
      </c>
      <c r="H45" s="753">
        <v>45990</v>
      </c>
      <c r="I45" s="753">
        <v>45990</v>
      </c>
      <c r="J45" s="753">
        <v>45990</v>
      </c>
      <c r="K45" s="753">
        <v>45991</v>
      </c>
      <c r="L45" s="753">
        <v>45991</v>
      </c>
      <c r="M45" s="960" t="s">
        <v>631</v>
      </c>
      <c r="N45" s="1026">
        <v>45994</v>
      </c>
      <c r="O45" s="751" t="s">
        <v>2757</v>
      </c>
      <c r="P45" s="751">
        <v>25</v>
      </c>
      <c r="Q45" s="871"/>
    </row>
    <row r="46" spans="1:17" s="1067" customFormat="1" ht="45" customHeight="1">
      <c r="A46" s="751">
        <f t="shared" si="1"/>
        <v>40</v>
      </c>
      <c r="B46" s="752" t="s">
        <v>3013</v>
      </c>
      <c r="C46" s="751" t="s">
        <v>1269</v>
      </c>
      <c r="D46" s="751" t="s">
        <v>1767</v>
      </c>
      <c r="E46" s="787"/>
      <c r="F46" s="753">
        <v>45984</v>
      </c>
      <c r="G46" s="753">
        <v>45987</v>
      </c>
      <c r="H46" s="753">
        <v>45988</v>
      </c>
      <c r="I46" s="753">
        <v>45989</v>
      </c>
      <c r="J46" s="753">
        <v>45989</v>
      </c>
      <c r="K46" s="753">
        <v>45991</v>
      </c>
      <c r="L46" s="753">
        <v>45991</v>
      </c>
      <c r="M46" s="960" t="s">
        <v>631</v>
      </c>
      <c r="N46" s="1026">
        <v>46001</v>
      </c>
      <c r="O46" s="751" t="s">
        <v>2898</v>
      </c>
      <c r="P46" s="751">
        <v>15</v>
      </c>
      <c r="Q46" s="871"/>
    </row>
    <row r="47" spans="1:17" s="1067" customFormat="1" ht="45" customHeight="1">
      <c r="A47" s="751">
        <f t="shared" si="1"/>
        <v>41</v>
      </c>
      <c r="B47" s="752" t="s">
        <v>2972</v>
      </c>
      <c r="C47" s="751" t="s">
        <v>1981</v>
      </c>
      <c r="D47" s="751" t="s">
        <v>897</v>
      </c>
      <c r="E47" s="787"/>
      <c r="F47" s="753">
        <v>45986</v>
      </c>
      <c r="G47" s="753">
        <v>45989</v>
      </c>
      <c r="H47" s="753">
        <v>45990</v>
      </c>
      <c r="I47" s="753">
        <v>45990</v>
      </c>
      <c r="J47" s="753">
        <v>45990</v>
      </c>
      <c r="K47" s="753">
        <v>45992</v>
      </c>
      <c r="L47" s="753">
        <v>45992</v>
      </c>
      <c r="M47" s="960" t="s">
        <v>631</v>
      </c>
      <c r="N47" s="1026">
        <v>45992</v>
      </c>
      <c r="O47" s="751" t="s">
        <v>2863</v>
      </c>
      <c r="P47" s="751">
        <v>16</v>
      </c>
      <c r="Q47" s="871"/>
    </row>
    <row r="48" spans="1:17" s="1067"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60" t="s">
        <v>631</v>
      </c>
      <c r="N48" s="1026">
        <v>45999</v>
      </c>
      <c r="O48" s="751" t="s">
        <v>2757</v>
      </c>
      <c r="P48" s="751">
        <v>25</v>
      </c>
      <c r="Q48" s="871"/>
    </row>
    <row r="49" spans="1:17" s="1067" customFormat="1" ht="45" customHeight="1">
      <c r="A49" s="751">
        <f t="shared" si="1"/>
        <v>43</v>
      </c>
      <c r="B49" s="752" t="s">
        <v>3015</v>
      </c>
      <c r="C49" s="751" t="s">
        <v>1361</v>
      </c>
      <c r="D49" s="751" t="s">
        <v>1767</v>
      </c>
      <c r="E49" s="787"/>
      <c r="F49" s="753">
        <v>45987</v>
      </c>
      <c r="G49" s="753">
        <v>45994</v>
      </c>
      <c r="H49" s="753">
        <v>45996</v>
      </c>
      <c r="I49" s="753">
        <v>45996</v>
      </c>
      <c r="J49" s="753">
        <v>45997</v>
      </c>
      <c r="K49" s="753">
        <v>45998</v>
      </c>
      <c r="L49" s="753">
        <v>45998</v>
      </c>
      <c r="M49" s="960" t="s">
        <v>631</v>
      </c>
      <c r="N49" s="1026">
        <v>46001</v>
      </c>
      <c r="O49" s="751" t="s">
        <v>2898</v>
      </c>
      <c r="P49" s="751">
        <v>13</v>
      </c>
      <c r="Q49" s="871"/>
    </row>
    <row r="50" spans="1:17" s="1067" customFormat="1" ht="45" customHeight="1">
      <c r="A50" s="751">
        <f t="shared" si="1"/>
        <v>44</v>
      </c>
      <c r="B50" s="752" t="s">
        <v>3045</v>
      </c>
      <c r="C50" s="751" t="s">
        <v>1269</v>
      </c>
      <c r="D50" s="751" t="s">
        <v>1767</v>
      </c>
      <c r="E50" s="787"/>
      <c r="F50" s="753">
        <v>45990</v>
      </c>
      <c r="G50" s="753">
        <v>45995</v>
      </c>
      <c r="H50" s="753">
        <v>45996</v>
      </c>
      <c r="I50" s="753">
        <v>45997</v>
      </c>
      <c r="J50" s="753">
        <v>45997</v>
      </c>
      <c r="K50" s="753">
        <v>111743</v>
      </c>
      <c r="L50" s="753">
        <v>46000</v>
      </c>
      <c r="M50" s="960" t="s">
        <v>631</v>
      </c>
      <c r="N50" s="1026">
        <v>46000</v>
      </c>
      <c r="O50" s="751" t="s">
        <v>2872</v>
      </c>
      <c r="P50" s="751">
        <v>20</v>
      </c>
      <c r="Q50" s="871"/>
    </row>
    <row r="51" spans="1:17" s="1067" customFormat="1" ht="45" customHeight="1">
      <c r="A51" s="751">
        <f t="shared" si="1"/>
        <v>45</v>
      </c>
      <c r="B51" s="752" t="s">
        <v>3006</v>
      </c>
      <c r="C51" s="751" t="s">
        <v>1361</v>
      </c>
      <c r="D51" s="751" t="s">
        <v>1767</v>
      </c>
      <c r="E51" s="787"/>
      <c r="F51" s="753">
        <v>45990</v>
      </c>
      <c r="G51" s="753">
        <v>45996</v>
      </c>
      <c r="H51" s="753">
        <v>45996</v>
      </c>
      <c r="I51" s="753">
        <v>45997</v>
      </c>
      <c r="J51" s="753">
        <v>45997</v>
      </c>
      <c r="K51" s="753">
        <v>45998</v>
      </c>
      <c r="L51" s="753">
        <v>45998</v>
      </c>
      <c r="M51" s="960" t="s">
        <v>631</v>
      </c>
      <c r="N51" s="1026">
        <v>45998</v>
      </c>
      <c r="O51" s="751" t="s">
        <v>2879</v>
      </c>
      <c r="P51" s="751">
        <v>19</v>
      </c>
      <c r="Q51" s="871"/>
    </row>
    <row r="52" spans="1:17" s="1067" customFormat="1" ht="45" customHeight="1">
      <c r="A52" s="751">
        <f t="shared" si="1"/>
        <v>46</v>
      </c>
      <c r="B52" s="752" t="s">
        <v>3186</v>
      </c>
      <c r="C52" s="751" t="s">
        <v>62</v>
      </c>
      <c r="D52" s="751" t="s">
        <v>1767</v>
      </c>
      <c r="E52" s="787"/>
      <c r="F52" s="753">
        <v>45991</v>
      </c>
      <c r="G52" s="753">
        <v>45994</v>
      </c>
      <c r="H52" s="753">
        <v>45994</v>
      </c>
      <c r="I52" s="753">
        <v>45994</v>
      </c>
      <c r="J52" s="753">
        <v>45995</v>
      </c>
      <c r="K52" s="753">
        <v>45995</v>
      </c>
      <c r="L52" s="753">
        <v>45995</v>
      </c>
      <c r="M52" s="960" t="s">
        <v>631</v>
      </c>
      <c r="N52" s="1026">
        <v>45996</v>
      </c>
      <c r="O52" s="751" t="s">
        <v>3159</v>
      </c>
      <c r="P52" s="751">
        <v>12</v>
      </c>
      <c r="Q52" s="871"/>
    </row>
    <row r="53" spans="1:17" s="1067" customFormat="1" ht="45" customHeight="1">
      <c r="A53" s="751">
        <f t="shared" si="1"/>
        <v>47</v>
      </c>
      <c r="B53" s="752" t="s">
        <v>3022</v>
      </c>
      <c r="C53" s="751" t="s">
        <v>1319</v>
      </c>
      <c r="D53" s="751" t="s">
        <v>1767</v>
      </c>
      <c r="E53" s="1083"/>
      <c r="F53" s="753">
        <v>45993</v>
      </c>
      <c r="G53" s="753">
        <v>46006</v>
      </c>
      <c r="H53" s="753">
        <v>46007</v>
      </c>
      <c r="I53" s="753">
        <v>46007</v>
      </c>
      <c r="J53" s="753">
        <v>46008</v>
      </c>
      <c r="K53" s="753">
        <v>46009</v>
      </c>
      <c r="L53" s="753">
        <v>46009</v>
      </c>
      <c r="M53" s="960" t="s">
        <v>631</v>
      </c>
      <c r="N53" s="1026">
        <v>46003</v>
      </c>
      <c r="O53" s="751" t="s">
        <v>2921</v>
      </c>
      <c r="P53" s="751">
        <v>11</v>
      </c>
      <c r="Q53" s="871"/>
    </row>
    <row r="54" spans="1:17" s="1067" customFormat="1" ht="45" customHeight="1">
      <c r="A54" s="751">
        <f t="shared" si="1"/>
        <v>48</v>
      </c>
      <c r="B54" s="752" t="s">
        <v>3187</v>
      </c>
      <c r="C54" s="751" t="s">
        <v>249</v>
      </c>
      <c r="D54" s="751" t="s">
        <v>1767</v>
      </c>
      <c r="E54" s="787"/>
      <c r="F54" s="753">
        <v>45992</v>
      </c>
      <c r="G54" s="753">
        <v>45994</v>
      </c>
      <c r="H54" s="753">
        <v>45996</v>
      </c>
      <c r="I54" s="753" t="s">
        <v>3190</v>
      </c>
      <c r="J54" s="753">
        <v>45996</v>
      </c>
      <c r="K54" s="753">
        <v>45997</v>
      </c>
      <c r="L54" s="753">
        <v>45997</v>
      </c>
      <c r="M54" s="960" t="s">
        <v>631</v>
      </c>
      <c r="N54" s="1026">
        <v>46002</v>
      </c>
      <c r="O54" s="751" t="s">
        <v>2898</v>
      </c>
      <c r="P54" s="751">
        <v>12</v>
      </c>
      <c r="Q54" s="871"/>
    </row>
    <row r="55" spans="1:17" s="1067"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60" t="s">
        <v>631</v>
      </c>
      <c r="N55" s="1026">
        <v>46002</v>
      </c>
      <c r="O55" s="751" t="s">
        <v>2757</v>
      </c>
      <c r="P55" s="751">
        <v>25</v>
      </c>
      <c r="Q55" s="871"/>
    </row>
    <row r="56" spans="1:17" s="1067"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60" t="s">
        <v>631</v>
      </c>
      <c r="N56" s="1026">
        <v>45998</v>
      </c>
      <c r="O56" s="751" t="s">
        <v>2863</v>
      </c>
      <c r="P56" s="751">
        <v>16</v>
      </c>
      <c r="Q56" s="871"/>
    </row>
    <row r="57" spans="1:17" s="1067"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60" t="s">
        <v>631</v>
      </c>
      <c r="N57" s="1026">
        <v>46003</v>
      </c>
      <c r="O57" s="751" t="s">
        <v>2863</v>
      </c>
      <c r="P57" s="751">
        <v>16</v>
      </c>
      <c r="Q57" s="871"/>
    </row>
    <row r="58" spans="1:17" s="1067"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60" t="s">
        <v>631</v>
      </c>
      <c r="N58" s="1026">
        <v>46008</v>
      </c>
      <c r="O58" s="751" t="s">
        <v>2898</v>
      </c>
      <c r="P58" s="751">
        <v>25</v>
      </c>
      <c r="Q58" s="871"/>
    </row>
    <row r="59" spans="1:17" s="1067" customFormat="1" ht="45" customHeight="1">
      <c r="A59" s="751">
        <f t="shared" si="1"/>
        <v>53</v>
      </c>
      <c r="B59" s="752" t="s">
        <v>3024</v>
      </c>
      <c r="C59" s="751" t="s">
        <v>1269</v>
      </c>
      <c r="D59" s="751" t="s">
        <v>1767</v>
      </c>
      <c r="E59" s="787"/>
      <c r="F59" s="753">
        <v>45996</v>
      </c>
      <c r="G59" s="753">
        <v>46002</v>
      </c>
      <c r="H59" s="753">
        <v>46002</v>
      </c>
      <c r="I59" s="753">
        <v>46003</v>
      </c>
      <c r="J59" s="753">
        <v>46003</v>
      </c>
      <c r="K59" s="753">
        <v>46004</v>
      </c>
      <c r="L59" s="753">
        <v>46004</v>
      </c>
      <c r="M59" s="960" t="s">
        <v>631</v>
      </c>
      <c r="N59" s="1026">
        <v>46006</v>
      </c>
      <c r="O59" s="751" t="s">
        <v>3159</v>
      </c>
      <c r="P59" s="751">
        <v>12</v>
      </c>
      <c r="Q59" s="871"/>
    </row>
    <row r="60" spans="1:17" s="1067" customFormat="1" ht="45" customHeight="1">
      <c r="A60" s="751">
        <f t="shared" si="1"/>
        <v>54</v>
      </c>
      <c r="B60" s="752" t="s">
        <v>3056</v>
      </c>
      <c r="C60" s="751" t="s">
        <v>90</v>
      </c>
      <c r="D60" s="751" t="s">
        <v>1767</v>
      </c>
      <c r="E60" s="787"/>
      <c r="F60" s="753">
        <v>45996</v>
      </c>
      <c r="G60" s="753">
        <v>45998</v>
      </c>
      <c r="H60" s="753">
        <v>46000</v>
      </c>
      <c r="I60" s="753">
        <v>46000</v>
      </c>
      <c r="J60" s="753">
        <v>46003</v>
      </c>
      <c r="K60" s="753">
        <v>46007</v>
      </c>
      <c r="L60" s="753">
        <v>46007</v>
      </c>
      <c r="M60" s="960" t="s">
        <v>631</v>
      </c>
      <c r="N60" s="1026">
        <v>46011</v>
      </c>
      <c r="O60" s="751" t="s">
        <v>3191</v>
      </c>
      <c r="P60" s="1073">
        <v>40</v>
      </c>
      <c r="Q60" s="871"/>
    </row>
    <row r="61" spans="1:17" s="1067"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60" t="s">
        <v>631</v>
      </c>
      <c r="N61" s="1026">
        <v>46025</v>
      </c>
      <c r="O61" s="751" t="s">
        <v>3191</v>
      </c>
      <c r="P61" s="1073">
        <v>40</v>
      </c>
      <c r="Q61" s="871" t="s">
        <v>3296</v>
      </c>
    </row>
    <row r="62" spans="1:17" s="1067" customFormat="1" ht="45" customHeight="1">
      <c r="A62" s="751">
        <f t="shared" si="1"/>
        <v>56</v>
      </c>
      <c r="B62" s="752" t="s">
        <v>3192</v>
      </c>
      <c r="C62" s="751" t="s">
        <v>249</v>
      </c>
      <c r="D62" s="751" t="s">
        <v>1767</v>
      </c>
      <c r="E62" s="787"/>
      <c r="F62" s="753">
        <v>45997</v>
      </c>
      <c r="G62" s="753">
        <v>46003</v>
      </c>
      <c r="H62" s="753">
        <v>46005</v>
      </c>
      <c r="I62" s="753">
        <v>46005</v>
      </c>
      <c r="J62" s="753">
        <v>46006</v>
      </c>
      <c r="K62" s="753">
        <v>46007</v>
      </c>
      <c r="L62" s="753">
        <v>46007</v>
      </c>
      <c r="M62" s="960" t="s">
        <v>631</v>
      </c>
      <c r="N62" s="1026">
        <v>46012</v>
      </c>
      <c r="O62" s="751" t="s">
        <v>2757</v>
      </c>
      <c r="P62" s="751">
        <v>25</v>
      </c>
      <c r="Q62" s="871"/>
    </row>
    <row r="63" spans="1:17" s="1067" customFormat="1" ht="45" customHeight="1">
      <c r="A63" s="751">
        <f t="shared" si="1"/>
        <v>57</v>
      </c>
      <c r="B63" s="752" t="s">
        <v>3249</v>
      </c>
      <c r="C63" s="751" t="s">
        <v>76</v>
      </c>
      <c r="D63" s="751" t="s">
        <v>1767</v>
      </c>
      <c r="E63" s="966"/>
      <c r="F63" s="753">
        <v>46001</v>
      </c>
      <c r="G63" s="753">
        <v>46005</v>
      </c>
      <c r="H63" s="753">
        <v>46007</v>
      </c>
      <c r="I63" s="753">
        <v>46007</v>
      </c>
      <c r="J63" s="753">
        <v>46007</v>
      </c>
      <c r="K63" s="753">
        <v>46008</v>
      </c>
      <c r="L63" s="753">
        <v>46008</v>
      </c>
      <c r="M63" s="960" t="s">
        <v>631</v>
      </c>
      <c r="N63" s="1026">
        <v>46013</v>
      </c>
      <c r="O63" s="751" t="s">
        <v>2898</v>
      </c>
      <c r="P63" s="751">
        <v>25</v>
      </c>
      <c r="Q63" s="871"/>
    </row>
    <row r="64" spans="1:17" s="1067"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60" t="s">
        <v>631</v>
      </c>
      <c r="N64" s="1026">
        <v>46015</v>
      </c>
      <c r="O64" s="751" t="s">
        <v>3191</v>
      </c>
      <c r="P64" s="751">
        <v>40</v>
      </c>
      <c r="Q64" s="871"/>
    </row>
    <row r="65" spans="1:17" s="1067" customFormat="1" ht="45" customHeight="1">
      <c r="A65" s="1077">
        <f t="shared" ref="A65:A139" si="2">A64+1</f>
        <v>59</v>
      </c>
      <c r="B65" s="1078" t="s">
        <v>3170</v>
      </c>
      <c r="C65" s="1077" t="s">
        <v>76</v>
      </c>
      <c r="D65" s="1077" t="s">
        <v>1767</v>
      </c>
      <c r="E65" s="966"/>
      <c r="F65" s="1079">
        <v>46003</v>
      </c>
      <c r="G65" s="1079">
        <v>46006</v>
      </c>
      <c r="H65" s="1079">
        <v>46006</v>
      </c>
      <c r="I65" s="1079">
        <v>46006</v>
      </c>
      <c r="J65" s="1079">
        <v>46006</v>
      </c>
      <c r="K65" s="1079">
        <v>46008</v>
      </c>
      <c r="L65" s="1079">
        <v>46008</v>
      </c>
      <c r="M65" s="1080" t="s">
        <v>631</v>
      </c>
      <c r="N65" s="1026">
        <v>46011</v>
      </c>
      <c r="O65" s="1077" t="s">
        <v>2879</v>
      </c>
      <c r="P65" s="1077">
        <v>20</v>
      </c>
      <c r="Q65" s="1081"/>
    </row>
    <row r="66" spans="1:17" s="1067" customFormat="1" ht="36.5" customHeight="1">
      <c r="A66" s="751">
        <f t="shared" si="2"/>
        <v>60</v>
      </c>
      <c r="B66" s="752" t="s">
        <v>2990</v>
      </c>
      <c r="C66" s="751" t="s">
        <v>1269</v>
      </c>
      <c r="D66" s="751" t="s">
        <v>1767</v>
      </c>
      <c r="E66" s="787"/>
      <c r="F66" s="753">
        <v>46003</v>
      </c>
      <c r="G66" s="753">
        <v>46009</v>
      </c>
      <c r="H66" s="753">
        <v>46011</v>
      </c>
      <c r="I66" s="753">
        <v>46011</v>
      </c>
      <c r="J66" s="753">
        <v>46014</v>
      </c>
      <c r="K66" s="753">
        <v>46015</v>
      </c>
      <c r="L66" s="753">
        <v>46015</v>
      </c>
      <c r="M66" s="960" t="s">
        <v>631</v>
      </c>
      <c r="N66" s="1026">
        <v>46017</v>
      </c>
      <c r="O66" s="751" t="s">
        <v>2757</v>
      </c>
      <c r="P66" s="751">
        <v>25</v>
      </c>
      <c r="Q66" s="871"/>
    </row>
    <row r="67" spans="1:17" s="1067"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60" t="s">
        <v>631</v>
      </c>
      <c r="N67" s="1026">
        <v>46016</v>
      </c>
      <c r="O67" s="751" t="s">
        <v>3191</v>
      </c>
      <c r="P67" s="751">
        <v>40</v>
      </c>
      <c r="Q67" s="871"/>
    </row>
    <row r="68" spans="1:17" s="1067"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60" t="s">
        <v>631</v>
      </c>
      <c r="N68" s="1026">
        <v>46009</v>
      </c>
      <c r="O68" s="751" t="s">
        <v>2863</v>
      </c>
      <c r="P68" s="751">
        <v>16</v>
      </c>
      <c r="Q68" s="871"/>
    </row>
    <row r="69" spans="1:17" s="1067" customFormat="1" ht="45" customHeight="1">
      <c r="A69" s="751">
        <f t="shared" si="2"/>
        <v>63</v>
      </c>
      <c r="B69" s="752" t="s">
        <v>3021</v>
      </c>
      <c r="C69" s="751" t="s">
        <v>53</v>
      </c>
      <c r="D69" s="751" t="s">
        <v>1767</v>
      </c>
      <c r="E69" s="787"/>
      <c r="F69" s="753">
        <v>46005</v>
      </c>
      <c r="G69" s="753">
        <v>46008</v>
      </c>
      <c r="H69" s="753">
        <v>46008</v>
      </c>
      <c r="I69" s="753">
        <v>46008</v>
      </c>
      <c r="J69" s="753">
        <v>46008</v>
      </c>
      <c r="K69" s="753">
        <v>46009</v>
      </c>
      <c r="L69" s="753">
        <v>46009</v>
      </c>
      <c r="M69" s="960" t="s">
        <v>631</v>
      </c>
      <c r="N69" s="1026">
        <v>46009</v>
      </c>
      <c r="O69" s="751" t="s">
        <v>3159</v>
      </c>
      <c r="P69" s="751">
        <v>12</v>
      </c>
      <c r="Q69" s="871"/>
    </row>
    <row r="70" spans="1:17" s="1067" customFormat="1" ht="45" customHeight="1">
      <c r="A70" s="751">
        <f t="shared" si="2"/>
        <v>64</v>
      </c>
      <c r="B70" s="752" t="s">
        <v>3169</v>
      </c>
      <c r="C70" s="751" t="s">
        <v>76</v>
      </c>
      <c r="D70" s="751" t="s">
        <v>1767</v>
      </c>
      <c r="E70" s="787"/>
      <c r="F70" s="753">
        <v>46007</v>
      </c>
      <c r="G70" s="753">
        <v>46008</v>
      </c>
      <c r="H70" s="753">
        <v>46009</v>
      </c>
      <c r="I70" s="753">
        <v>46010</v>
      </c>
      <c r="J70" s="753">
        <v>46010</v>
      </c>
      <c r="K70" s="753">
        <v>46011</v>
      </c>
      <c r="L70" s="753">
        <v>46011</v>
      </c>
      <c r="M70" s="960" t="s">
        <v>631</v>
      </c>
      <c r="N70" s="1026">
        <v>46011</v>
      </c>
      <c r="O70" s="751" t="s">
        <v>2879</v>
      </c>
      <c r="P70" s="751">
        <v>20</v>
      </c>
      <c r="Q70" s="871"/>
    </row>
    <row r="71" spans="1:17" s="1067" customFormat="1" ht="45" customHeight="1">
      <c r="A71" s="1077">
        <f t="shared" si="2"/>
        <v>65</v>
      </c>
      <c r="B71" s="1078" t="s">
        <v>2981</v>
      </c>
      <c r="C71" s="1077" t="s">
        <v>1319</v>
      </c>
      <c r="D71" s="1077" t="s">
        <v>2768</v>
      </c>
      <c r="E71" s="966"/>
      <c r="F71" s="1079">
        <v>46007</v>
      </c>
      <c r="G71" s="1079">
        <v>46012</v>
      </c>
      <c r="H71" s="1079">
        <v>46013</v>
      </c>
      <c r="I71" s="1079">
        <v>46013</v>
      </c>
      <c r="J71" s="1079">
        <v>46014</v>
      </c>
      <c r="K71" s="1079">
        <v>46016</v>
      </c>
      <c r="L71" s="1079">
        <v>46016</v>
      </c>
      <c r="M71" s="1080" t="s">
        <v>631</v>
      </c>
      <c r="N71" s="1107">
        <v>46017</v>
      </c>
      <c r="O71" s="1077" t="s">
        <v>2863</v>
      </c>
      <c r="P71" s="1077">
        <v>16</v>
      </c>
      <c r="Q71" s="1081"/>
    </row>
    <row r="72" spans="1:17" s="1067"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60" t="s">
        <v>631</v>
      </c>
      <c r="N72" s="1026">
        <v>46012</v>
      </c>
      <c r="O72" s="751" t="s">
        <v>2898</v>
      </c>
      <c r="P72" s="751">
        <v>25</v>
      </c>
      <c r="Q72" s="871"/>
    </row>
    <row r="73" spans="1:17" s="1067" customFormat="1" ht="45" customHeight="1">
      <c r="A73" s="751">
        <f t="shared" si="2"/>
        <v>67</v>
      </c>
      <c r="B73" s="752" t="s">
        <v>3212</v>
      </c>
      <c r="C73" s="751" t="s">
        <v>76</v>
      </c>
      <c r="D73" s="751" t="s">
        <v>1767</v>
      </c>
      <c r="E73" s="787"/>
      <c r="F73" s="753">
        <v>46009</v>
      </c>
      <c r="G73" s="753">
        <v>46012</v>
      </c>
      <c r="H73" s="753">
        <v>46012</v>
      </c>
      <c r="I73" s="753">
        <v>46016</v>
      </c>
      <c r="J73" s="753">
        <v>46016</v>
      </c>
      <c r="K73" s="753">
        <v>46017</v>
      </c>
      <c r="L73" s="753">
        <v>46017</v>
      </c>
      <c r="M73" s="960" t="s">
        <v>631</v>
      </c>
      <c r="N73" s="1026">
        <v>46025</v>
      </c>
      <c r="O73" s="751" t="s">
        <v>2898</v>
      </c>
      <c r="P73" s="751">
        <v>25</v>
      </c>
      <c r="Q73" s="871"/>
    </row>
    <row r="74" spans="1:17" s="1067"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60" t="s">
        <v>631</v>
      </c>
      <c r="N74" s="1026">
        <v>46018</v>
      </c>
      <c r="O74" s="751" t="s">
        <v>3191</v>
      </c>
      <c r="P74" s="751">
        <v>40</v>
      </c>
      <c r="Q74" s="871"/>
    </row>
    <row r="75" spans="1:17" s="1067" customFormat="1" ht="45" customHeight="1">
      <c r="A75" s="751">
        <f t="shared" si="2"/>
        <v>69</v>
      </c>
      <c r="B75" s="752" t="s">
        <v>853</v>
      </c>
      <c r="C75" s="751" t="s">
        <v>76</v>
      </c>
      <c r="D75" s="751" t="s">
        <v>1767</v>
      </c>
      <c r="E75" s="966"/>
      <c r="F75" s="753">
        <v>46010</v>
      </c>
      <c r="G75" s="753">
        <v>46026</v>
      </c>
      <c r="H75" s="753">
        <v>46026</v>
      </c>
      <c r="I75" s="753">
        <v>46027</v>
      </c>
      <c r="J75" s="753">
        <v>46027</v>
      </c>
      <c r="K75" s="753">
        <v>46029</v>
      </c>
      <c r="L75" s="753">
        <v>46029</v>
      </c>
      <c r="M75" s="960" t="s">
        <v>631</v>
      </c>
      <c r="N75" s="1026">
        <v>46031</v>
      </c>
      <c r="O75" s="751" t="s">
        <v>3267</v>
      </c>
      <c r="P75" s="751">
        <v>12</v>
      </c>
      <c r="Q75" s="871"/>
    </row>
    <row r="76" spans="1:17" s="1067"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60" t="s">
        <v>631</v>
      </c>
      <c r="N76" s="1026">
        <v>46017</v>
      </c>
      <c r="O76" s="751" t="s">
        <v>2879</v>
      </c>
      <c r="P76" s="751">
        <v>20</v>
      </c>
      <c r="Q76" s="871"/>
    </row>
    <row r="77" spans="1:17" s="1067" customFormat="1" ht="45" customHeight="1">
      <c r="A77" s="751">
        <f t="shared" si="2"/>
        <v>71</v>
      </c>
      <c r="B77" s="752" t="s">
        <v>2596</v>
      </c>
      <c r="C77" s="751" t="s">
        <v>76</v>
      </c>
      <c r="D77" s="751" t="s">
        <v>1767</v>
      </c>
      <c r="E77" s="966"/>
      <c r="F77" s="753">
        <v>46012</v>
      </c>
      <c r="G77" s="753">
        <v>46017</v>
      </c>
      <c r="H77" s="753">
        <v>46017</v>
      </c>
      <c r="I77" s="753">
        <v>46017</v>
      </c>
      <c r="J77" s="753">
        <v>46017</v>
      </c>
      <c r="K77" s="753">
        <v>46018</v>
      </c>
      <c r="L77" s="753">
        <v>46018</v>
      </c>
      <c r="M77" s="960" t="s">
        <v>631</v>
      </c>
      <c r="N77" s="1026">
        <v>46022</v>
      </c>
      <c r="O77" s="751" t="s">
        <v>3285</v>
      </c>
      <c r="P77" s="751">
        <v>13</v>
      </c>
      <c r="Q77" s="871"/>
    </row>
    <row r="78" spans="1:17" s="1067"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60" t="s">
        <v>631</v>
      </c>
      <c r="N78" s="1026">
        <v>46022</v>
      </c>
      <c r="O78" s="751" t="s">
        <v>3191</v>
      </c>
      <c r="P78" s="751">
        <v>40</v>
      </c>
      <c r="Q78" s="871"/>
    </row>
    <row r="79" spans="1:17" s="1067"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60" t="s">
        <v>631</v>
      </c>
      <c r="N79" s="1026">
        <v>46031</v>
      </c>
      <c r="O79" s="751" t="s">
        <v>3191</v>
      </c>
      <c r="P79" s="751">
        <v>40</v>
      </c>
      <c r="Q79" s="871"/>
    </row>
    <row r="80" spans="1:17" s="1067" customFormat="1" ht="45" customHeight="1">
      <c r="A80" s="1077">
        <f t="shared" si="2"/>
        <v>74</v>
      </c>
      <c r="B80" s="1078" t="s">
        <v>2531</v>
      </c>
      <c r="C80" s="1077" t="s">
        <v>62</v>
      </c>
      <c r="D80" s="1077" t="s">
        <v>1767</v>
      </c>
      <c r="E80" s="966"/>
      <c r="F80" s="1079">
        <v>46014</v>
      </c>
      <c r="G80" s="1079">
        <v>46015</v>
      </c>
      <c r="H80" s="1079">
        <v>46017</v>
      </c>
      <c r="I80" s="1079">
        <v>46017</v>
      </c>
      <c r="J80" s="1079">
        <v>46017</v>
      </c>
      <c r="K80" s="1079">
        <v>46018</v>
      </c>
      <c r="L80" s="1079">
        <v>46018</v>
      </c>
      <c r="M80" s="1080" t="s">
        <v>631</v>
      </c>
      <c r="N80" s="1107">
        <v>46018</v>
      </c>
      <c r="O80" s="1077" t="s">
        <v>2879</v>
      </c>
      <c r="P80" s="1077">
        <v>20</v>
      </c>
      <c r="Q80" s="1081"/>
    </row>
    <row r="81" spans="1:17" s="1067" customFormat="1" ht="45" customHeight="1">
      <c r="A81" s="751">
        <f t="shared" si="2"/>
        <v>75</v>
      </c>
      <c r="B81" s="752" t="s">
        <v>3063</v>
      </c>
      <c r="C81" s="751" t="s">
        <v>1277</v>
      </c>
      <c r="D81" s="751" t="s">
        <v>1767</v>
      </c>
      <c r="E81" s="787"/>
      <c r="F81" s="753">
        <v>46014</v>
      </c>
      <c r="G81" s="753">
        <v>46025</v>
      </c>
      <c r="H81" s="753">
        <v>46025</v>
      </c>
      <c r="I81" s="753">
        <v>46026</v>
      </c>
      <c r="J81" s="753">
        <v>46026</v>
      </c>
      <c r="K81" s="753">
        <v>46027</v>
      </c>
      <c r="L81" s="753">
        <v>46027</v>
      </c>
      <c r="M81" s="960" t="s">
        <v>631</v>
      </c>
      <c r="N81" s="1026">
        <v>46027</v>
      </c>
      <c r="O81" s="751" t="s">
        <v>2921</v>
      </c>
      <c r="P81" s="751">
        <v>11</v>
      </c>
      <c r="Q81" s="871"/>
    </row>
    <row r="82" spans="1:17" s="1067" customFormat="1" ht="45" customHeight="1">
      <c r="A82" s="751">
        <f t="shared" si="2"/>
        <v>76</v>
      </c>
      <c r="B82" s="752" t="s">
        <v>3019</v>
      </c>
      <c r="C82" s="751" t="s">
        <v>1269</v>
      </c>
      <c r="D82" s="751" t="s">
        <v>1767</v>
      </c>
      <c r="E82" s="787"/>
      <c r="F82" s="753">
        <v>46014</v>
      </c>
      <c r="G82" s="753">
        <v>46019</v>
      </c>
      <c r="H82" s="753">
        <v>46020</v>
      </c>
      <c r="I82" s="753">
        <v>46020</v>
      </c>
      <c r="J82" s="753">
        <v>46020</v>
      </c>
      <c r="K82" s="753">
        <v>46020</v>
      </c>
      <c r="L82" s="753">
        <v>46020</v>
      </c>
      <c r="M82" s="960" t="s">
        <v>631</v>
      </c>
      <c r="N82" s="1026">
        <v>46024</v>
      </c>
      <c r="O82" s="751" t="s">
        <v>2898</v>
      </c>
      <c r="P82" s="751">
        <v>25</v>
      </c>
      <c r="Q82" s="871"/>
    </row>
    <row r="83" spans="1:17" s="1067"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60" t="s">
        <v>631</v>
      </c>
      <c r="N83" s="1026">
        <v>46022</v>
      </c>
      <c r="O83" s="751" t="s">
        <v>2863</v>
      </c>
      <c r="P83" s="751">
        <v>16</v>
      </c>
      <c r="Q83" s="871"/>
    </row>
    <row r="84" spans="1:17" s="1067" customFormat="1" ht="45" customHeight="1">
      <c r="A84" s="751">
        <f t="shared" si="2"/>
        <v>78</v>
      </c>
      <c r="B84" s="752" t="s">
        <v>3291</v>
      </c>
      <c r="C84" s="751" t="s">
        <v>62</v>
      </c>
      <c r="D84" s="751" t="s">
        <v>1767</v>
      </c>
      <c r="E84" s="787"/>
      <c r="F84" s="753">
        <v>46015</v>
      </c>
      <c r="G84" s="753">
        <v>46019</v>
      </c>
      <c r="H84" s="753">
        <v>46020</v>
      </c>
      <c r="I84" s="753">
        <v>46020</v>
      </c>
      <c r="J84" s="753">
        <v>46021</v>
      </c>
      <c r="K84" s="753">
        <v>46021</v>
      </c>
      <c r="L84" s="753">
        <v>46021</v>
      </c>
      <c r="M84" s="960" t="s">
        <v>631</v>
      </c>
      <c r="N84" s="1026">
        <v>46022</v>
      </c>
      <c r="O84" s="751" t="s">
        <v>2757</v>
      </c>
      <c r="P84" s="751">
        <v>25</v>
      </c>
      <c r="Q84" s="871"/>
    </row>
    <row r="85" spans="1:17" s="1067" customFormat="1" ht="45" customHeight="1">
      <c r="A85" s="751">
        <f t="shared" si="2"/>
        <v>79</v>
      </c>
      <c r="B85" s="752" t="s">
        <v>3211</v>
      </c>
      <c r="C85" s="751" t="s">
        <v>76</v>
      </c>
      <c r="D85" s="751" t="s">
        <v>1767</v>
      </c>
      <c r="E85" s="787"/>
      <c r="F85" s="753">
        <v>46015</v>
      </c>
      <c r="G85" s="753">
        <v>46019</v>
      </c>
      <c r="H85" s="753">
        <v>46020</v>
      </c>
      <c r="I85" s="753">
        <v>46020</v>
      </c>
      <c r="J85" s="753">
        <v>46020</v>
      </c>
      <c r="K85" s="753">
        <v>46021</v>
      </c>
      <c r="L85" s="753">
        <v>46021</v>
      </c>
      <c r="M85" s="960" t="s">
        <v>631</v>
      </c>
      <c r="N85" s="1026">
        <v>46029</v>
      </c>
      <c r="O85" s="751" t="s">
        <v>2898</v>
      </c>
      <c r="P85" s="751">
        <v>25</v>
      </c>
      <c r="Q85" s="871"/>
    </row>
    <row r="86" spans="1:17" s="1067"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60" t="s">
        <v>631</v>
      </c>
      <c r="N86" s="1026">
        <v>46025</v>
      </c>
      <c r="O86" s="751" t="s">
        <v>3285</v>
      </c>
      <c r="P86" s="751">
        <v>13</v>
      </c>
      <c r="Q86" s="871"/>
    </row>
    <row r="87" spans="1:17" s="1067"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60" t="s">
        <v>631</v>
      </c>
      <c r="N87" s="1026">
        <v>46024</v>
      </c>
      <c r="O87" s="751" t="s">
        <v>2879</v>
      </c>
      <c r="P87" s="751">
        <v>20</v>
      </c>
      <c r="Q87" s="871"/>
    </row>
    <row r="88" spans="1:17" s="1067"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60" t="s">
        <v>631</v>
      </c>
      <c r="N88" s="1026">
        <v>46043</v>
      </c>
      <c r="O88" s="751" t="s">
        <v>3191</v>
      </c>
      <c r="P88" s="751">
        <v>40</v>
      </c>
      <c r="Q88" s="871"/>
    </row>
    <row r="89" spans="1:17" s="1067" customFormat="1" ht="45" customHeight="1">
      <c r="A89" s="751">
        <f t="shared" si="2"/>
        <v>83</v>
      </c>
      <c r="B89" s="752" t="s">
        <v>3210</v>
      </c>
      <c r="C89" s="751" t="s">
        <v>76</v>
      </c>
      <c r="D89" s="751" t="s">
        <v>1767</v>
      </c>
      <c r="E89" s="787"/>
      <c r="F89" s="753">
        <v>46019</v>
      </c>
      <c r="G89" s="753">
        <v>46020</v>
      </c>
      <c r="H89" s="753">
        <v>46029</v>
      </c>
      <c r="I89" s="753">
        <v>46029</v>
      </c>
      <c r="J89" s="753">
        <v>46029</v>
      </c>
      <c r="K89" s="753">
        <v>46030</v>
      </c>
      <c r="L89" s="753">
        <v>46030</v>
      </c>
      <c r="M89" s="960" t="s">
        <v>631</v>
      </c>
      <c r="N89" s="960"/>
      <c r="O89" s="751" t="s">
        <v>2898</v>
      </c>
      <c r="P89" s="751">
        <v>25</v>
      </c>
      <c r="Q89" s="871"/>
    </row>
    <row r="90" spans="1:17" s="1067" customFormat="1" ht="45" customHeight="1">
      <c r="A90" s="751">
        <f t="shared" si="2"/>
        <v>84</v>
      </c>
      <c r="B90" s="752" t="s">
        <v>3206</v>
      </c>
      <c r="C90" s="751" t="s">
        <v>76</v>
      </c>
      <c r="D90" s="751" t="s">
        <v>1767</v>
      </c>
      <c r="E90" s="787"/>
      <c r="F90" s="753">
        <v>46022</v>
      </c>
      <c r="G90" s="753">
        <v>46029</v>
      </c>
      <c r="H90" s="753">
        <v>46030</v>
      </c>
      <c r="I90" s="753">
        <v>46030</v>
      </c>
      <c r="J90" s="753">
        <v>46030</v>
      </c>
      <c r="K90" s="753">
        <v>46031</v>
      </c>
      <c r="L90" s="753">
        <v>46031</v>
      </c>
      <c r="M90" s="960" t="s">
        <v>631</v>
      </c>
      <c r="N90" s="1026">
        <v>46066</v>
      </c>
      <c r="O90" s="751" t="s">
        <v>2898</v>
      </c>
      <c r="P90" s="751">
        <v>25</v>
      </c>
      <c r="Q90" s="871"/>
    </row>
    <row r="91" spans="1:17" s="1067" customFormat="1" ht="45" customHeight="1">
      <c r="A91" s="751">
        <f t="shared" si="2"/>
        <v>85</v>
      </c>
      <c r="B91" s="752" t="s">
        <v>3052</v>
      </c>
      <c r="C91" s="751" t="s">
        <v>1277</v>
      </c>
      <c r="D91" s="751" t="s">
        <v>1767</v>
      </c>
      <c r="E91" s="787"/>
      <c r="F91" s="753">
        <v>46027</v>
      </c>
      <c r="G91" s="753">
        <v>46031</v>
      </c>
      <c r="H91" s="753">
        <v>46031</v>
      </c>
      <c r="I91" s="753">
        <v>46031</v>
      </c>
      <c r="J91" s="753">
        <v>46032</v>
      </c>
      <c r="K91" s="753">
        <v>46033</v>
      </c>
      <c r="L91" s="753">
        <v>46033</v>
      </c>
      <c r="M91" s="960" t="s">
        <v>631</v>
      </c>
      <c r="N91" s="1026">
        <v>46031</v>
      </c>
      <c r="O91" s="751" t="s">
        <v>2879</v>
      </c>
      <c r="P91" s="751">
        <v>20</v>
      </c>
      <c r="Q91" s="871"/>
    </row>
    <row r="92" spans="1:17" s="1067" customFormat="1" ht="45" customHeight="1">
      <c r="A92" s="751">
        <f t="shared" si="2"/>
        <v>86</v>
      </c>
      <c r="B92" s="752" t="s">
        <v>3298</v>
      </c>
      <c r="C92" s="751" t="s">
        <v>76</v>
      </c>
      <c r="D92" s="751" t="s">
        <v>1767</v>
      </c>
      <c r="E92" s="787"/>
      <c r="F92" s="753">
        <v>46026</v>
      </c>
      <c r="G92" s="753">
        <v>46032</v>
      </c>
      <c r="H92" s="753">
        <v>46037</v>
      </c>
      <c r="I92" s="753">
        <v>46037</v>
      </c>
      <c r="J92" s="753">
        <v>46037</v>
      </c>
      <c r="K92" s="753">
        <v>46038</v>
      </c>
      <c r="L92" s="753">
        <v>46038</v>
      </c>
      <c r="M92" s="960" t="s">
        <v>631</v>
      </c>
      <c r="N92" s="1026">
        <v>46039</v>
      </c>
      <c r="O92" s="751" t="s">
        <v>2757</v>
      </c>
      <c r="P92" s="751">
        <v>25</v>
      </c>
      <c r="Q92" s="871"/>
    </row>
    <row r="93" spans="1:17" s="1067" customFormat="1" ht="45" customHeight="1">
      <c r="A93" s="751">
        <f t="shared" si="2"/>
        <v>87</v>
      </c>
      <c r="B93" s="752" t="s">
        <v>3043</v>
      </c>
      <c r="C93" s="751" t="s">
        <v>1269</v>
      </c>
      <c r="D93" s="751" t="s">
        <v>1767</v>
      </c>
      <c r="E93" s="787"/>
      <c r="F93" s="753">
        <v>46027</v>
      </c>
      <c r="G93" s="753">
        <v>46041</v>
      </c>
      <c r="H93" s="753">
        <v>46041</v>
      </c>
      <c r="I93" s="753">
        <v>46041</v>
      </c>
      <c r="J93" s="753">
        <v>46041</v>
      </c>
      <c r="K93" s="753">
        <v>46044</v>
      </c>
      <c r="L93" s="753">
        <v>46044</v>
      </c>
      <c r="M93" s="960" t="s">
        <v>631</v>
      </c>
      <c r="N93" s="1026">
        <v>46044</v>
      </c>
      <c r="O93" s="751" t="s">
        <v>2872</v>
      </c>
      <c r="P93" s="751">
        <v>12</v>
      </c>
      <c r="Q93" s="871"/>
    </row>
    <row r="94" spans="1:17" s="1067"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60" t="s">
        <v>631</v>
      </c>
      <c r="N94" s="1026">
        <v>46056</v>
      </c>
      <c r="O94" s="751" t="s">
        <v>3191</v>
      </c>
      <c r="P94" s="751">
        <v>40</v>
      </c>
      <c r="Q94" s="871"/>
    </row>
    <row r="95" spans="1:17" s="1067"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60" t="s">
        <v>631</v>
      </c>
      <c r="N95" s="1026">
        <v>46042</v>
      </c>
      <c r="O95" s="751" t="s">
        <v>3191</v>
      </c>
      <c r="P95" s="751">
        <v>40</v>
      </c>
      <c r="Q95" s="871"/>
    </row>
    <row r="96" spans="1:17" s="1067" customFormat="1" ht="45" customHeight="1">
      <c r="A96" s="751">
        <f t="shared" si="2"/>
        <v>90</v>
      </c>
      <c r="B96" s="752" t="s">
        <v>3304</v>
      </c>
      <c r="C96" s="751" t="s">
        <v>62</v>
      </c>
      <c r="D96" s="751" t="s">
        <v>1767</v>
      </c>
      <c r="E96" s="787"/>
      <c r="F96" s="753">
        <v>46029</v>
      </c>
      <c r="G96" s="753">
        <v>46033</v>
      </c>
      <c r="H96" s="753">
        <v>46033</v>
      </c>
      <c r="I96" s="753">
        <v>46033</v>
      </c>
      <c r="J96" s="753">
        <v>46033</v>
      </c>
      <c r="K96" s="753">
        <v>46034</v>
      </c>
      <c r="L96" s="753">
        <v>46034</v>
      </c>
      <c r="M96" s="960" t="s">
        <v>631</v>
      </c>
      <c r="N96" s="1026">
        <v>46035</v>
      </c>
      <c r="O96" s="751" t="s">
        <v>2863</v>
      </c>
      <c r="P96" s="751">
        <v>16</v>
      </c>
      <c r="Q96" s="871"/>
    </row>
    <row r="97" spans="1:17" s="1067" customFormat="1" ht="45" customHeight="1">
      <c r="A97" s="751">
        <f t="shared" si="2"/>
        <v>91</v>
      </c>
      <c r="B97" s="752" t="s">
        <v>2586</v>
      </c>
      <c r="C97" s="751" t="s">
        <v>62</v>
      </c>
      <c r="D97" s="751" t="s">
        <v>2768</v>
      </c>
      <c r="E97" s="787"/>
      <c r="F97" s="753">
        <v>46029</v>
      </c>
      <c r="G97" s="753">
        <v>46041</v>
      </c>
      <c r="H97" s="753">
        <v>46041</v>
      </c>
      <c r="I97" s="753">
        <v>46041</v>
      </c>
      <c r="J97" s="753">
        <v>46041</v>
      </c>
      <c r="K97" s="753">
        <v>46042</v>
      </c>
      <c r="L97" s="753">
        <v>46042</v>
      </c>
      <c r="M97" s="960" t="s">
        <v>631</v>
      </c>
      <c r="N97" s="1026">
        <v>46042</v>
      </c>
      <c r="O97" s="751" t="s">
        <v>2921</v>
      </c>
      <c r="P97" s="751">
        <v>11</v>
      </c>
      <c r="Q97" s="871"/>
    </row>
    <row r="98" spans="1:17" s="1067" customFormat="1" ht="45" customHeight="1">
      <c r="A98" s="751">
        <f t="shared" si="2"/>
        <v>92</v>
      </c>
      <c r="B98" s="752" t="s">
        <v>3064</v>
      </c>
      <c r="C98" s="751" t="s">
        <v>1269</v>
      </c>
      <c r="D98" s="751" t="s">
        <v>1767</v>
      </c>
      <c r="E98" s="787"/>
      <c r="F98" s="753">
        <v>46029</v>
      </c>
      <c r="G98" s="753">
        <v>46036</v>
      </c>
      <c r="H98" s="753">
        <v>46038</v>
      </c>
      <c r="I98" s="753">
        <v>46038</v>
      </c>
      <c r="J98" s="753">
        <v>46038</v>
      </c>
      <c r="K98" s="753">
        <v>46038</v>
      </c>
      <c r="L98" s="753">
        <v>46038</v>
      </c>
      <c r="M98" s="960" t="s">
        <v>631</v>
      </c>
      <c r="N98" s="1026">
        <v>46038</v>
      </c>
      <c r="O98" s="751" t="s">
        <v>3285</v>
      </c>
      <c r="P98" s="751">
        <v>13</v>
      </c>
      <c r="Q98" s="871"/>
    </row>
    <row r="99" spans="1:17" s="1067" customFormat="1" ht="45" customHeight="1">
      <c r="A99" s="751">
        <f t="shared" si="2"/>
        <v>93</v>
      </c>
      <c r="B99" s="752" t="s">
        <v>3235</v>
      </c>
      <c r="C99" s="751" t="s">
        <v>1277</v>
      </c>
      <c r="D99" s="751" t="s">
        <v>1767</v>
      </c>
      <c r="E99" s="787"/>
      <c r="F99" s="753">
        <v>46030</v>
      </c>
      <c r="G99" s="753">
        <v>46036</v>
      </c>
      <c r="H99" s="753">
        <v>46038</v>
      </c>
      <c r="I99" s="753">
        <v>46038</v>
      </c>
      <c r="J99" s="753">
        <v>46038</v>
      </c>
      <c r="K99" s="753">
        <v>46040</v>
      </c>
      <c r="L99" s="753">
        <v>46040</v>
      </c>
      <c r="M99" s="960" t="s">
        <v>631</v>
      </c>
      <c r="N99" s="960"/>
      <c r="O99" s="751" t="s">
        <v>2898</v>
      </c>
      <c r="P99" s="751">
        <v>25</v>
      </c>
      <c r="Q99" s="871"/>
    </row>
    <row r="100" spans="1:17" s="1067" customFormat="1" ht="45" customHeight="1">
      <c r="A100" s="751">
        <f t="shared" si="2"/>
        <v>94</v>
      </c>
      <c r="B100" s="752" t="s">
        <v>2605</v>
      </c>
      <c r="C100" s="751" t="s">
        <v>3305</v>
      </c>
      <c r="D100" s="751" t="s">
        <v>1767</v>
      </c>
      <c r="E100" s="787"/>
      <c r="F100" s="753">
        <v>46030</v>
      </c>
      <c r="G100" s="753">
        <v>46034</v>
      </c>
      <c r="H100" s="753">
        <v>46036</v>
      </c>
      <c r="I100" s="753">
        <v>46036</v>
      </c>
      <c r="J100" s="753">
        <v>46036</v>
      </c>
      <c r="K100" s="753">
        <v>46038</v>
      </c>
      <c r="L100" s="753">
        <v>46038</v>
      </c>
      <c r="M100" s="960" t="s">
        <v>631</v>
      </c>
      <c r="N100" s="1026">
        <v>46056</v>
      </c>
      <c r="O100" s="751" t="s">
        <v>3191</v>
      </c>
      <c r="P100" s="751">
        <v>40</v>
      </c>
      <c r="Q100" s="871"/>
    </row>
    <row r="101" spans="1:17" s="1067" customFormat="1" ht="45" customHeight="1">
      <c r="A101" s="751">
        <f t="shared" si="2"/>
        <v>95</v>
      </c>
      <c r="B101" s="752" t="s">
        <v>3059</v>
      </c>
      <c r="C101" s="751" t="s">
        <v>1319</v>
      </c>
      <c r="D101" s="751" t="s">
        <v>1767</v>
      </c>
      <c r="E101" s="788"/>
      <c r="F101" s="753">
        <v>46030</v>
      </c>
      <c r="G101" s="753">
        <v>46038</v>
      </c>
      <c r="H101" s="753">
        <v>46039</v>
      </c>
      <c r="I101" s="753">
        <v>46039</v>
      </c>
      <c r="J101" s="753">
        <v>46040</v>
      </c>
      <c r="K101" s="753">
        <v>46042</v>
      </c>
      <c r="L101" s="753">
        <v>46042</v>
      </c>
      <c r="M101" s="960" t="s">
        <v>631</v>
      </c>
      <c r="N101" s="1026">
        <v>46042</v>
      </c>
      <c r="O101" s="751" t="s">
        <v>3191</v>
      </c>
      <c r="P101" s="751">
        <v>40</v>
      </c>
      <c r="Q101" s="871"/>
    </row>
    <row r="102" spans="1:17" s="1067" customFormat="1" ht="45" customHeight="1">
      <c r="A102" s="751">
        <f t="shared" si="2"/>
        <v>96</v>
      </c>
      <c r="B102" s="752" t="s">
        <v>3238</v>
      </c>
      <c r="C102" s="751" t="s">
        <v>1269</v>
      </c>
      <c r="D102" s="751" t="s">
        <v>1767</v>
      </c>
      <c r="E102" s="787"/>
      <c r="F102" s="753">
        <v>46031</v>
      </c>
      <c r="G102" s="753">
        <v>46035</v>
      </c>
      <c r="H102" s="753">
        <v>46036</v>
      </c>
      <c r="I102" s="753">
        <v>46036</v>
      </c>
      <c r="J102" s="753">
        <v>46036</v>
      </c>
      <c r="K102" s="753">
        <v>46039</v>
      </c>
      <c r="L102" s="753">
        <v>46039</v>
      </c>
      <c r="M102" s="960" t="s">
        <v>631</v>
      </c>
      <c r="N102" s="1026">
        <v>46042</v>
      </c>
      <c r="O102" s="751" t="s">
        <v>2898</v>
      </c>
      <c r="P102" s="751">
        <v>25</v>
      </c>
      <c r="Q102" s="871"/>
    </row>
    <row r="103" spans="1:17" s="1067" customFormat="1" ht="45" customHeight="1">
      <c r="A103" s="751">
        <f t="shared" si="2"/>
        <v>97</v>
      </c>
      <c r="B103" s="752" t="s">
        <v>3176</v>
      </c>
      <c r="C103" s="751" t="s">
        <v>1981</v>
      </c>
      <c r="D103" s="751" t="s">
        <v>2768</v>
      </c>
      <c r="E103" s="787"/>
      <c r="F103" s="753">
        <v>46033</v>
      </c>
      <c r="G103" s="753">
        <v>46038</v>
      </c>
      <c r="H103" s="753">
        <v>46039</v>
      </c>
      <c r="I103" s="753">
        <v>46039</v>
      </c>
      <c r="J103" s="753">
        <v>46041</v>
      </c>
      <c r="K103" s="753">
        <v>46042</v>
      </c>
      <c r="L103" s="753">
        <v>46042</v>
      </c>
      <c r="M103" s="960" t="s">
        <v>631</v>
      </c>
      <c r="N103" s="1026">
        <v>46042</v>
      </c>
      <c r="O103" s="751" t="s">
        <v>2879</v>
      </c>
      <c r="P103" s="751">
        <v>20</v>
      </c>
      <c r="Q103" s="871"/>
    </row>
    <row r="104" spans="1:17" s="106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60" t="s">
        <v>631</v>
      </c>
      <c r="N104" s="1026">
        <v>46047</v>
      </c>
      <c r="O104" s="751" t="s">
        <v>3311</v>
      </c>
      <c r="P104" s="751">
        <v>25</v>
      </c>
      <c r="Q104" s="871"/>
    </row>
    <row r="105" spans="1:17" s="1067" customFormat="1" ht="45" customHeight="1">
      <c r="A105" s="751">
        <f t="shared" si="2"/>
        <v>99</v>
      </c>
      <c r="B105" s="752" t="s">
        <v>3209</v>
      </c>
      <c r="C105" s="751" t="s">
        <v>53</v>
      </c>
      <c r="D105" s="751" t="s">
        <v>1767</v>
      </c>
      <c r="E105" s="787"/>
      <c r="F105" s="753">
        <v>46039</v>
      </c>
      <c r="G105" s="753">
        <v>46041</v>
      </c>
      <c r="H105" s="753">
        <v>46042</v>
      </c>
      <c r="I105" s="753">
        <v>46042</v>
      </c>
      <c r="J105" s="753">
        <v>46043</v>
      </c>
      <c r="K105" s="753">
        <v>46044</v>
      </c>
      <c r="L105" s="753">
        <v>46044</v>
      </c>
      <c r="M105" s="960" t="s">
        <v>631</v>
      </c>
      <c r="N105" s="1026">
        <v>46066</v>
      </c>
      <c r="O105" s="751" t="s">
        <v>2898</v>
      </c>
      <c r="P105" s="751">
        <v>25</v>
      </c>
      <c r="Q105" s="871"/>
    </row>
    <row r="106" spans="1:17" s="1067"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60" t="s">
        <v>631</v>
      </c>
      <c r="N106" s="960"/>
      <c r="O106" s="751" t="s">
        <v>3191</v>
      </c>
      <c r="P106" s="751">
        <v>40</v>
      </c>
      <c r="Q106" s="871"/>
    </row>
    <row r="107" spans="1:17" s="1067" customFormat="1" ht="45" customHeight="1">
      <c r="A107" s="751">
        <f t="shared" si="2"/>
        <v>101</v>
      </c>
      <c r="B107" s="752" t="s">
        <v>3177</v>
      </c>
      <c r="C107" s="751" t="s">
        <v>2221</v>
      </c>
      <c r="D107" s="751" t="s">
        <v>2768</v>
      </c>
      <c r="E107" s="787"/>
      <c r="F107" s="753">
        <v>46040</v>
      </c>
      <c r="G107" s="753">
        <v>46063</v>
      </c>
      <c r="H107" s="753">
        <v>46063</v>
      </c>
      <c r="I107" s="753">
        <v>46063</v>
      </c>
      <c r="J107" s="753">
        <v>46064</v>
      </c>
      <c r="K107" s="753">
        <v>46065</v>
      </c>
      <c r="L107" s="753">
        <v>46065</v>
      </c>
      <c r="M107" s="960" t="s">
        <v>631</v>
      </c>
      <c r="N107" s="1026">
        <v>46065</v>
      </c>
      <c r="O107" s="751" t="s">
        <v>2879</v>
      </c>
      <c r="P107" s="751">
        <v>20</v>
      </c>
      <c r="Q107" s="871"/>
    </row>
    <row r="108" spans="1:17" s="1067" customFormat="1" ht="45" customHeight="1">
      <c r="A108" s="751">
        <f t="shared" si="2"/>
        <v>102</v>
      </c>
      <c r="B108" s="752" t="s">
        <v>3002</v>
      </c>
      <c r="C108" s="751" t="s">
        <v>1992</v>
      </c>
      <c r="D108" s="751" t="s">
        <v>2768</v>
      </c>
      <c r="E108" s="787"/>
      <c r="F108" s="753">
        <v>46043</v>
      </c>
      <c r="G108" s="753">
        <v>46061</v>
      </c>
      <c r="H108" s="753">
        <v>46062</v>
      </c>
      <c r="I108" s="753">
        <v>46062</v>
      </c>
      <c r="J108" s="753">
        <v>46063</v>
      </c>
      <c r="K108" s="753">
        <v>46066</v>
      </c>
      <c r="L108" s="753">
        <v>46066</v>
      </c>
      <c r="M108" s="960" t="s">
        <v>631</v>
      </c>
      <c r="N108" s="1026">
        <v>46070</v>
      </c>
      <c r="O108" s="751" t="s">
        <v>2757</v>
      </c>
      <c r="P108" s="751">
        <v>20</v>
      </c>
      <c r="Q108" s="871"/>
    </row>
    <row r="109" spans="1:17" s="1067" customFormat="1" ht="45" customHeight="1">
      <c r="A109" s="1138">
        <f t="shared" si="2"/>
        <v>103</v>
      </c>
      <c r="B109" s="1139" t="s">
        <v>495</v>
      </c>
      <c r="C109" s="1142" t="s">
        <v>3369</v>
      </c>
      <c r="D109" s="1138" t="s">
        <v>1767</v>
      </c>
      <c r="E109" s="1140"/>
      <c r="F109" s="1141">
        <v>46040</v>
      </c>
      <c r="G109" s="1141">
        <v>46042</v>
      </c>
      <c r="H109" s="1141">
        <v>46042</v>
      </c>
      <c r="I109" s="1141">
        <v>46042</v>
      </c>
      <c r="J109" s="1141">
        <v>46042</v>
      </c>
      <c r="K109" s="1141">
        <v>46043</v>
      </c>
      <c r="L109" s="1141">
        <v>46043</v>
      </c>
      <c r="M109" s="1142" t="s">
        <v>631</v>
      </c>
      <c r="N109" s="1143">
        <v>46044</v>
      </c>
      <c r="O109" s="1138" t="s">
        <v>2863</v>
      </c>
      <c r="P109" s="1138">
        <v>16</v>
      </c>
      <c r="Q109" s="1144" t="s">
        <v>3365</v>
      </c>
    </row>
    <row r="110" spans="1:17" s="1067"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60" t="s">
        <v>631</v>
      </c>
      <c r="N110" s="1026">
        <v>46054</v>
      </c>
      <c r="O110" s="751" t="s">
        <v>3285</v>
      </c>
      <c r="P110" s="751">
        <v>13</v>
      </c>
      <c r="Q110" s="871"/>
    </row>
    <row r="111" spans="1:17" s="106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60" t="s">
        <v>631</v>
      </c>
      <c r="N111" s="1026">
        <v>46072</v>
      </c>
      <c r="O111" s="751" t="s">
        <v>3311</v>
      </c>
      <c r="P111" s="751">
        <v>25</v>
      </c>
      <c r="Q111" s="871"/>
    </row>
    <row r="112" spans="1:17" s="1067" customFormat="1" ht="45" customHeight="1">
      <c r="A112" s="751">
        <f t="shared" si="2"/>
        <v>106</v>
      </c>
      <c r="B112" s="752" t="s">
        <v>3060</v>
      </c>
      <c r="C112" s="751" t="s">
        <v>1269</v>
      </c>
      <c r="D112" s="751" t="s">
        <v>1767</v>
      </c>
      <c r="E112" s="787"/>
      <c r="F112" s="753">
        <v>46042</v>
      </c>
      <c r="G112" s="753">
        <v>46057</v>
      </c>
      <c r="H112" s="753">
        <v>46058</v>
      </c>
      <c r="I112" s="753">
        <v>46058</v>
      </c>
      <c r="J112" s="753">
        <v>46058</v>
      </c>
      <c r="K112" s="753">
        <v>46059</v>
      </c>
      <c r="L112" s="753">
        <v>46059</v>
      </c>
      <c r="M112" s="960" t="s">
        <v>631</v>
      </c>
      <c r="N112" s="960"/>
      <c r="O112" s="751" t="s">
        <v>3191</v>
      </c>
      <c r="P112" s="751">
        <v>40</v>
      </c>
      <c r="Q112" s="871"/>
    </row>
    <row r="113" spans="1:17" s="1067" customFormat="1" ht="45" customHeight="1">
      <c r="A113" s="751">
        <f t="shared" si="2"/>
        <v>107</v>
      </c>
      <c r="B113" s="752" t="s">
        <v>3207</v>
      </c>
      <c r="C113" s="751" t="s">
        <v>76</v>
      </c>
      <c r="D113" s="751" t="s">
        <v>1767</v>
      </c>
      <c r="E113" s="787"/>
      <c r="F113" s="753">
        <v>46042</v>
      </c>
      <c r="G113" s="753">
        <v>46051</v>
      </c>
      <c r="H113" s="753">
        <v>46051</v>
      </c>
      <c r="I113" s="753">
        <v>46051</v>
      </c>
      <c r="J113" s="753">
        <v>46052</v>
      </c>
      <c r="K113" s="753">
        <v>46052</v>
      </c>
      <c r="L113" s="753">
        <v>46052</v>
      </c>
      <c r="M113" s="960" t="s">
        <v>631</v>
      </c>
      <c r="N113" s="1026">
        <v>46052</v>
      </c>
      <c r="O113" s="751" t="s">
        <v>2898</v>
      </c>
      <c r="P113" s="751">
        <v>25</v>
      </c>
      <c r="Q113" s="871"/>
    </row>
    <row r="114" spans="1:17" s="1067"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60" t="s">
        <v>631</v>
      </c>
      <c r="N114" s="1026">
        <v>46055</v>
      </c>
      <c r="O114" s="751" t="s">
        <v>2872</v>
      </c>
      <c r="P114" s="751">
        <v>20</v>
      </c>
      <c r="Q114" s="871"/>
    </row>
    <row r="115" spans="1:17" s="1067" customFormat="1" ht="45" customHeight="1">
      <c r="A115" s="751">
        <f t="shared" si="2"/>
        <v>109</v>
      </c>
      <c r="B115" s="752" t="s">
        <v>2547</v>
      </c>
      <c r="C115" s="751" t="s">
        <v>62</v>
      </c>
      <c r="D115" s="751" t="s">
        <v>1767</v>
      </c>
      <c r="E115" s="787"/>
      <c r="F115" s="753">
        <v>46044</v>
      </c>
      <c r="G115" s="753">
        <v>46059</v>
      </c>
      <c r="H115" s="753">
        <v>46060</v>
      </c>
      <c r="I115" s="753">
        <v>46060</v>
      </c>
      <c r="J115" s="753">
        <v>46063</v>
      </c>
      <c r="K115" s="753">
        <v>46064</v>
      </c>
      <c r="L115" s="753">
        <v>46064</v>
      </c>
      <c r="M115" s="960" t="s">
        <v>631</v>
      </c>
      <c r="N115" s="1026">
        <v>46068</v>
      </c>
      <c r="O115" s="751" t="s">
        <v>3191</v>
      </c>
      <c r="P115" s="751">
        <v>40</v>
      </c>
      <c r="Q115" s="871"/>
    </row>
    <row r="116" spans="1:17" s="1067" customFormat="1" ht="45" customHeight="1">
      <c r="A116" s="751">
        <f t="shared" si="2"/>
        <v>110</v>
      </c>
      <c r="B116" s="752" t="s">
        <v>3208</v>
      </c>
      <c r="C116" s="751" t="s">
        <v>76</v>
      </c>
      <c r="D116" s="751" t="s">
        <v>1767</v>
      </c>
      <c r="E116" s="787"/>
      <c r="F116" s="753">
        <v>46045</v>
      </c>
      <c r="G116" s="753">
        <v>46052</v>
      </c>
      <c r="H116" s="753">
        <v>46053</v>
      </c>
      <c r="I116" s="753">
        <v>46053</v>
      </c>
      <c r="J116" s="753">
        <v>46053</v>
      </c>
      <c r="K116" s="753">
        <v>46053</v>
      </c>
      <c r="L116" s="753">
        <v>46053</v>
      </c>
      <c r="M116" s="960" t="s">
        <v>631</v>
      </c>
      <c r="N116" s="1026">
        <v>46058</v>
      </c>
      <c r="O116" s="751" t="s">
        <v>2898</v>
      </c>
      <c r="P116" s="751">
        <v>25</v>
      </c>
      <c r="Q116" s="871"/>
    </row>
    <row r="117" spans="1:17" s="1067"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60" t="s">
        <v>631</v>
      </c>
      <c r="N117" s="1026">
        <v>46060</v>
      </c>
      <c r="O117" s="751" t="s">
        <v>3311</v>
      </c>
      <c r="P117" s="751">
        <v>20</v>
      </c>
      <c r="Q117" s="871"/>
    </row>
    <row r="118" spans="1:17" s="1067" customFormat="1" ht="45" customHeight="1">
      <c r="A118" s="751">
        <f t="shared" si="2"/>
        <v>112</v>
      </c>
      <c r="B118" s="752" t="s">
        <v>3236</v>
      </c>
      <c r="C118" s="751" t="s">
        <v>1319</v>
      </c>
      <c r="D118" s="751" t="s">
        <v>1767</v>
      </c>
      <c r="E118" s="787"/>
      <c r="F118" s="753">
        <v>46053</v>
      </c>
      <c r="G118" s="753">
        <v>46059</v>
      </c>
      <c r="H118" s="753">
        <v>46060</v>
      </c>
      <c r="I118" s="753">
        <v>46060</v>
      </c>
      <c r="J118" s="753">
        <v>46062</v>
      </c>
      <c r="K118" s="753">
        <v>46062</v>
      </c>
      <c r="L118" s="753">
        <v>46062</v>
      </c>
      <c r="M118" s="960" t="s">
        <v>631</v>
      </c>
      <c r="N118" s="960"/>
      <c r="O118" s="751" t="s">
        <v>2898</v>
      </c>
      <c r="P118" s="751">
        <v>25</v>
      </c>
      <c r="Q118" s="871"/>
    </row>
    <row r="119" spans="1:17" s="1067"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60" t="s">
        <v>631</v>
      </c>
      <c r="N119" s="1026">
        <v>46060</v>
      </c>
      <c r="O119" s="751" t="s">
        <v>3285</v>
      </c>
      <c r="P119" s="751">
        <v>13</v>
      </c>
      <c r="Q119" s="871"/>
    </row>
    <row r="120" spans="1:17" s="1067" customFormat="1" ht="45" customHeight="1">
      <c r="A120" s="751">
        <f t="shared" si="2"/>
        <v>114</v>
      </c>
      <c r="B120" s="752" t="s">
        <v>2607</v>
      </c>
      <c r="C120" s="751" t="s">
        <v>76</v>
      </c>
      <c r="D120" s="751" t="s">
        <v>1767</v>
      </c>
      <c r="E120" s="787"/>
      <c r="F120" s="753">
        <v>46057</v>
      </c>
      <c r="G120" s="753">
        <v>45327</v>
      </c>
      <c r="H120" s="753">
        <v>46063</v>
      </c>
      <c r="I120" s="753">
        <v>46063</v>
      </c>
      <c r="J120" s="753">
        <v>46064</v>
      </c>
      <c r="K120" s="753">
        <v>46065</v>
      </c>
      <c r="L120" s="753">
        <v>46065</v>
      </c>
      <c r="M120" s="960" t="s">
        <v>631</v>
      </c>
      <c r="N120" s="1026">
        <v>46067</v>
      </c>
      <c r="O120" s="751" t="s">
        <v>3191</v>
      </c>
      <c r="P120" s="751">
        <v>40</v>
      </c>
      <c r="Q120" s="871"/>
    </row>
    <row r="121" spans="1:17" s="1067" customFormat="1" ht="45" customHeight="1">
      <c r="A121" s="1077">
        <f t="shared" si="2"/>
        <v>115</v>
      </c>
      <c r="B121" s="1078" t="s">
        <v>3237</v>
      </c>
      <c r="C121" s="1077" t="s">
        <v>1277</v>
      </c>
      <c r="D121" s="1077" t="s">
        <v>1767</v>
      </c>
      <c r="E121" s="966"/>
      <c r="F121" s="1079">
        <v>46058</v>
      </c>
      <c r="G121" s="1079">
        <v>46066</v>
      </c>
      <c r="H121" s="1079">
        <v>46066</v>
      </c>
      <c r="I121" s="1079">
        <v>46066</v>
      </c>
      <c r="J121" s="1079">
        <v>46067</v>
      </c>
      <c r="K121" s="1079">
        <v>46067</v>
      </c>
      <c r="L121" s="1079">
        <v>46067</v>
      </c>
      <c r="M121" s="1080" t="s">
        <v>631</v>
      </c>
      <c r="N121" s="1107">
        <v>46068</v>
      </c>
      <c r="O121" s="1077" t="s">
        <v>2898</v>
      </c>
      <c r="P121" s="1077">
        <v>25</v>
      </c>
      <c r="Q121" s="1081"/>
    </row>
    <row r="122" spans="1:17" s="1067" customFormat="1" ht="45" customHeight="1">
      <c r="A122" s="1077">
        <f t="shared" si="2"/>
        <v>116</v>
      </c>
      <c r="B122" s="1078" t="s">
        <v>529</v>
      </c>
      <c r="C122" s="1077" t="s">
        <v>76</v>
      </c>
      <c r="D122" s="1077" t="s">
        <v>3349</v>
      </c>
      <c r="E122" s="966"/>
      <c r="F122" s="1079">
        <v>46058</v>
      </c>
      <c r="G122" s="1079">
        <v>46073</v>
      </c>
      <c r="H122" s="1079">
        <v>46073</v>
      </c>
      <c r="I122" s="1079">
        <v>46073</v>
      </c>
      <c r="J122" s="1079">
        <v>46073</v>
      </c>
      <c r="K122" s="1079">
        <v>46074</v>
      </c>
      <c r="L122" s="1079">
        <v>46074</v>
      </c>
      <c r="M122" s="1080" t="s">
        <v>631</v>
      </c>
      <c r="N122" s="1107">
        <v>46073</v>
      </c>
      <c r="O122" s="1077" t="s">
        <v>2863</v>
      </c>
      <c r="P122" s="1077">
        <v>16</v>
      </c>
      <c r="Q122" s="1081"/>
    </row>
    <row r="123" spans="1:17" s="1067" customFormat="1" ht="45" customHeight="1">
      <c r="A123" s="751">
        <f t="shared" si="2"/>
        <v>117</v>
      </c>
      <c r="B123" s="752" t="s">
        <v>3204</v>
      </c>
      <c r="C123" s="751" t="s">
        <v>76</v>
      </c>
      <c r="D123" s="751" t="s">
        <v>1767</v>
      </c>
      <c r="E123" s="787"/>
      <c r="F123" s="753">
        <v>46059</v>
      </c>
      <c r="G123" s="753">
        <v>46063</v>
      </c>
      <c r="H123" s="753">
        <v>46064</v>
      </c>
      <c r="I123" s="753">
        <v>46064</v>
      </c>
      <c r="J123" s="753">
        <v>46066</v>
      </c>
      <c r="K123" s="753">
        <v>46066</v>
      </c>
      <c r="L123" s="753">
        <v>46066</v>
      </c>
      <c r="M123" s="960" t="s">
        <v>631</v>
      </c>
      <c r="N123" s="1026">
        <v>46067</v>
      </c>
      <c r="O123" s="751" t="s">
        <v>3191</v>
      </c>
      <c r="P123" s="751">
        <v>40</v>
      </c>
      <c r="Q123" s="871"/>
    </row>
    <row r="124" spans="1:17" s="1067" customFormat="1" ht="45" customHeight="1">
      <c r="A124" s="751">
        <f t="shared" si="2"/>
        <v>118</v>
      </c>
      <c r="B124" s="752" t="s">
        <v>3036</v>
      </c>
      <c r="C124" s="751" t="s">
        <v>1277</v>
      </c>
      <c r="D124" s="751" t="s">
        <v>1767</v>
      </c>
      <c r="E124" s="787"/>
      <c r="F124" s="753">
        <v>46059</v>
      </c>
      <c r="G124" s="753">
        <v>46067</v>
      </c>
      <c r="H124" s="753">
        <v>46067</v>
      </c>
      <c r="I124" s="753">
        <v>46067</v>
      </c>
      <c r="J124" s="753">
        <v>46068</v>
      </c>
      <c r="K124" s="753">
        <v>46072</v>
      </c>
      <c r="L124" s="753">
        <v>46072</v>
      </c>
      <c r="M124" s="960" t="s">
        <v>631</v>
      </c>
      <c r="N124" s="1026">
        <v>46072</v>
      </c>
      <c r="O124" s="751" t="s">
        <v>2872</v>
      </c>
      <c r="P124" s="751">
        <v>20</v>
      </c>
      <c r="Q124" s="871"/>
    </row>
    <row r="125" spans="1:17" s="1067" customFormat="1" ht="45" customHeight="1">
      <c r="A125" s="1077">
        <f t="shared" si="2"/>
        <v>119</v>
      </c>
      <c r="B125" s="1078" t="s">
        <v>2548</v>
      </c>
      <c r="C125" s="1077" t="s">
        <v>76</v>
      </c>
      <c r="D125" s="1077" t="s">
        <v>1767</v>
      </c>
      <c r="E125" s="966"/>
      <c r="F125" s="1079">
        <v>46062</v>
      </c>
      <c r="G125" s="1079">
        <v>46066</v>
      </c>
      <c r="H125" s="1079">
        <v>46066</v>
      </c>
      <c r="I125" s="1079">
        <v>46066</v>
      </c>
      <c r="J125" s="1079">
        <v>46067</v>
      </c>
      <c r="K125" s="1079">
        <v>46068</v>
      </c>
      <c r="L125" s="1079">
        <v>46068</v>
      </c>
      <c r="M125" s="1080" t="s">
        <v>631</v>
      </c>
      <c r="N125" s="1080"/>
      <c r="O125" s="1077" t="s">
        <v>3191</v>
      </c>
      <c r="P125" s="1077">
        <v>40</v>
      </c>
      <c r="Q125" s="1081"/>
    </row>
    <row r="126" spans="1:17" s="1067" customFormat="1" ht="45" customHeight="1">
      <c r="A126" s="1077">
        <f t="shared" si="2"/>
        <v>120</v>
      </c>
      <c r="B126" s="1078" t="s">
        <v>3213</v>
      </c>
      <c r="C126" s="1077" t="s">
        <v>76</v>
      </c>
      <c r="D126" s="1077" t="s">
        <v>1767</v>
      </c>
      <c r="E126" s="966"/>
      <c r="F126" s="1079">
        <v>46062</v>
      </c>
      <c r="G126" s="1079">
        <v>46066</v>
      </c>
      <c r="H126" s="1079">
        <v>46066</v>
      </c>
      <c r="I126" s="1079">
        <v>46067</v>
      </c>
      <c r="J126" s="1079">
        <v>46067</v>
      </c>
      <c r="K126" s="1079">
        <v>46068</v>
      </c>
      <c r="L126" s="1079">
        <v>46068</v>
      </c>
      <c r="M126" s="1080" t="s">
        <v>631</v>
      </c>
      <c r="N126" s="1107">
        <v>46068</v>
      </c>
      <c r="O126" s="1077" t="s">
        <v>2898</v>
      </c>
      <c r="P126" s="1077">
        <v>25</v>
      </c>
      <c r="Q126" s="1081"/>
    </row>
    <row r="127" spans="1:17" s="1067" customFormat="1" ht="45" customHeight="1">
      <c r="A127" s="1077">
        <f t="shared" si="2"/>
        <v>121</v>
      </c>
      <c r="B127" s="1078" t="s">
        <v>3067</v>
      </c>
      <c r="C127" s="1077" t="s">
        <v>1277</v>
      </c>
      <c r="D127" s="1077" t="s">
        <v>1767</v>
      </c>
      <c r="E127" s="966"/>
      <c r="F127" s="1079">
        <v>46062</v>
      </c>
      <c r="G127" s="1079">
        <v>46068</v>
      </c>
      <c r="H127" s="1079">
        <v>46069</v>
      </c>
      <c r="I127" s="1079">
        <v>46069</v>
      </c>
      <c r="J127" s="1079">
        <v>46070</v>
      </c>
      <c r="K127" s="1079">
        <v>46071</v>
      </c>
      <c r="L127" s="1079">
        <v>46071</v>
      </c>
      <c r="M127" s="1080" t="s">
        <v>631</v>
      </c>
      <c r="N127" s="1107">
        <v>46071</v>
      </c>
      <c r="O127" s="1077" t="s">
        <v>3285</v>
      </c>
      <c r="P127" s="1077">
        <v>13</v>
      </c>
      <c r="Q127" s="1081"/>
    </row>
    <row r="128" spans="1:17" s="1067" customFormat="1" ht="45" customHeight="1">
      <c r="A128" s="1077">
        <f t="shared" si="2"/>
        <v>122</v>
      </c>
      <c r="B128" s="1078" t="s">
        <v>2963</v>
      </c>
      <c r="C128" s="1077" t="s">
        <v>1361</v>
      </c>
      <c r="D128" s="1077" t="s">
        <v>3349</v>
      </c>
      <c r="E128" s="966"/>
      <c r="F128" s="1079">
        <v>46063</v>
      </c>
      <c r="G128" s="1079">
        <v>46067</v>
      </c>
      <c r="H128" s="1079">
        <v>46068</v>
      </c>
      <c r="I128" s="1079">
        <v>46068</v>
      </c>
      <c r="J128" s="1079">
        <v>46069</v>
      </c>
      <c r="K128" s="1079">
        <v>46071</v>
      </c>
      <c r="L128" s="1079">
        <v>46071</v>
      </c>
      <c r="M128" s="1080" t="s">
        <v>631</v>
      </c>
      <c r="N128" s="1107">
        <v>46072</v>
      </c>
      <c r="O128" s="1077" t="s">
        <v>3366</v>
      </c>
      <c r="P128" s="1077">
        <v>18</v>
      </c>
      <c r="Q128" s="1081"/>
    </row>
    <row r="129" spans="1:17" s="1067" customFormat="1" ht="45" customHeight="1">
      <c r="A129" s="751">
        <f t="shared" si="2"/>
        <v>123</v>
      </c>
      <c r="B129" s="752" t="s">
        <v>2549</v>
      </c>
      <c r="C129" s="751" t="s">
        <v>62</v>
      </c>
      <c r="D129" s="751" t="s">
        <v>1767</v>
      </c>
      <c r="E129" s="787"/>
      <c r="F129" s="753">
        <v>46065</v>
      </c>
      <c r="G129" s="753">
        <v>46068</v>
      </c>
      <c r="H129" s="753">
        <v>46069</v>
      </c>
      <c r="I129" s="753">
        <v>46069</v>
      </c>
      <c r="J129" s="753">
        <v>46069</v>
      </c>
      <c r="K129" s="753">
        <v>46073</v>
      </c>
      <c r="L129" s="753">
        <v>46073</v>
      </c>
      <c r="M129" s="960" t="s">
        <v>631</v>
      </c>
      <c r="N129" s="1026">
        <v>46073</v>
      </c>
      <c r="O129" s="751" t="s">
        <v>3372</v>
      </c>
      <c r="P129" s="751">
        <v>25</v>
      </c>
      <c r="Q129" s="871"/>
    </row>
    <row r="130" spans="1:17" s="1067" customFormat="1" ht="45" customHeight="1">
      <c r="A130" s="1077">
        <f t="shared" si="2"/>
        <v>124</v>
      </c>
      <c r="B130" s="1078" t="s">
        <v>2958</v>
      </c>
      <c r="C130" s="1077" t="s">
        <v>1269</v>
      </c>
      <c r="D130" s="1077" t="s">
        <v>3349</v>
      </c>
      <c r="E130" s="966"/>
      <c r="F130" s="1079">
        <v>46063</v>
      </c>
      <c r="G130" s="1079">
        <v>46072</v>
      </c>
      <c r="H130" s="1079">
        <v>46073</v>
      </c>
      <c r="I130" s="1079">
        <v>46073</v>
      </c>
      <c r="J130" s="1079">
        <v>46073</v>
      </c>
      <c r="K130" s="1079">
        <v>46074</v>
      </c>
      <c r="L130" s="1079">
        <v>46074</v>
      </c>
      <c r="M130" s="1080" t="s">
        <v>631</v>
      </c>
      <c r="N130" s="1107">
        <v>46072</v>
      </c>
      <c r="O130" s="1077" t="s">
        <v>3367</v>
      </c>
      <c r="P130" s="1077">
        <v>15</v>
      </c>
      <c r="Q130" s="1081"/>
    </row>
    <row r="131" spans="1:17" s="1067" customFormat="1" ht="45" customHeight="1">
      <c r="A131" s="1077">
        <f t="shared" si="2"/>
        <v>125</v>
      </c>
      <c r="B131" s="1078" t="s">
        <v>3000</v>
      </c>
      <c r="C131" s="1077" t="s">
        <v>1992</v>
      </c>
      <c r="D131" s="1077" t="s">
        <v>1767</v>
      </c>
      <c r="E131" s="966"/>
      <c r="F131" s="1079">
        <v>46065</v>
      </c>
      <c r="G131" s="1079">
        <v>46077</v>
      </c>
      <c r="H131" s="1079">
        <v>46078</v>
      </c>
      <c r="I131" s="1079">
        <v>46078</v>
      </c>
      <c r="J131" s="1079">
        <v>46080</v>
      </c>
      <c r="K131" s="1079">
        <v>46080</v>
      </c>
      <c r="L131" s="1079">
        <v>46080</v>
      </c>
      <c r="M131" s="1080" t="s">
        <v>631</v>
      </c>
      <c r="N131" s="1107">
        <v>46078</v>
      </c>
      <c r="O131" s="1077" t="s">
        <v>2757</v>
      </c>
      <c r="P131" s="1077">
        <v>20</v>
      </c>
      <c r="Q131" s="1081"/>
    </row>
    <row r="132" spans="1:17" s="1067" customFormat="1" ht="45" customHeight="1">
      <c r="A132" s="1077">
        <f t="shared" si="2"/>
        <v>126</v>
      </c>
      <c r="B132" s="1078" t="s">
        <v>3205</v>
      </c>
      <c r="C132" s="1077" t="s">
        <v>62</v>
      </c>
      <c r="D132" s="1077" t="s">
        <v>1767</v>
      </c>
      <c r="E132" s="966"/>
      <c r="F132" s="1079">
        <v>46066</v>
      </c>
      <c r="G132" s="1079">
        <v>46070</v>
      </c>
      <c r="H132" s="1079">
        <v>46070</v>
      </c>
      <c r="I132" s="1079">
        <v>46070</v>
      </c>
      <c r="J132" s="1079">
        <v>46070</v>
      </c>
      <c r="K132" s="1079">
        <v>46071</v>
      </c>
      <c r="L132" s="1079">
        <v>46071</v>
      </c>
      <c r="M132" s="1080" t="s">
        <v>631</v>
      </c>
      <c r="N132" s="1107">
        <v>46072</v>
      </c>
      <c r="O132" s="1077" t="s">
        <v>3373</v>
      </c>
      <c r="P132" s="1077">
        <v>20</v>
      </c>
      <c r="Q132" s="1081"/>
    </row>
    <row r="133" spans="1:17" s="1067" customFormat="1" ht="45" customHeight="1">
      <c r="A133" s="751">
        <f t="shared" si="2"/>
        <v>127</v>
      </c>
      <c r="B133" s="752" t="s">
        <v>2978</v>
      </c>
      <c r="C133" s="751" t="s">
        <v>2236</v>
      </c>
      <c r="D133" s="751" t="s">
        <v>1767</v>
      </c>
      <c r="E133" s="788"/>
      <c r="F133" s="753">
        <v>46068</v>
      </c>
      <c r="G133" s="753">
        <v>46076</v>
      </c>
      <c r="H133" s="753">
        <v>46077</v>
      </c>
      <c r="I133" s="753">
        <v>46077</v>
      </c>
      <c r="J133" s="753">
        <v>46077</v>
      </c>
      <c r="K133" s="753">
        <v>46078</v>
      </c>
      <c r="L133" s="753">
        <v>46078</v>
      </c>
      <c r="M133" s="960" t="s">
        <v>631</v>
      </c>
      <c r="N133" s="1026">
        <v>46079</v>
      </c>
      <c r="O133" s="751" t="s">
        <v>3371</v>
      </c>
      <c r="P133" s="751">
        <v>15</v>
      </c>
      <c r="Q133" s="871"/>
    </row>
    <row r="134" spans="1:17" s="1067" customFormat="1" ht="45" customHeight="1">
      <c r="A134" s="751">
        <f t="shared" si="2"/>
        <v>128</v>
      </c>
      <c r="B134" s="752" t="s">
        <v>458</v>
      </c>
      <c r="C134" s="751" t="s">
        <v>62</v>
      </c>
      <c r="D134" s="751" t="s">
        <v>1767</v>
      </c>
      <c r="E134" s="787"/>
      <c r="F134" s="753">
        <v>46067</v>
      </c>
      <c r="G134" s="753">
        <v>46068</v>
      </c>
      <c r="H134" s="753">
        <v>46068</v>
      </c>
      <c r="I134" s="753">
        <v>46068</v>
      </c>
      <c r="J134" s="753">
        <v>46069</v>
      </c>
      <c r="K134" s="753">
        <v>46070</v>
      </c>
      <c r="L134" s="753">
        <v>46070</v>
      </c>
      <c r="M134" s="960" t="s">
        <v>631</v>
      </c>
      <c r="N134" s="1026">
        <v>46070</v>
      </c>
      <c r="O134" s="751" t="s">
        <v>2863</v>
      </c>
      <c r="P134" s="751">
        <v>16</v>
      </c>
      <c r="Q134" s="871"/>
    </row>
    <row r="135" spans="1:17" s="1067" customFormat="1" ht="45" customHeight="1">
      <c r="A135" s="1077">
        <f t="shared" si="2"/>
        <v>129</v>
      </c>
      <c r="B135" s="1078" t="s">
        <v>3058</v>
      </c>
      <c r="C135" s="1077" t="s">
        <v>1361</v>
      </c>
      <c r="D135" s="1077" t="s">
        <v>1767</v>
      </c>
      <c r="E135" s="966"/>
      <c r="F135" s="1079">
        <v>46068</v>
      </c>
      <c r="G135" s="1079">
        <v>46078</v>
      </c>
      <c r="H135" s="1079">
        <v>46080</v>
      </c>
      <c r="I135" s="1079">
        <v>46080</v>
      </c>
      <c r="J135" s="1079">
        <v>46080</v>
      </c>
      <c r="K135" s="1079">
        <v>46080</v>
      </c>
      <c r="L135" s="1079">
        <v>46080</v>
      </c>
      <c r="M135" s="1080" t="s">
        <v>631</v>
      </c>
      <c r="N135" s="1107">
        <v>46081</v>
      </c>
      <c r="O135" s="1077" t="s">
        <v>3373</v>
      </c>
      <c r="P135" s="1077">
        <v>20</v>
      </c>
      <c r="Q135" s="1081"/>
    </row>
    <row r="136" spans="1:17" s="1067" customFormat="1" ht="45" customHeight="1">
      <c r="A136" s="751">
        <f t="shared" si="2"/>
        <v>130</v>
      </c>
      <c r="B136" s="752" t="s">
        <v>3053</v>
      </c>
      <c r="C136" s="960" t="s">
        <v>3374</v>
      </c>
      <c r="D136" s="751" t="s">
        <v>1767</v>
      </c>
      <c r="E136" s="787"/>
      <c r="F136" s="753">
        <v>46068</v>
      </c>
      <c r="G136" s="753">
        <v>46074</v>
      </c>
      <c r="H136" s="753">
        <v>46074</v>
      </c>
      <c r="I136" s="753">
        <v>46074</v>
      </c>
      <c r="J136" s="753">
        <v>46075</v>
      </c>
      <c r="K136" s="753">
        <v>46077</v>
      </c>
      <c r="L136" s="753">
        <v>46077</v>
      </c>
      <c r="M136" s="960" t="s">
        <v>631</v>
      </c>
      <c r="N136" s="1026">
        <v>46078</v>
      </c>
      <c r="O136" s="751" t="s">
        <v>2879</v>
      </c>
      <c r="P136" s="751">
        <v>20</v>
      </c>
      <c r="Q136" s="871"/>
    </row>
    <row r="137" spans="1:17" s="1067" customFormat="1" ht="59" customHeight="1">
      <c r="A137" s="655">
        <f t="shared" si="2"/>
        <v>131</v>
      </c>
      <c r="B137" s="656" t="s">
        <v>3065</v>
      </c>
      <c r="C137" s="816" t="s">
        <v>3377</v>
      </c>
      <c r="D137" s="655" t="s">
        <v>2768</v>
      </c>
      <c r="E137" s="788"/>
      <c r="F137" s="657">
        <v>46072</v>
      </c>
      <c r="G137" s="657">
        <v>46082</v>
      </c>
      <c r="H137" s="657">
        <v>46082</v>
      </c>
      <c r="I137" s="657"/>
      <c r="J137" s="657"/>
      <c r="K137" s="657"/>
      <c r="L137" s="657"/>
      <c r="M137" s="816" t="s">
        <v>22</v>
      </c>
      <c r="N137" s="816"/>
      <c r="O137" s="655" t="s">
        <v>3373</v>
      </c>
      <c r="P137" s="655">
        <v>20</v>
      </c>
      <c r="Q137" s="799" t="s">
        <v>3395</v>
      </c>
    </row>
    <row r="138" spans="1:17" s="1067" customFormat="1" ht="45" customHeight="1">
      <c r="A138" s="751">
        <f t="shared" si="2"/>
        <v>132</v>
      </c>
      <c r="B138" s="752" t="s">
        <v>3240</v>
      </c>
      <c r="C138" s="960" t="s">
        <v>2221</v>
      </c>
      <c r="D138" s="751" t="s">
        <v>2768</v>
      </c>
      <c r="E138" s="787"/>
      <c r="F138" s="753">
        <v>46072</v>
      </c>
      <c r="G138" s="753">
        <v>46079</v>
      </c>
      <c r="H138" s="753">
        <v>46080</v>
      </c>
      <c r="I138" s="753">
        <v>46080</v>
      </c>
      <c r="J138" s="753">
        <v>46081</v>
      </c>
      <c r="K138" s="753">
        <v>46081</v>
      </c>
      <c r="L138" s="753">
        <v>46081</v>
      </c>
      <c r="M138" s="960" t="s">
        <v>631</v>
      </c>
      <c r="N138" s="960"/>
      <c r="O138" s="751" t="s">
        <v>2898</v>
      </c>
      <c r="P138" s="751">
        <v>20</v>
      </c>
      <c r="Q138" s="871"/>
    </row>
    <row r="139" spans="1:17" s="1067" customFormat="1" ht="38" customHeight="1">
      <c r="A139" s="751">
        <f t="shared" si="2"/>
        <v>133</v>
      </c>
      <c r="B139" s="752" t="s">
        <v>3378</v>
      </c>
      <c r="C139" s="960" t="s">
        <v>76</v>
      </c>
      <c r="D139" s="751" t="s">
        <v>3348</v>
      </c>
      <c r="E139" s="787"/>
      <c r="F139" s="753">
        <v>46072</v>
      </c>
      <c r="G139" s="753">
        <v>46078</v>
      </c>
      <c r="H139" s="753">
        <v>46078</v>
      </c>
      <c r="I139" s="753">
        <v>46078</v>
      </c>
      <c r="J139" s="753">
        <v>46078</v>
      </c>
      <c r="K139" s="753">
        <v>46079</v>
      </c>
      <c r="L139" s="753">
        <v>46079</v>
      </c>
      <c r="M139" s="960" t="s">
        <v>631</v>
      </c>
      <c r="N139" s="960"/>
      <c r="O139" s="751" t="s">
        <v>3311</v>
      </c>
      <c r="P139" s="751">
        <v>15</v>
      </c>
      <c r="Q139" s="871"/>
    </row>
    <row r="140" spans="1:17" s="1067" customFormat="1" ht="45" customHeight="1">
      <c r="A140" s="751">
        <f t="shared" ref="A140:A144" si="3">A139+1</f>
        <v>134</v>
      </c>
      <c r="B140" s="752" t="s">
        <v>2960</v>
      </c>
      <c r="C140" s="960" t="s">
        <v>1269</v>
      </c>
      <c r="D140" s="751" t="s">
        <v>3348</v>
      </c>
      <c r="E140" s="787"/>
      <c r="F140" s="753">
        <v>46072</v>
      </c>
      <c r="G140" s="753">
        <v>46082</v>
      </c>
      <c r="H140" s="753">
        <v>46082</v>
      </c>
      <c r="I140" s="753">
        <v>46082</v>
      </c>
      <c r="J140" s="753">
        <v>46083</v>
      </c>
      <c r="K140" s="753">
        <v>46083</v>
      </c>
      <c r="L140" s="753">
        <v>46083</v>
      </c>
      <c r="M140" s="960" t="s">
        <v>631</v>
      </c>
      <c r="N140" s="960"/>
      <c r="O140" s="751" t="s">
        <v>3311</v>
      </c>
      <c r="P140" s="751">
        <v>15</v>
      </c>
      <c r="Q140" s="871"/>
    </row>
    <row r="141" spans="1:17" s="1067" customFormat="1" ht="45" customHeight="1">
      <c r="A141" s="751">
        <f t="shared" si="3"/>
        <v>135</v>
      </c>
      <c r="B141" s="752" t="s">
        <v>2585</v>
      </c>
      <c r="C141" s="960" t="s">
        <v>76</v>
      </c>
      <c r="D141" s="751" t="s">
        <v>3348</v>
      </c>
      <c r="E141" s="787"/>
      <c r="F141" s="753">
        <v>46074</v>
      </c>
      <c r="G141" s="753">
        <v>46079</v>
      </c>
      <c r="H141" s="753">
        <v>46080</v>
      </c>
      <c r="I141" s="753">
        <v>46080</v>
      </c>
      <c r="J141" s="753">
        <v>46081</v>
      </c>
      <c r="K141" s="753">
        <v>46081</v>
      </c>
      <c r="L141" s="753">
        <v>46081</v>
      </c>
      <c r="M141" s="960" t="s">
        <v>631</v>
      </c>
      <c r="N141" s="960"/>
      <c r="O141" s="751" t="s">
        <v>2921</v>
      </c>
      <c r="P141" s="751">
        <v>10</v>
      </c>
      <c r="Q141" s="871"/>
    </row>
    <row r="142" spans="1:17" s="1067" customFormat="1" ht="45" customHeight="1">
      <c r="A142" s="655">
        <f t="shared" si="3"/>
        <v>136</v>
      </c>
      <c r="B142" s="656" t="s">
        <v>3066</v>
      </c>
      <c r="C142" s="816" t="s">
        <v>1992</v>
      </c>
      <c r="D142" s="655" t="s">
        <v>2768</v>
      </c>
      <c r="E142" s="788"/>
      <c r="F142" s="657">
        <v>46074</v>
      </c>
      <c r="G142" s="657"/>
      <c r="H142" s="657"/>
      <c r="I142" s="657"/>
      <c r="J142" s="657"/>
      <c r="K142" s="657"/>
      <c r="L142" s="657"/>
      <c r="M142" s="816" t="s">
        <v>22</v>
      </c>
      <c r="N142" s="816"/>
      <c r="O142" s="655" t="s">
        <v>3285</v>
      </c>
      <c r="P142" s="655">
        <v>13</v>
      </c>
      <c r="Q142" s="799" t="s">
        <v>3396</v>
      </c>
    </row>
    <row r="143" spans="1:17" s="1067" customFormat="1" ht="45" customHeight="1">
      <c r="A143" s="751">
        <f t="shared" si="3"/>
        <v>137</v>
      </c>
      <c r="B143" s="752" t="s">
        <v>3042</v>
      </c>
      <c r="C143" s="960" t="s">
        <v>1269</v>
      </c>
      <c r="D143" s="751" t="s">
        <v>1767</v>
      </c>
      <c r="E143" s="787"/>
      <c r="F143" s="753">
        <v>46074</v>
      </c>
      <c r="G143" s="753">
        <v>46079</v>
      </c>
      <c r="H143" s="753">
        <v>46080</v>
      </c>
      <c r="I143" s="753">
        <v>46080</v>
      </c>
      <c r="J143" s="753">
        <v>46081</v>
      </c>
      <c r="K143" s="753">
        <v>46081</v>
      </c>
      <c r="L143" s="753">
        <v>46081</v>
      </c>
      <c r="M143" s="960" t="s">
        <v>631</v>
      </c>
      <c r="N143" s="960"/>
      <c r="O143" s="751" t="s">
        <v>2872</v>
      </c>
      <c r="P143" s="751">
        <v>18</v>
      </c>
      <c r="Q143" s="871"/>
    </row>
    <row r="144" spans="1:17" s="1067" customFormat="1" ht="45" customHeight="1">
      <c r="A144" s="751">
        <f t="shared" si="3"/>
        <v>138</v>
      </c>
      <c r="B144" s="752" t="s">
        <v>538</v>
      </c>
      <c r="C144" s="960" t="s">
        <v>249</v>
      </c>
      <c r="D144" s="751" t="s">
        <v>3348</v>
      </c>
      <c r="E144" s="787"/>
      <c r="F144" s="753">
        <v>46075</v>
      </c>
      <c r="G144" s="753">
        <v>46078</v>
      </c>
      <c r="H144" s="753">
        <v>46079</v>
      </c>
      <c r="I144" s="753">
        <v>46079</v>
      </c>
      <c r="J144" s="753">
        <v>46079</v>
      </c>
      <c r="K144" s="753">
        <v>46079</v>
      </c>
      <c r="L144" s="753">
        <v>46079</v>
      </c>
      <c r="M144" s="960" t="s">
        <v>631</v>
      </c>
      <c r="N144" s="1026">
        <v>46081</v>
      </c>
      <c r="O144" s="751" t="s">
        <v>2863</v>
      </c>
      <c r="P144" s="751">
        <v>16</v>
      </c>
      <c r="Q144" s="871"/>
    </row>
    <row r="145" spans="1:17" s="1067" customFormat="1" ht="45" customHeight="1">
      <c r="A145" s="655">
        <f t="shared" ref="A145:A152" si="4">A144+1</f>
        <v>139</v>
      </c>
      <c r="B145" s="656" t="s">
        <v>188</v>
      </c>
      <c r="C145" s="816" t="s">
        <v>76</v>
      </c>
      <c r="D145" s="655" t="s">
        <v>3348</v>
      </c>
      <c r="E145" s="788"/>
      <c r="F145" s="657">
        <v>46079</v>
      </c>
      <c r="G145" s="657"/>
      <c r="H145" s="657"/>
      <c r="I145" s="657"/>
      <c r="J145" s="657"/>
      <c r="K145" s="657"/>
      <c r="L145" s="657"/>
      <c r="M145" s="816" t="s">
        <v>22</v>
      </c>
      <c r="N145" s="816"/>
      <c r="O145" s="655" t="s">
        <v>3311</v>
      </c>
      <c r="P145" s="655">
        <v>15</v>
      </c>
      <c r="Q145" s="799" t="s">
        <v>2769</v>
      </c>
    </row>
    <row r="146" spans="1:17" s="1067" customFormat="1" ht="45" customHeight="1">
      <c r="A146" s="655">
        <f t="shared" si="4"/>
        <v>140</v>
      </c>
      <c r="B146" s="656" t="s">
        <v>2966</v>
      </c>
      <c r="C146" s="816" t="s">
        <v>1957</v>
      </c>
      <c r="D146" s="655" t="s">
        <v>3348</v>
      </c>
      <c r="E146" s="788"/>
      <c r="F146" s="657">
        <v>46079</v>
      </c>
      <c r="G146" s="657"/>
      <c r="H146" s="657"/>
      <c r="I146" s="657"/>
      <c r="J146" s="657"/>
      <c r="K146" s="657"/>
      <c r="L146" s="657"/>
      <c r="M146" s="816" t="s">
        <v>22</v>
      </c>
      <c r="N146" s="816"/>
      <c r="O146" s="655" t="s">
        <v>2863</v>
      </c>
      <c r="P146" s="655">
        <v>16</v>
      </c>
      <c r="Q146" s="799" t="s">
        <v>3383</v>
      </c>
    </row>
    <row r="147" spans="1:17" s="1067" customFormat="1" ht="45" customHeight="1">
      <c r="A147" s="655">
        <f t="shared" si="4"/>
        <v>141</v>
      </c>
      <c r="B147" s="656" t="s">
        <v>735</v>
      </c>
      <c r="C147" s="816" t="s">
        <v>53</v>
      </c>
      <c r="D147" s="655" t="s">
        <v>3348</v>
      </c>
      <c r="E147" s="788"/>
      <c r="F147" s="657">
        <v>46080</v>
      </c>
      <c r="G147" s="657"/>
      <c r="H147" s="657"/>
      <c r="I147" s="657"/>
      <c r="J147" s="657"/>
      <c r="K147" s="657"/>
      <c r="L147" s="657"/>
      <c r="M147" s="816" t="s">
        <v>22</v>
      </c>
      <c r="N147" s="816"/>
      <c r="O147" s="655" t="s">
        <v>3314</v>
      </c>
      <c r="P147" s="655"/>
      <c r="Q147" s="799" t="s">
        <v>2769</v>
      </c>
    </row>
    <row r="148" spans="1:17" s="1067" customFormat="1" ht="45" customHeight="1">
      <c r="A148" s="655">
        <f t="shared" si="4"/>
        <v>142</v>
      </c>
      <c r="B148" s="656" t="s">
        <v>3069</v>
      </c>
      <c r="C148" s="816" t="s">
        <v>1319</v>
      </c>
      <c r="D148" s="655" t="s">
        <v>1767</v>
      </c>
      <c r="E148" s="788"/>
      <c r="F148" s="657">
        <v>46081</v>
      </c>
      <c r="G148" s="657"/>
      <c r="H148" s="657"/>
      <c r="I148" s="657"/>
      <c r="J148" s="657"/>
      <c r="K148" s="657"/>
      <c r="L148" s="657"/>
      <c r="M148" s="816" t="s">
        <v>22</v>
      </c>
      <c r="N148" s="816"/>
      <c r="O148" s="655" t="s">
        <v>3191</v>
      </c>
      <c r="P148" s="655"/>
      <c r="Q148" s="799" t="s">
        <v>1416</v>
      </c>
    </row>
    <row r="149" spans="1:17" s="1067" customFormat="1" ht="45" customHeight="1">
      <c r="A149" s="655">
        <f t="shared" si="4"/>
        <v>143</v>
      </c>
      <c r="B149" s="656" t="s">
        <v>3029</v>
      </c>
      <c r="C149" s="816" t="s">
        <v>1992</v>
      </c>
      <c r="D149" s="655" t="s">
        <v>2768</v>
      </c>
      <c r="E149" s="788"/>
      <c r="F149" s="657">
        <v>46082</v>
      </c>
      <c r="G149" s="657"/>
      <c r="H149" s="657"/>
      <c r="I149" s="657"/>
      <c r="J149" s="657"/>
      <c r="K149" s="657"/>
      <c r="L149" s="657"/>
      <c r="M149" s="816" t="s">
        <v>22</v>
      </c>
      <c r="N149" s="816"/>
      <c r="O149" s="655" t="s">
        <v>2757</v>
      </c>
      <c r="P149" s="655">
        <v>20</v>
      </c>
      <c r="Q149" s="799" t="s">
        <v>3397</v>
      </c>
    </row>
    <row r="150" spans="1:17" s="1067" customFormat="1" ht="45" customHeight="1">
      <c r="A150" s="655">
        <f t="shared" si="4"/>
        <v>144</v>
      </c>
      <c r="B150" s="656" t="s">
        <v>3174</v>
      </c>
      <c r="C150" s="816" t="s">
        <v>3389</v>
      </c>
      <c r="D150" s="655" t="s">
        <v>2768</v>
      </c>
      <c r="E150" s="788"/>
      <c r="F150" s="657">
        <v>46082</v>
      </c>
      <c r="G150" s="657"/>
      <c r="H150" s="657"/>
      <c r="I150" s="657"/>
      <c r="J150" s="657"/>
      <c r="K150" s="657"/>
      <c r="L150" s="657"/>
      <c r="M150" s="816" t="s">
        <v>22</v>
      </c>
      <c r="N150" s="816"/>
      <c r="O150" s="655" t="s">
        <v>2879</v>
      </c>
      <c r="P150" s="655">
        <v>20</v>
      </c>
      <c r="Q150" s="799" t="s">
        <v>3390</v>
      </c>
    </row>
    <row r="151" spans="1:17" s="1067" customFormat="1" ht="45" customHeight="1">
      <c r="A151" s="655">
        <f t="shared" si="4"/>
        <v>145</v>
      </c>
      <c r="B151" s="656" t="s">
        <v>3062</v>
      </c>
      <c r="C151" s="816" t="s">
        <v>1269</v>
      </c>
      <c r="D151" s="655" t="s">
        <v>2768</v>
      </c>
      <c r="E151" s="788"/>
      <c r="F151" s="657">
        <v>46082</v>
      </c>
      <c r="G151" s="657"/>
      <c r="H151" s="657"/>
      <c r="I151" s="657"/>
      <c r="J151" s="657"/>
      <c r="K151" s="657"/>
      <c r="L151" s="657"/>
      <c r="M151" s="816" t="s">
        <v>22</v>
      </c>
      <c r="N151" s="816"/>
      <c r="O151" s="655" t="s">
        <v>2921</v>
      </c>
      <c r="P151" s="655">
        <v>10</v>
      </c>
      <c r="Q151" s="799" t="s">
        <v>3391</v>
      </c>
    </row>
    <row r="152" spans="1:17" s="1067" customFormat="1" ht="45" customHeight="1">
      <c r="A152" s="655">
        <f t="shared" si="4"/>
        <v>146</v>
      </c>
      <c r="B152" s="656" t="s">
        <v>3057</v>
      </c>
      <c r="C152" s="816" t="s">
        <v>1361</v>
      </c>
      <c r="D152" s="655" t="s">
        <v>1767</v>
      </c>
      <c r="E152" s="788"/>
      <c r="F152" s="657">
        <v>46083</v>
      </c>
      <c r="G152" s="657"/>
      <c r="H152" s="657"/>
      <c r="I152" s="657"/>
      <c r="J152" s="657"/>
      <c r="K152" s="657"/>
      <c r="L152" s="657"/>
      <c r="M152" s="816" t="s">
        <v>22</v>
      </c>
      <c r="N152" s="816"/>
      <c r="O152" s="655" t="s">
        <v>3191</v>
      </c>
      <c r="P152" s="655">
        <v>20</v>
      </c>
      <c r="Q152" s="799" t="s">
        <v>3383</v>
      </c>
    </row>
  </sheetData>
  <autoFilter ref="A5:Q151"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6" priority="1"/>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7"/>
  <sheetViews>
    <sheetView workbookViewId="0">
      <selection activeCell="F4" sqref="F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2889</v>
      </c>
      <c r="E2" s="10" t="s">
        <v>631</v>
      </c>
      <c r="F2" s="10" t="s">
        <v>22</v>
      </c>
      <c r="G2" s="10" t="s">
        <v>593</v>
      </c>
    </row>
    <row r="3" spans="2:7">
      <c r="B3" s="33">
        <v>1</v>
      </c>
      <c r="C3" s="965" t="s">
        <v>2890</v>
      </c>
      <c r="D3" s="33">
        <v>82</v>
      </c>
      <c r="E3" s="33">
        <v>67</v>
      </c>
      <c r="F3" s="33">
        <v>7</v>
      </c>
      <c r="G3" s="33">
        <f>D3-E3-F3</f>
        <v>8</v>
      </c>
    </row>
    <row r="4" spans="2:7">
      <c r="B4" s="33">
        <f>B3+1</f>
        <v>2</v>
      </c>
      <c r="C4" s="965" t="s">
        <v>2891</v>
      </c>
      <c r="D4" s="33">
        <v>154</v>
      </c>
      <c r="E4" s="33">
        <v>136</v>
      </c>
      <c r="F4" s="33">
        <v>10</v>
      </c>
      <c r="G4" s="33">
        <f>D4-E4-F4</f>
        <v>8</v>
      </c>
    </row>
    <row r="5" spans="2:7">
      <c r="B5" s="33">
        <f>B4+1</f>
        <v>3</v>
      </c>
      <c r="C5" s="965" t="s">
        <v>2892</v>
      </c>
      <c r="D5" s="33">
        <f>37+3</f>
        <v>40</v>
      </c>
      <c r="E5" s="33">
        <v>37</v>
      </c>
      <c r="F5" s="33">
        <v>3</v>
      </c>
      <c r="G5" s="33">
        <f>D5-E5-F5</f>
        <v>0</v>
      </c>
    </row>
    <row r="6" spans="2:7">
      <c r="B6" s="33">
        <f>B5+1</f>
        <v>4</v>
      </c>
      <c r="C6" s="965" t="s">
        <v>2729</v>
      </c>
      <c r="D6" s="33"/>
      <c r="E6" s="33"/>
      <c r="F6" s="33"/>
      <c r="G6" s="33">
        <f>D6-E6-F6</f>
        <v>0</v>
      </c>
    </row>
    <row r="7" spans="2:7">
      <c r="B7" s="1405" t="s">
        <v>994</v>
      </c>
      <c r="C7" s="1405"/>
      <c r="D7" s="1025">
        <f>SUM(D3:D6)</f>
        <v>276</v>
      </c>
      <c r="E7" s="1025">
        <f>SUM(E3:E6)</f>
        <v>240</v>
      </c>
      <c r="F7" s="1025">
        <f>SUM(F3:F6)</f>
        <v>20</v>
      </c>
      <c r="G7" s="1025">
        <f>SUM(G3:G6)</f>
        <v>16</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P46"/>
  <sheetViews>
    <sheetView workbookViewId="0">
      <pane ySplit="6" topLeftCell="A7" activePane="bottomLeft" state="frozen"/>
      <selection activeCell="F42" sqref="F42"/>
      <selection pane="bottomLeft" activeCell="M28" sqref="M2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46083</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91" t="s">
        <v>1786</v>
      </c>
      <c r="B5" s="1391" t="s">
        <v>998</v>
      </c>
      <c r="C5" s="1391" t="s">
        <v>44</v>
      </c>
      <c r="D5" s="1391" t="s">
        <v>45</v>
      </c>
      <c r="E5" s="1391" t="s">
        <v>1441</v>
      </c>
      <c r="F5" s="1393" t="s">
        <v>28</v>
      </c>
      <c r="G5" s="1394"/>
      <c r="H5" s="1394"/>
      <c r="I5" s="1394"/>
      <c r="J5" s="1395"/>
      <c r="K5" s="1396" t="s">
        <v>2420</v>
      </c>
      <c r="L5" s="1391" t="s">
        <v>627</v>
      </c>
      <c r="M5" s="1391" t="s">
        <v>609</v>
      </c>
      <c r="N5" s="659" t="s">
        <v>1764</v>
      </c>
      <c r="O5" s="660" t="s">
        <v>1765</v>
      </c>
      <c r="P5" s="660" t="s">
        <v>1766</v>
      </c>
    </row>
    <row r="6" spans="1:16" s="661" customFormat="1" ht="17.5" customHeight="1">
      <c r="A6" s="1392"/>
      <c r="B6" s="1392"/>
      <c r="C6" s="1392"/>
      <c r="D6" s="1392"/>
      <c r="E6" s="1392"/>
      <c r="F6" s="659" t="s">
        <v>1416</v>
      </c>
      <c r="G6" s="659" t="s">
        <v>2418</v>
      </c>
      <c r="H6" s="659" t="s">
        <v>2392</v>
      </c>
      <c r="I6" s="659" t="s">
        <v>2419</v>
      </c>
      <c r="J6" s="659" t="s">
        <v>2410</v>
      </c>
      <c r="K6" s="1397"/>
      <c r="L6" s="1392"/>
      <c r="M6" s="1392"/>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0" t="s">
        <v>631</v>
      </c>
      <c r="M7" s="1026">
        <v>45970</v>
      </c>
      <c r="N7" s="751" t="s">
        <v>3141</v>
      </c>
      <c r="O7" s="751">
        <v>8</v>
      </c>
      <c r="P7" s="871"/>
    </row>
    <row r="8" spans="1:16" s="658" customFormat="1" ht="29.5" customHeight="1">
      <c r="A8" s="751">
        <v>2</v>
      </c>
      <c r="B8" s="752" t="s">
        <v>2886</v>
      </c>
      <c r="C8" s="751" t="s">
        <v>1319</v>
      </c>
      <c r="D8" s="751" t="s">
        <v>92</v>
      </c>
      <c r="E8" s="753">
        <v>45954</v>
      </c>
      <c r="F8" s="753">
        <v>45967</v>
      </c>
      <c r="G8" s="753">
        <v>45968</v>
      </c>
      <c r="H8" s="753">
        <v>45970</v>
      </c>
      <c r="I8" s="753">
        <v>45970</v>
      </c>
      <c r="J8" s="753">
        <v>45971</v>
      </c>
      <c r="K8" s="753">
        <v>45971</v>
      </c>
      <c r="L8" s="960" t="s">
        <v>631</v>
      </c>
      <c r="M8" s="1026">
        <v>45972</v>
      </c>
      <c r="N8" s="751" t="s">
        <v>3141</v>
      </c>
      <c r="O8" s="751">
        <v>13</v>
      </c>
      <c r="P8" s="871"/>
    </row>
    <row r="9" spans="1:16" s="658" customFormat="1" ht="29.5" customHeight="1">
      <c r="A9" s="751">
        <v>3</v>
      </c>
      <c r="B9" s="752" t="s">
        <v>2874</v>
      </c>
      <c r="C9" s="751" t="s">
        <v>1269</v>
      </c>
      <c r="D9" s="751" t="s">
        <v>92</v>
      </c>
      <c r="E9" s="753">
        <v>45944</v>
      </c>
      <c r="F9" s="753">
        <v>45953</v>
      </c>
      <c r="G9" s="753">
        <v>45960</v>
      </c>
      <c r="H9" s="753">
        <v>45960</v>
      </c>
      <c r="I9" s="753">
        <v>45961</v>
      </c>
      <c r="J9" s="753">
        <v>45961</v>
      </c>
      <c r="K9" s="753">
        <v>45961</v>
      </c>
      <c r="L9" s="960" t="s">
        <v>631</v>
      </c>
      <c r="M9" s="1026">
        <v>45981</v>
      </c>
      <c r="N9" s="751" t="s">
        <v>2875</v>
      </c>
      <c r="O9" s="751">
        <v>8</v>
      </c>
      <c r="P9" s="871"/>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0" t="s">
        <v>631</v>
      </c>
      <c r="M10" s="1026">
        <v>45975</v>
      </c>
      <c r="N10" s="751" t="s">
        <v>2885</v>
      </c>
      <c r="O10" s="751">
        <v>9</v>
      </c>
      <c r="P10" s="871"/>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0" t="s">
        <v>631</v>
      </c>
      <c r="M11" s="1026">
        <v>45995</v>
      </c>
      <c r="N11" s="1389" t="s">
        <v>2885</v>
      </c>
      <c r="O11" s="1389">
        <v>10</v>
      </c>
      <c r="P11" s="871"/>
    </row>
    <row r="12" spans="1:16" s="658" customFormat="1" ht="29.5" customHeight="1">
      <c r="A12" s="751">
        <v>6</v>
      </c>
      <c r="B12" s="752" t="s">
        <v>1124</v>
      </c>
      <c r="C12" s="751" t="s">
        <v>1269</v>
      </c>
      <c r="D12" s="751" t="s">
        <v>92</v>
      </c>
      <c r="E12" s="753">
        <v>45975</v>
      </c>
      <c r="F12" s="753">
        <v>45979</v>
      </c>
      <c r="G12" s="753">
        <v>45981</v>
      </c>
      <c r="H12" s="753">
        <v>45982</v>
      </c>
      <c r="I12" s="753" t="s">
        <v>3162</v>
      </c>
      <c r="J12" s="753">
        <v>45983</v>
      </c>
      <c r="K12" s="753">
        <v>45983</v>
      </c>
      <c r="L12" s="960" t="s">
        <v>631</v>
      </c>
      <c r="M12" s="1026">
        <v>45995</v>
      </c>
      <c r="N12" s="1390"/>
      <c r="O12" s="1390"/>
      <c r="P12" s="871"/>
    </row>
    <row r="13" spans="1:16" s="658" customFormat="1" ht="29.5" customHeight="1">
      <c r="A13" s="751">
        <v>7</v>
      </c>
      <c r="B13" s="752" t="s">
        <v>2893</v>
      </c>
      <c r="C13" s="751" t="s">
        <v>2690</v>
      </c>
      <c r="D13" s="751" t="s">
        <v>92</v>
      </c>
      <c r="E13" s="753">
        <v>45958</v>
      </c>
      <c r="F13" s="753">
        <v>45965</v>
      </c>
      <c r="G13" s="753">
        <v>45988</v>
      </c>
      <c r="H13" s="753">
        <v>45989</v>
      </c>
      <c r="I13" s="753">
        <v>45990</v>
      </c>
      <c r="J13" s="753">
        <v>45990</v>
      </c>
      <c r="K13" s="753">
        <v>45990</v>
      </c>
      <c r="L13" s="960" t="s">
        <v>631</v>
      </c>
      <c r="M13" s="1026">
        <v>45995</v>
      </c>
      <c r="N13" s="751" t="s">
        <v>2894</v>
      </c>
      <c r="O13" s="751">
        <v>10</v>
      </c>
      <c r="P13" s="871"/>
    </row>
    <row r="14" spans="1:16" s="658" customFormat="1" ht="29.5" customHeight="1">
      <c r="A14" s="751">
        <v>8</v>
      </c>
      <c r="B14" s="752" t="s">
        <v>2412</v>
      </c>
      <c r="C14" s="751" t="s">
        <v>1277</v>
      </c>
      <c r="D14" s="751" t="s">
        <v>92</v>
      </c>
      <c r="E14" s="753">
        <v>45963</v>
      </c>
      <c r="F14" s="753">
        <v>45979</v>
      </c>
      <c r="G14" s="753">
        <v>45981</v>
      </c>
      <c r="H14" s="753">
        <v>45982</v>
      </c>
      <c r="I14" s="753" t="s">
        <v>3162</v>
      </c>
      <c r="J14" s="753">
        <v>45983</v>
      </c>
      <c r="K14" s="753">
        <v>45983</v>
      </c>
      <c r="L14" s="960" t="s">
        <v>631</v>
      </c>
      <c r="M14" s="1026">
        <v>45994</v>
      </c>
      <c r="N14" s="751" t="s">
        <v>2875</v>
      </c>
      <c r="O14" s="751">
        <v>12</v>
      </c>
      <c r="P14" s="871"/>
    </row>
    <row r="15" spans="1:16" s="658" customFormat="1" ht="29.5" customHeight="1">
      <c r="A15" s="751">
        <v>9</v>
      </c>
      <c r="B15" s="752" t="s">
        <v>2978</v>
      </c>
      <c r="C15" s="751" t="s">
        <v>2236</v>
      </c>
      <c r="D15" s="751" t="s">
        <v>92</v>
      </c>
      <c r="E15" s="753">
        <v>45971</v>
      </c>
      <c r="F15" s="753">
        <v>45988</v>
      </c>
      <c r="G15" s="753">
        <v>45988</v>
      </c>
      <c r="H15" s="753">
        <v>45988</v>
      </c>
      <c r="I15" s="753">
        <v>45988</v>
      </c>
      <c r="J15" s="753">
        <v>45988</v>
      </c>
      <c r="K15" s="753">
        <v>45988</v>
      </c>
      <c r="L15" s="960" t="s">
        <v>631</v>
      </c>
      <c r="M15" s="1026">
        <v>45999</v>
      </c>
      <c r="N15" s="751" t="s">
        <v>3141</v>
      </c>
      <c r="O15" s="751">
        <v>13</v>
      </c>
      <c r="P15" s="871"/>
    </row>
    <row r="16" spans="1:16" s="658" customFormat="1" ht="29.5" customHeight="1">
      <c r="A16" s="751">
        <v>10</v>
      </c>
      <c r="B16" s="752" t="s">
        <v>3102</v>
      </c>
      <c r="C16" s="751" t="s">
        <v>1938</v>
      </c>
      <c r="D16" s="751" t="s">
        <v>92</v>
      </c>
      <c r="E16" s="753">
        <v>45975</v>
      </c>
      <c r="F16" s="753">
        <v>45979</v>
      </c>
      <c r="G16" s="753">
        <v>45989</v>
      </c>
      <c r="H16" s="753">
        <v>45989</v>
      </c>
      <c r="I16" s="753">
        <v>45990</v>
      </c>
      <c r="J16" s="753">
        <v>45990</v>
      </c>
      <c r="K16" s="753">
        <v>45990</v>
      </c>
      <c r="L16" s="960" t="s">
        <v>631</v>
      </c>
      <c r="M16" s="1026">
        <v>45994</v>
      </c>
      <c r="N16" s="751" t="s">
        <v>3154</v>
      </c>
      <c r="O16" s="751">
        <v>10</v>
      </c>
      <c r="P16" s="871"/>
    </row>
    <row r="17" spans="1:16" s="658" customFormat="1" ht="29.5" customHeight="1">
      <c r="A17" s="751">
        <f t="shared" ref="A17:A22" si="0">A16+1</f>
        <v>11</v>
      </c>
      <c r="B17" s="752" t="s">
        <v>3097</v>
      </c>
      <c r="C17" s="751" t="s">
        <v>3165</v>
      </c>
      <c r="D17" s="751" t="s">
        <v>1767</v>
      </c>
      <c r="E17" s="753">
        <v>45984</v>
      </c>
      <c r="F17" s="753">
        <v>45997</v>
      </c>
      <c r="G17" s="753">
        <v>45997</v>
      </c>
      <c r="H17" s="753">
        <v>45997</v>
      </c>
      <c r="I17" s="753">
        <v>45998</v>
      </c>
      <c r="J17" s="753">
        <v>45999</v>
      </c>
      <c r="K17" s="753">
        <v>45999</v>
      </c>
      <c r="L17" s="960" t="s">
        <v>631</v>
      </c>
      <c r="M17" s="1137">
        <v>46024</v>
      </c>
      <c r="N17" s="751" t="s">
        <v>2885</v>
      </c>
      <c r="O17" s="751">
        <v>10</v>
      </c>
      <c r="P17" s="871"/>
    </row>
    <row r="18" spans="1:16" s="658" customFormat="1" ht="30" customHeight="1">
      <c r="A18" s="751">
        <f t="shared" si="0"/>
        <v>12</v>
      </c>
      <c r="B18" s="752" t="s">
        <v>3101</v>
      </c>
      <c r="C18" s="751" t="s">
        <v>2690</v>
      </c>
      <c r="D18" s="751" t="s">
        <v>1767</v>
      </c>
      <c r="E18" s="753">
        <v>45987</v>
      </c>
      <c r="F18" s="753">
        <v>46008</v>
      </c>
      <c r="G18" s="753">
        <v>46009</v>
      </c>
      <c r="H18" s="753">
        <v>46009</v>
      </c>
      <c r="I18" s="753">
        <v>46009</v>
      </c>
      <c r="J18" s="753">
        <v>46010</v>
      </c>
      <c r="K18" s="753">
        <v>46010</v>
      </c>
      <c r="L18" s="960" t="s">
        <v>631</v>
      </c>
      <c r="M18" s="1026">
        <v>46012</v>
      </c>
      <c r="N18" s="751" t="s">
        <v>3154</v>
      </c>
      <c r="O18" s="751">
        <v>10</v>
      </c>
      <c r="P18" s="871"/>
    </row>
    <row r="19" spans="1:16" s="658" customFormat="1" ht="36.5" customHeight="1">
      <c r="A19" s="751">
        <f t="shared" si="0"/>
        <v>13</v>
      </c>
      <c r="B19" s="752" t="s">
        <v>2981</v>
      </c>
      <c r="C19" s="751" t="s">
        <v>1999</v>
      </c>
      <c r="D19" s="751" t="s">
        <v>92</v>
      </c>
      <c r="E19" s="753">
        <v>45989</v>
      </c>
      <c r="F19" s="753">
        <v>46009</v>
      </c>
      <c r="G19" s="753">
        <v>46010</v>
      </c>
      <c r="H19" s="753">
        <v>46011</v>
      </c>
      <c r="I19" s="753">
        <v>46012</v>
      </c>
      <c r="J19" s="753">
        <v>46012</v>
      </c>
      <c r="K19" s="753">
        <v>46012</v>
      </c>
      <c r="L19" s="960" t="s">
        <v>631</v>
      </c>
      <c r="M19" s="1026">
        <v>46014</v>
      </c>
      <c r="N19" s="751" t="s">
        <v>3141</v>
      </c>
      <c r="O19" s="751">
        <v>13</v>
      </c>
      <c r="P19" s="871"/>
    </row>
    <row r="20" spans="1:16" s="658" customFormat="1" ht="30" customHeight="1">
      <c r="A20" s="751">
        <f t="shared" si="0"/>
        <v>14</v>
      </c>
      <c r="B20" s="752" t="s">
        <v>3026</v>
      </c>
      <c r="C20" s="751" t="s">
        <v>1319</v>
      </c>
      <c r="D20" s="751" t="s">
        <v>92</v>
      </c>
      <c r="E20" s="753">
        <v>45993</v>
      </c>
      <c r="F20" s="753">
        <v>46000</v>
      </c>
      <c r="G20" s="753">
        <v>46006</v>
      </c>
      <c r="H20" s="753">
        <v>46006</v>
      </c>
      <c r="I20" s="753">
        <v>46007</v>
      </c>
      <c r="J20" s="753">
        <v>46008</v>
      </c>
      <c r="K20" s="753">
        <v>46008</v>
      </c>
      <c r="L20" s="960" t="s">
        <v>631</v>
      </c>
      <c r="M20" s="1026">
        <v>46009</v>
      </c>
      <c r="N20" s="751" t="s">
        <v>2875</v>
      </c>
      <c r="O20" s="751">
        <v>12</v>
      </c>
      <c r="P20" s="871"/>
    </row>
    <row r="21" spans="1:16" s="658" customFormat="1" ht="36.5" customHeight="1">
      <c r="A21" s="751">
        <f t="shared" si="0"/>
        <v>15</v>
      </c>
      <c r="B21" s="752" t="s">
        <v>3008</v>
      </c>
      <c r="C21" s="751" t="s">
        <v>2690</v>
      </c>
      <c r="D21" s="751" t="s">
        <v>92</v>
      </c>
      <c r="E21" s="753">
        <v>45994</v>
      </c>
      <c r="F21" s="753">
        <v>46009</v>
      </c>
      <c r="G21" s="753">
        <v>46009</v>
      </c>
      <c r="H21" s="753">
        <v>46009</v>
      </c>
      <c r="I21" s="753">
        <v>46012</v>
      </c>
      <c r="J21" s="753">
        <v>46012</v>
      </c>
      <c r="K21" s="753">
        <v>46012</v>
      </c>
      <c r="L21" s="960" t="s">
        <v>631</v>
      </c>
      <c r="M21" s="1026">
        <v>46017</v>
      </c>
      <c r="N21" s="751" t="s">
        <v>2894</v>
      </c>
      <c r="O21" s="751">
        <v>10</v>
      </c>
      <c r="P21" s="871"/>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0" t="s">
        <v>631</v>
      </c>
      <c r="M22" s="1137">
        <v>46025</v>
      </c>
      <c r="N22" s="751" t="s">
        <v>2885</v>
      </c>
      <c r="O22" s="751">
        <v>10</v>
      </c>
      <c r="P22" s="871"/>
    </row>
    <row r="23" spans="1:16" s="1067" customFormat="1" ht="27.5" customHeight="1">
      <c r="A23" s="751">
        <f t="shared" ref="A23:A36" si="1">A22+1</f>
        <v>17</v>
      </c>
      <c r="B23" s="752" t="s">
        <v>3112</v>
      </c>
      <c r="C23" s="751" t="s">
        <v>2690</v>
      </c>
      <c r="D23" s="751" t="s">
        <v>92</v>
      </c>
      <c r="E23" s="753">
        <v>46012</v>
      </c>
      <c r="F23" s="753">
        <v>46019</v>
      </c>
      <c r="G23" s="753">
        <v>46021</v>
      </c>
      <c r="H23" s="753">
        <v>46022</v>
      </c>
      <c r="I23" s="753">
        <v>46022</v>
      </c>
      <c r="J23" s="753">
        <v>46022</v>
      </c>
      <c r="K23" s="753">
        <v>46022</v>
      </c>
      <c r="L23" s="960" t="s">
        <v>631</v>
      </c>
      <c r="M23" s="1026">
        <v>46024</v>
      </c>
      <c r="N23" s="751" t="s">
        <v>3154</v>
      </c>
      <c r="O23" s="751">
        <v>10</v>
      </c>
      <c r="P23" s="871"/>
    </row>
    <row r="24" spans="1:16" s="1067" customFormat="1" ht="30" customHeight="1">
      <c r="A24" s="751">
        <f t="shared" si="1"/>
        <v>18</v>
      </c>
      <c r="B24" s="752" t="s">
        <v>3100</v>
      </c>
      <c r="C24" s="751" t="s">
        <v>1981</v>
      </c>
      <c r="D24" s="751" t="s">
        <v>1767</v>
      </c>
      <c r="E24" s="753">
        <v>46012</v>
      </c>
      <c r="F24" s="753">
        <v>46016</v>
      </c>
      <c r="G24" s="753">
        <v>46017</v>
      </c>
      <c r="H24" s="753">
        <v>46017</v>
      </c>
      <c r="I24" s="753">
        <v>46018</v>
      </c>
      <c r="J24" s="753">
        <v>46019</v>
      </c>
      <c r="K24" s="753">
        <v>46019</v>
      </c>
      <c r="L24" s="960" t="s">
        <v>631</v>
      </c>
      <c r="M24" s="1137">
        <v>46032</v>
      </c>
      <c r="N24" s="751" t="s">
        <v>2885</v>
      </c>
      <c r="O24" s="751">
        <v>10</v>
      </c>
      <c r="P24" s="871"/>
    </row>
    <row r="25" spans="1:16" s="1067" customFormat="1" ht="32" customHeight="1">
      <c r="A25" s="751">
        <f t="shared" si="1"/>
        <v>19</v>
      </c>
      <c r="B25" s="752" t="s">
        <v>3121</v>
      </c>
      <c r="C25" s="751" t="s">
        <v>1269</v>
      </c>
      <c r="D25" s="751" t="s">
        <v>92</v>
      </c>
      <c r="E25" s="753">
        <v>46016</v>
      </c>
      <c r="F25" s="753">
        <v>46019</v>
      </c>
      <c r="G25" s="753">
        <v>46025</v>
      </c>
      <c r="H25" s="753">
        <v>46026</v>
      </c>
      <c r="I25" s="753">
        <v>46026</v>
      </c>
      <c r="J25" s="753">
        <v>46027</v>
      </c>
      <c r="K25" s="753">
        <v>46027</v>
      </c>
      <c r="L25" s="960" t="s">
        <v>631</v>
      </c>
      <c r="M25" s="1026">
        <v>46030</v>
      </c>
      <c r="N25" s="751" t="s">
        <v>2894</v>
      </c>
      <c r="O25" s="751">
        <v>10</v>
      </c>
      <c r="P25" s="871"/>
    </row>
    <row r="26" spans="1:16" s="1067" customFormat="1" ht="30" customHeight="1">
      <c r="A26" s="751">
        <f t="shared" si="1"/>
        <v>20</v>
      </c>
      <c r="B26" s="752" t="s">
        <v>3294</v>
      </c>
      <c r="C26" s="751" t="s">
        <v>2690</v>
      </c>
      <c r="D26" s="751" t="s">
        <v>92</v>
      </c>
      <c r="E26" s="753">
        <v>46016</v>
      </c>
      <c r="F26" s="753">
        <v>46019</v>
      </c>
      <c r="G26" s="753">
        <v>46021</v>
      </c>
      <c r="H26" s="753">
        <v>46021</v>
      </c>
      <c r="I26" s="753">
        <v>46021</v>
      </c>
      <c r="J26" s="753">
        <v>46025</v>
      </c>
      <c r="K26" s="753">
        <v>46025</v>
      </c>
      <c r="L26" s="960" t="s">
        <v>631</v>
      </c>
      <c r="M26" s="1026">
        <v>46026</v>
      </c>
      <c r="N26" s="751" t="s">
        <v>2875</v>
      </c>
      <c r="O26" s="751">
        <v>12</v>
      </c>
      <c r="P26" s="871"/>
    </row>
    <row r="27" spans="1:16" s="1067" customFormat="1" ht="32" customHeight="1">
      <c r="A27" s="751">
        <f t="shared" si="1"/>
        <v>21</v>
      </c>
      <c r="B27" s="752" t="s">
        <v>2930</v>
      </c>
      <c r="C27" s="751" t="s">
        <v>2236</v>
      </c>
      <c r="D27" s="751" t="s">
        <v>92</v>
      </c>
      <c r="E27" s="753">
        <v>46016</v>
      </c>
      <c r="F27" s="753">
        <v>46022</v>
      </c>
      <c r="G27" s="753">
        <v>46025</v>
      </c>
      <c r="H27" s="753">
        <v>46026</v>
      </c>
      <c r="I27" s="753">
        <v>46027</v>
      </c>
      <c r="J27" s="753">
        <v>46029</v>
      </c>
      <c r="K27" s="753">
        <v>46029</v>
      </c>
      <c r="L27" s="960" t="s">
        <v>631</v>
      </c>
      <c r="M27" s="1026">
        <v>46034</v>
      </c>
      <c r="N27" s="751" t="s">
        <v>3141</v>
      </c>
      <c r="O27" s="751">
        <v>13</v>
      </c>
      <c r="P27" s="871"/>
    </row>
    <row r="28" spans="1:16" s="1067" customFormat="1" ht="30" customHeight="1">
      <c r="A28" s="751">
        <f t="shared" si="1"/>
        <v>22</v>
      </c>
      <c r="B28" s="752" t="s">
        <v>3099</v>
      </c>
      <c r="C28" s="751" t="s">
        <v>1319</v>
      </c>
      <c r="D28" s="751" t="s">
        <v>1767</v>
      </c>
      <c r="E28" s="753">
        <v>46019</v>
      </c>
      <c r="F28" s="753">
        <v>46031</v>
      </c>
      <c r="G28" s="753">
        <v>46033</v>
      </c>
      <c r="H28" s="753">
        <v>46033</v>
      </c>
      <c r="I28" s="753">
        <v>46033</v>
      </c>
      <c r="J28" s="753">
        <v>46034</v>
      </c>
      <c r="K28" s="753">
        <v>46034</v>
      </c>
      <c r="L28" s="960" t="s">
        <v>631</v>
      </c>
      <c r="M28" s="960"/>
      <c r="N28" s="751" t="s">
        <v>2885</v>
      </c>
      <c r="O28" s="751">
        <v>10</v>
      </c>
      <c r="P28" s="871"/>
    </row>
    <row r="29" spans="1:16" s="1067" customFormat="1" ht="30" customHeight="1">
      <c r="A29" s="751">
        <f t="shared" si="1"/>
        <v>23</v>
      </c>
      <c r="B29" s="752" t="s">
        <v>3113</v>
      </c>
      <c r="C29" s="751" t="s">
        <v>3165</v>
      </c>
      <c r="D29" s="751" t="s">
        <v>92</v>
      </c>
      <c r="E29" s="753">
        <v>46020</v>
      </c>
      <c r="F29" s="753">
        <v>46034</v>
      </c>
      <c r="G29" s="753">
        <v>46038</v>
      </c>
      <c r="H29" s="753">
        <v>46039</v>
      </c>
      <c r="I29" s="753">
        <v>46039</v>
      </c>
      <c r="J29" s="753">
        <v>46041</v>
      </c>
      <c r="K29" s="753">
        <v>46041</v>
      </c>
      <c r="L29" s="960" t="s">
        <v>631</v>
      </c>
      <c r="M29" s="1026">
        <v>46043</v>
      </c>
      <c r="N29" s="751" t="s">
        <v>3154</v>
      </c>
      <c r="O29" s="751">
        <v>10</v>
      </c>
      <c r="P29" s="871"/>
    </row>
    <row r="30" spans="1:16" s="1067" customFormat="1" ht="30" customHeight="1">
      <c r="A30" s="751">
        <f t="shared" si="1"/>
        <v>24</v>
      </c>
      <c r="B30" s="752" t="s">
        <v>3095</v>
      </c>
      <c r="C30" s="751" t="s">
        <v>3309</v>
      </c>
      <c r="D30" s="751" t="s">
        <v>92</v>
      </c>
      <c r="E30" s="753">
        <v>46033</v>
      </c>
      <c r="F30" s="753">
        <v>46041</v>
      </c>
      <c r="G30" s="753">
        <v>46041</v>
      </c>
      <c r="H30" s="753">
        <v>46042</v>
      </c>
      <c r="I30" s="753">
        <v>46042</v>
      </c>
      <c r="J30" s="753">
        <v>46043</v>
      </c>
      <c r="K30" s="753">
        <v>46043</v>
      </c>
      <c r="L30" s="960" t="s">
        <v>631</v>
      </c>
      <c r="M30" s="1026">
        <v>46044</v>
      </c>
      <c r="N30" s="751" t="s">
        <v>2885</v>
      </c>
      <c r="O30" s="751">
        <v>10</v>
      </c>
      <c r="P30" s="871"/>
    </row>
    <row r="31" spans="1:16" s="1067" customFormat="1" ht="30" customHeight="1">
      <c r="A31" s="751">
        <f t="shared" si="1"/>
        <v>25</v>
      </c>
      <c r="B31" s="752" t="s">
        <v>2983</v>
      </c>
      <c r="C31" s="751" t="s">
        <v>2221</v>
      </c>
      <c r="D31" s="751" t="s">
        <v>1767</v>
      </c>
      <c r="E31" s="753">
        <v>46034</v>
      </c>
      <c r="F31" s="753">
        <v>46076</v>
      </c>
      <c r="G31" s="753">
        <v>46078</v>
      </c>
      <c r="H31" s="753">
        <v>46079</v>
      </c>
      <c r="I31" s="753">
        <v>46079</v>
      </c>
      <c r="J31" s="753">
        <v>46079</v>
      </c>
      <c r="K31" s="753">
        <v>46079</v>
      </c>
      <c r="L31" s="960" t="s">
        <v>631</v>
      </c>
      <c r="M31" s="960"/>
      <c r="N31" s="751" t="s">
        <v>3141</v>
      </c>
      <c r="O31" s="751">
        <v>13</v>
      </c>
      <c r="P31" s="871"/>
    </row>
    <row r="32" spans="1:16" s="1067" customFormat="1" ht="30" customHeight="1">
      <c r="A32" s="751">
        <f t="shared" si="1"/>
        <v>26</v>
      </c>
      <c r="B32" s="752" t="s">
        <v>2416</v>
      </c>
      <c r="C32" s="751" t="s">
        <v>1319</v>
      </c>
      <c r="D32" s="751" t="s">
        <v>54</v>
      </c>
      <c r="E32" s="753">
        <v>46037</v>
      </c>
      <c r="F32" s="753">
        <v>46056</v>
      </c>
      <c r="G32" s="753">
        <v>46060</v>
      </c>
      <c r="H32" s="753">
        <v>46060</v>
      </c>
      <c r="I32" s="753">
        <v>46060</v>
      </c>
      <c r="J32" s="753">
        <v>46063</v>
      </c>
      <c r="K32" s="753">
        <v>46063</v>
      </c>
      <c r="L32" s="960" t="s">
        <v>631</v>
      </c>
      <c r="M32" s="1026">
        <v>46064</v>
      </c>
      <c r="N32" s="751" t="s">
        <v>3312</v>
      </c>
      <c r="O32" s="751">
        <v>6</v>
      </c>
      <c r="P32" s="871"/>
    </row>
    <row r="33" spans="1:16" s="1067" customFormat="1" ht="30" customHeight="1">
      <c r="A33" s="751">
        <f t="shared" si="1"/>
        <v>27</v>
      </c>
      <c r="B33" s="752" t="s">
        <v>3029</v>
      </c>
      <c r="C33" s="751" t="s">
        <v>1277</v>
      </c>
      <c r="D33" s="751" t="s">
        <v>92</v>
      </c>
      <c r="E33" s="753">
        <v>46039</v>
      </c>
      <c r="F33" s="753">
        <v>46053</v>
      </c>
      <c r="G33" s="753">
        <v>46053</v>
      </c>
      <c r="H33" s="753">
        <v>46053</v>
      </c>
      <c r="I33" s="753">
        <v>46053</v>
      </c>
      <c r="J33" s="753">
        <v>46053</v>
      </c>
      <c r="K33" s="753">
        <v>46053</v>
      </c>
      <c r="L33" s="960" t="s">
        <v>631</v>
      </c>
      <c r="M33" s="960"/>
      <c r="N33" s="751" t="s">
        <v>2875</v>
      </c>
      <c r="O33" s="751">
        <v>12</v>
      </c>
      <c r="P33" s="871"/>
    </row>
    <row r="34" spans="1:16" s="1067" customFormat="1" ht="30" customHeight="1">
      <c r="A34" s="751">
        <f t="shared" si="1"/>
        <v>28</v>
      </c>
      <c r="B34" s="752" t="s">
        <v>3315</v>
      </c>
      <c r="C34" s="751" t="s">
        <v>1938</v>
      </c>
      <c r="D34" s="751" t="s">
        <v>897</v>
      </c>
      <c r="E34" s="753">
        <v>46040</v>
      </c>
      <c r="F34" s="753">
        <v>46053</v>
      </c>
      <c r="G34" s="753">
        <v>46053</v>
      </c>
      <c r="H34" s="753">
        <v>46053</v>
      </c>
      <c r="I34" s="753">
        <v>46053</v>
      </c>
      <c r="J34" s="753">
        <v>46053</v>
      </c>
      <c r="K34" s="753">
        <v>46053</v>
      </c>
      <c r="L34" s="960" t="s">
        <v>631</v>
      </c>
      <c r="M34" s="960"/>
      <c r="N34" s="751" t="s">
        <v>2885</v>
      </c>
      <c r="O34" s="751">
        <v>10</v>
      </c>
      <c r="P34" s="871"/>
    </row>
    <row r="35" spans="1:16" s="1067" customFormat="1" ht="30" customHeight="1">
      <c r="A35" s="940">
        <f t="shared" si="1"/>
        <v>29</v>
      </c>
      <c r="B35" s="941" t="s">
        <v>3108</v>
      </c>
      <c r="C35" s="940" t="s">
        <v>1269</v>
      </c>
      <c r="D35" s="940" t="s">
        <v>92</v>
      </c>
      <c r="E35" s="943">
        <v>46041</v>
      </c>
      <c r="F35" s="943"/>
      <c r="G35" s="943"/>
      <c r="H35" s="943"/>
      <c r="I35" s="943"/>
      <c r="J35" s="943"/>
      <c r="K35" s="943"/>
      <c r="L35" s="944"/>
      <c r="M35" s="944"/>
      <c r="N35" s="940" t="s">
        <v>3154</v>
      </c>
      <c r="O35" s="940">
        <v>10</v>
      </c>
      <c r="P35" s="945" t="s">
        <v>3324</v>
      </c>
    </row>
    <row r="36" spans="1:16" s="1067" customFormat="1" ht="30" customHeight="1">
      <c r="A36" s="751">
        <f t="shared" si="1"/>
        <v>30</v>
      </c>
      <c r="B36" s="752" t="s">
        <v>3319</v>
      </c>
      <c r="C36" s="751" t="s">
        <v>90</v>
      </c>
      <c r="D36" s="751" t="s">
        <v>92</v>
      </c>
      <c r="E36" s="753">
        <v>46044</v>
      </c>
      <c r="F36" s="753">
        <v>46053</v>
      </c>
      <c r="G36" s="753">
        <v>46053</v>
      </c>
      <c r="H36" s="753">
        <v>46053</v>
      </c>
      <c r="I36" s="753">
        <v>46053</v>
      </c>
      <c r="J36" s="753">
        <v>46053</v>
      </c>
      <c r="K36" s="753">
        <v>46053</v>
      </c>
      <c r="L36" s="960" t="s">
        <v>631</v>
      </c>
      <c r="M36" s="960"/>
      <c r="N36" s="751" t="s">
        <v>3150</v>
      </c>
      <c r="O36" s="751">
        <v>6</v>
      </c>
      <c r="P36" s="871"/>
    </row>
    <row r="37" spans="1:16" s="1067" customFormat="1" ht="30" customHeight="1">
      <c r="A37" s="1077">
        <f t="shared" ref="A37:A45" si="2">A36+1</f>
        <v>31</v>
      </c>
      <c r="B37" s="1078" t="s">
        <v>3075</v>
      </c>
      <c r="C37" s="1077" t="s">
        <v>1981</v>
      </c>
      <c r="D37" s="1077" t="s">
        <v>92</v>
      </c>
      <c r="E37" s="1079">
        <v>46056</v>
      </c>
      <c r="F37" s="1079">
        <v>46079</v>
      </c>
      <c r="G37" s="1079">
        <v>46080</v>
      </c>
      <c r="H37" s="1079">
        <v>46080</v>
      </c>
      <c r="I37" s="1079">
        <v>46080</v>
      </c>
      <c r="J37" s="1079">
        <v>46080</v>
      </c>
      <c r="K37" s="1079">
        <v>46080</v>
      </c>
      <c r="L37" s="1080" t="s">
        <v>631</v>
      </c>
      <c r="M37" s="1080"/>
      <c r="N37" s="1077" t="s">
        <v>2885</v>
      </c>
      <c r="O37" s="1077">
        <v>10</v>
      </c>
      <c r="P37" s="1081"/>
    </row>
    <row r="38" spans="1:16" s="1067" customFormat="1" ht="30" customHeight="1">
      <c r="A38" s="751">
        <f t="shared" si="2"/>
        <v>32</v>
      </c>
      <c r="B38" s="752" t="s">
        <v>3078</v>
      </c>
      <c r="C38" s="751" t="s">
        <v>2221</v>
      </c>
      <c r="D38" s="751" t="s">
        <v>92</v>
      </c>
      <c r="E38" s="753">
        <v>46056</v>
      </c>
      <c r="F38" s="753">
        <v>46076</v>
      </c>
      <c r="G38" s="753">
        <v>46077</v>
      </c>
      <c r="H38" s="753">
        <v>46077</v>
      </c>
      <c r="I38" s="753">
        <v>46077</v>
      </c>
      <c r="J38" s="753">
        <v>46077</v>
      </c>
      <c r="K38" s="753">
        <v>46077</v>
      </c>
      <c r="L38" s="960" t="s">
        <v>631</v>
      </c>
      <c r="M38" s="960"/>
      <c r="N38" s="751" t="s">
        <v>3154</v>
      </c>
      <c r="O38" s="751">
        <v>10</v>
      </c>
      <c r="P38" s="871"/>
    </row>
    <row r="39" spans="1:16" s="1067" customFormat="1" ht="30" customHeight="1">
      <c r="A39" s="751">
        <f t="shared" si="2"/>
        <v>33</v>
      </c>
      <c r="B39" s="752" t="s">
        <v>3347</v>
      </c>
      <c r="C39" s="751" t="s">
        <v>90</v>
      </c>
      <c r="D39" s="751" t="s">
        <v>92</v>
      </c>
      <c r="E39" s="753">
        <v>46058</v>
      </c>
      <c r="F39" s="753">
        <v>46071</v>
      </c>
      <c r="G39" s="753">
        <v>46071</v>
      </c>
      <c r="H39" s="753">
        <v>46071</v>
      </c>
      <c r="I39" s="753">
        <v>46071</v>
      </c>
      <c r="J39" s="753">
        <v>46071</v>
      </c>
      <c r="K39" s="753">
        <v>46071</v>
      </c>
      <c r="L39" s="960" t="s">
        <v>631</v>
      </c>
      <c r="M39" s="960"/>
      <c r="N39" s="751" t="s">
        <v>3312</v>
      </c>
      <c r="O39" s="751">
        <v>6</v>
      </c>
      <c r="P39" s="871"/>
    </row>
    <row r="40" spans="1:16" s="1067" customFormat="1" ht="30" customHeight="1">
      <c r="A40" s="1077">
        <f t="shared" si="2"/>
        <v>34</v>
      </c>
      <c r="B40" s="1078" t="s">
        <v>1131</v>
      </c>
      <c r="C40" s="1077" t="s">
        <v>2422</v>
      </c>
      <c r="D40" s="1077" t="s">
        <v>92</v>
      </c>
      <c r="E40" s="1079">
        <v>46060</v>
      </c>
      <c r="F40" s="1079">
        <v>46077</v>
      </c>
      <c r="G40" s="1079">
        <v>46080</v>
      </c>
      <c r="H40" s="1079">
        <v>46080</v>
      </c>
      <c r="I40" s="1079">
        <v>46080</v>
      </c>
      <c r="J40" s="1079">
        <v>46080</v>
      </c>
      <c r="K40" s="1079">
        <v>46080</v>
      </c>
      <c r="L40" s="1080" t="s">
        <v>631</v>
      </c>
      <c r="M40" s="1080"/>
      <c r="N40" s="1077" t="s">
        <v>2885</v>
      </c>
      <c r="O40" s="1077">
        <v>10</v>
      </c>
      <c r="P40" s="1081"/>
    </row>
    <row r="41" spans="1:16" s="1067" customFormat="1" ht="30" customHeight="1">
      <c r="A41" s="751">
        <f t="shared" si="2"/>
        <v>35</v>
      </c>
      <c r="B41" s="752" t="s">
        <v>3359</v>
      </c>
      <c r="C41" s="1191" t="s">
        <v>2221</v>
      </c>
      <c r="D41" s="751" t="s">
        <v>92</v>
      </c>
      <c r="E41" s="753">
        <v>46063</v>
      </c>
      <c r="F41" s="753">
        <v>46079</v>
      </c>
      <c r="G41" s="753">
        <v>46081</v>
      </c>
      <c r="H41" s="753">
        <v>46081</v>
      </c>
      <c r="I41" s="753">
        <v>46081</v>
      </c>
      <c r="J41" s="753">
        <v>46081</v>
      </c>
      <c r="K41" s="753">
        <v>46081</v>
      </c>
      <c r="L41" s="960" t="s">
        <v>631</v>
      </c>
      <c r="M41" s="960"/>
      <c r="N41" s="751" t="s">
        <v>2885</v>
      </c>
      <c r="O41" s="751">
        <v>10</v>
      </c>
      <c r="P41" s="871"/>
    </row>
    <row r="42" spans="1:16" s="1067" customFormat="1" ht="35" customHeight="1">
      <c r="A42" s="751">
        <f t="shared" si="2"/>
        <v>36</v>
      </c>
      <c r="B42" s="752" t="s">
        <v>2928</v>
      </c>
      <c r="C42" s="1191" t="s">
        <v>2423</v>
      </c>
      <c r="D42" s="751" t="s">
        <v>92</v>
      </c>
      <c r="E42" s="753" t="s">
        <v>3360</v>
      </c>
      <c r="F42" s="753">
        <v>46072</v>
      </c>
      <c r="G42" s="753">
        <v>46077</v>
      </c>
      <c r="H42" s="753">
        <v>46077</v>
      </c>
      <c r="I42" s="753">
        <v>46079</v>
      </c>
      <c r="J42" s="753">
        <v>46079</v>
      </c>
      <c r="K42" s="753">
        <v>46079</v>
      </c>
      <c r="L42" s="960" t="s">
        <v>631</v>
      </c>
      <c r="M42" s="960"/>
      <c r="N42" s="751" t="s">
        <v>3361</v>
      </c>
      <c r="O42" s="751">
        <v>10</v>
      </c>
      <c r="P42" s="871"/>
    </row>
    <row r="43" spans="1:16" s="1067" customFormat="1" ht="30" customHeight="1">
      <c r="A43" s="751">
        <f t="shared" si="2"/>
        <v>37</v>
      </c>
      <c r="B43" s="752" t="s">
        <v>2989</v>
      </c>
      <c r="C43" s="1191" t="s">
        <v>1957</v>
      </c>
      <c r="D43" s="751" t="s">
        <v>92</v>
      </c>
      <c r="E43" s="753">
        <v>46071</v>
      </c>
      <c r="F43" s="753">
        <v>46076</v>
      </c>
      <c r="G43" s="753">
        <v>46077</v>
      </c>
      <c r="H43" s="753">
        <v>46080</v>
      </c>
      <c r="I43" s="753">
        <v>46080</v>
      </c>
      <c r="J43" s="753">
        <v>46081</v>
      </c>
      <c r="K43" s="753">
        <v>46081</v>
      </c>
      <c r="L43" s="960" t="s">
        <v>631</v>
      </c>
      <c r="M43" s="960"/>
      <c r="N43" s="751" t="s">
        <v>2875</v>
      </c>
      <c r="O43" s="751">
        <v>10</v>
      </c>
      <c r="P43" s="871"/>
    </row>
    <row r="44" spans="1:16" s="1067" customFormat="1" ht="30" customHeight="1">
      <c r="A44" s="1037">
        <f t="shared" si="2"/>
        <v>38</v>
      </c>
      <c r="B44" s="1038" t="s">
        <v>2987</v>
      </c>
      <c r="C44" s="1178" t="s">
        <v>1992</v>
      </c>
      <c r="D44" s="1037" t="s">
        <v>92</v>
      </c>
      <c r="E44" s="1040">
        <v>46071</v>
      </c>
      <c r="F44" s="1040"/>
      <c r="G44" s="1040"/>
      <c r="H44" s="1040"/>
      <c r="I44" s="1040"/>
      <c r="J44" s="1040"/>
      <c r="K44" s="1040"/>
      <c r="L44" s="816" t="s">
        <v>22</v>
      </c>
      <c r="M44" s="816"/>
      <c r="N44" s="1037" t="s">
        <v>3141</v>
      </c>
      <c r="O44" s="1037">
        <v>10</v>
      </c>
      <c r="P44" s="799" t="s">
        <v>3386</v>
      </c>
    </row>
    <row r="45" spans="1:16" s="1067" customFormat="1" ht="30" customHeight="1">
      <c r="A45" s="1077">
        <f t="shared" si="2"/>
        <v>39</v>
      </c>
      <c r="B45" s="1078" t="s">
        <v>3073</v>
      </c>
      <c r="C45" s="1192" t="s">
        <v>1957</v>
      </c>
      <c r="D45" s="1077" t="s">
        <v>92</v>
      </c>
      <c r="E45" s="1079">
        <v>46073</v>
      </c>
      <c r="F45" s="1079">
        <v>46079</v>
      </c>
      <c r="G45" s="1079">
        <v>46080</v>
      </c>
      <c r="H45" s="1079">
        <v>46080</v>
      </c>
      <c r="I45" s="1079">
        <v>46080</v>
      </c>
      <c r="J45" s="1079">
        <v>46080</v>
      </c>
      <c r="K45" s="1079">
        <v>46080</v>
      </c>
      <c r="L45" s="1080" t="s">
        <v>631</v>
      </c>
      <c r="M45" s="1080"/>
      <c r="N45" s="1077" t="s">
        <v>3312</v>
      </c>
      <c r="O45" s="1077">
        <v>12</v>
      </c>
      <c r="P45" s="1081"/>
    </row>
    <row r="46" spans="1:16" s="1067" customFormat="1" ht="30" customHeight="1">
      <c r="A46" s="1037">
        <f>A45+1</f>
        <v>40</v>
      </c>
      <c r="B46" s="1038" t="s">
        <v>3077</v>
      </c>
      <c r="C46" s="1178" t="s">
        <v>1981</v>
      </c>
      <c r="D46" s="1037" t="s">
        <v>92</v>
      </c>
      <c r="E46" s="1040">
        <v>46081</v>
      </c>
      <c r="F46" s="1040"/>
      <c r="G46" s="1040"/>
      <c r="H46" s="1040"/>
      <c r="I46" s="1040"/>
      <c r="J46" s="1040"/>
      <c r="K46" s="1040"/>
      <c r="L46" s="816" t="s">
        <v>22</v>
      </c>
      <c r="M46" s="816"/>
      <c r="N46" s="1037" t="s">
        <v>3154</v>
      </c>
      <c r="O46" s="1037">
        <v>10</v>
      </c>
      <c r="P46" s="799" t="s">
        <v>3405</v>
      </c>
    </row>
  </sheetData>
  <autoFilter ref="A6:P45"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AB30"/>
  <sheetViews>
    <sheetView zoomScaleNormal="100" workbookViewId="0">
      <selection activeCell="N8" sqref="N8"/>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8" width="6.26953125" style="774"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06">
        <f>'Foundation JS-Line -Jammu'!P1</f>
        <v>46083</v>
      </c>
      <c r="O1" s="1407"/>
    </row>
    <row r="2" spans="2:28">
      <c r="B2" s="1408" t="s">
        <v>2186</v>
      </c>
      <c r="C2" s="1408"/>
      <c r="D2" s="1408"/>
      <c r="E2" s="1408"/>
      <c r="F2" s="1408"/>
      <c r="G2" s="1408"/>
      <c r="H2" s="1408"/>
      <c r="I2" s="1408"/>
      <c r="J2" s="1408"/>
      <c r="K2" s="1408"/>
      <c r="L2" s="1408"/>
      <c r="M2" s="1408"/>
      <c r="N2" s="1408"/>
      <c r="O2" s="1408"/>
    </row>
    <row r="3" spans="2:28" s="775" customFormat="1">
      <c r="B3" s="779" t="s">
        <v>2187</v>
      </c>
      <c r="C3" s="779" t="s">
        <v>2204</v>
      </c>
      <c r="D3" s="1409" t="s">
        <v>2188</v>
      </c>
      <c r="E3" s="1410"/>
      <c r="F3" s="1170" t="s">
        <v>2426</v>
      </c>
      <c r="G3" s="1170" t="s">
        <v>2189</v>
      </c>
      <c r="H3" s="1411" t="s">
        <v>2188</v>
      </c>
      <c r="I3" s="1412"/>
      <c r="J3" s="1172" t="s">
        <v>2426</v>
      </c>
      <c r="K3" s="1172" t="s">
        <v>2189</v>
      </c>
      <c r="L3" s="779" t="s">
        <v>2190</v>
      </c>
      <c r="M3" s="779" t="s">
        <v>2191</v>
      </c>
      <c r="N3" s="779" t="s">
        <v>2192</v>
      </c>
      <c r="O3" s="779" t="s">
        <v>994</v>
      </c>
      <c r="P3" s="976" t="s">
        <v>2914</v>
      </c>
      <c r="Q3" s="976" t="s">
        <v>2770</v>
      </c>
      <c r="R3" s="976" t="s">
        <v>2915</v>
      </c>
      <c r="S3" s="976" t="s">
        <v>2916</v>
      </c>
      <c r="T3" s="976" t="s">
        <v>2917</v>
      </c>
      <c r="U3" s="976" t="s">
        <v>2918</v>
      </c>
      <c r="V3" s="976" t="s">
        <v>2919</v>
      </c>
      <c r="W3" s="976" t="s">
        <v>2863</v>
      </c>
      <c r="X3" s="976" t="s">
        <v>2920</v>
      </c>
      <c r="Y3" s="976" t="s">
        <v>2921</v>
      </c>
      <c r="Z3" s="976" t="s">
        <v>2922</v>
      </c>
      <c r="AA3" s="976" t="s">
        <v>2923</v>
      </c>
    </row>
    <row r="4" spans="2:28">
      <c r="B4" s="776"/>
      <c r="C4" s="776"/>
      <c r="D4" s="1170" t="s">
        <v>3148</v>
      </c>
      <c r="E4" s="1171" t="s">
        <v>28</v>
      </c>
      <c r="F4" s="1171"/>
      <c r="G4" s="1171"/>
      <c r="H4" s="1172" t="s">
        <v>3148</v>
      </c>
      <c r="I4" s="1173" t="s">
        <v>610</v>
      </c>
      <c r="J4" s="1173"/>
      <c r="K4" s="1173"/>
      <c r="L4" s="777" t="s">
        <v>2194</v>
      </c>
      <c r="M4" s="776">
        <f>4+10+1</f>
        <v>15</v>
      </c>
      <c r="N4" s="776"/>
      <c r="O4" s="776">
        <f>M4+N4</f>
        <v>15</v>
      </c>
      <c r="Q4" s="781">
        <v>2</v>
      </c>
      <c r="S4" s="781">
        <v>2</v>
      </c>
      <c r="U4" s="781">
        <v>1</v>
      </c>
      <c r="V4" s="781">
        <v>1</v>
      </c>
      <c r="W4" s="781">
        <v>1</v>
      </c>
      <c r="X4" s="977">
        <v>1</v>
      </c>
      <c r="Y4" s="781">
        <v>1</v>
      </c>
      <c r="AA4" s="774">
        <v>1</v>
      </c>
      <c r="AB4" s="774">
        <f t="shared" ref="AB4:AB12" si="0">SUM(P4:AA4)</f>
        <v>10</v>
      </c>
    </row>
    <row r="5" spans="2:28">
      <c r="B5" s="776" t="s">
        <v>2193</v>
      </c>
      <c r="C5" s="776">
        <v>1</v>
      </c>
      <c r="D5" s="776">
        <v>1</v>
      </c>
      <c r="E5" s="1028" t="s">
        <v>3149</v>
      </c>
      <c r="F5" s="975" t="s">
        <v>2911</v>
      </c>
      <c r="G5" s="777">
        <v>8</v>
      </c>
      <c r="H5" s="777">
        <v>1</v>
      </c>
      <c r="I5" s="1174" t="s">
        <v>3354</v>
      </c>
      <c r="J5" s="974" t="s">
        <v>2911</v>
      </c>
      <c r="K5" s="777">
        <v>22</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4">
        <f>D5+1</f>
        <v>2</v>
      </c>
      <c r="E6" s="1075" t="s">
        <v>3264</v>
      </c>
      <c r="F6" s="975" t="s">
        <v>2911</v>
      </c>
      <c r="G6" s="777">
        <v>12</v>
      </c>
      <c r="H6" s="777">
        <f t="shared" ref="H6:H15" si="2">H5+1</f>
        <v>2</v>
      </c>
      <c r="I6" s="1174" t="s">
        <v>3350</v>
      </c>
      <c r="J6" s="974" t="s">
        <v>2911</v>
      </c>
      <c r="K6" s="777">
        <v>21</v>
      </c>
      <c r="L6" s="776" t="s">
        <v>2197</v>
      </c>
      <c r="M6" s="776">
        <v>5</v>
      </c>
      <c r="N6" s="776"/>
      <c r="O6" s="776">
        <f t="shared" si="1"/>
        <v>5</v>
      </c>
      <c r="P6" s="781">
        <v>1</v>
      </c>
      <c r="R6" s="781">
        <v>1</v>
      </c>
      <c r="T6" s="781">
        <v>1</v>
      </c>
      <c r="V6" s="781">
        <v>1</v>
      </c>
      <c r="X6" s="781">
        <v>1</v>
      </c>
      <c r="AB6" s="774">
        <f t="shared" si="0"/>
        <v>5</v>
      </c>
    </row>
    <row r="7" spans="2:28">
      <c r="B7" s="951" t="s">
        <v>2876</v>
      </c>
      <c r="C7" s="778">
        <v>5</v>
      </c>
      <c r="D7" s="1064">
        <f>D6+1</f>
        <v>3</v>
      </c>
      <c r="E7" s="1028" t="s">
        <v>2873</v>
      </c>
      <c r="F7" s="975" t="s">
        <v>2911</v>
      </c>
      <c r="G7" s="777">
        <v>20</v>
      </c>
      <c r="H7" s="777">
        <f t="shared" si="2"/>
        <v>3</v>
      </c>
      <c r="I7" s="1174" t="s">
        <v>3355</v>
      </c>
      <c r="J7" s="974" t="s">
        <v>2911</v>
      </c>
      <c r="K7" s="777">
        <v>21</v>
      </c>
      <c r="L7" s="777" t="s">
        <v>2198</v>
      </c>
      <c r="M7" s="777">
        <v>13</v>
      </c>
      <c r="N7" s="777"/>
      <c r="O7" s="776">
        <f>M7+N7</f>
        <v>13</v>
      </c>
      <c r="AB7" s="774">
        <f t="shared" si="0"/>
        <v>0</v>
      </c>
    </row>
    <row r="8" spans="2:28">
      <c r="B8" s="849" t="s">
        <v>2205</v>
      </c>
      <c r="C8" s="776">
        <v>3</v>
      </c>
      <c r="D8" s="1064">
        <f t="shared" ref="D8:D22" si="3">D7+1</f>
        <v>4</v>
      </c>
      <c r="E8" s="1028" t="s">
        <v>3150</v>
      </c>
      <c r="F8" s="975" t="s">
        <v>2911</v>
      </c>
      <c r="G8" s="777">
        <v>12</v>
      </c>
      <c r="H8" s="777">
        <f t="shared" si="2"/>
        <v>4</v>
      </c>
      <c r="I8" s="1174" t="s">
        <v>3326</v>
      </c>
      <c r="J8" s="1175" t="s">
        <v>2912</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4">
        <f t="shared" si="3"/>
        <v>5</v>
      </c>
      <c r="E9" s="1028" t="s">
        <v>3151</v>
      </c>
      <c r="F9" s="975" t="s">
        <v>2911</v>
      </c>
      <c r="G9" s="777">
        <v>18</v>
      </c>
      <c r="H9" s="777">
        <f t="shared" si="2"/>
        <v>5</v>
      </c>
      <c r="I9" s="1174" t="s">
        <v>3346</v>
      </c>
      <c r="J9" s="1175" t="s">
        <v>2912</v>
      </c>
      <c r="K9" s="777">
        <v>22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4">
        <f t="shared" si="3"/>
        <v>6</v>
      </c>
      <c r="E10" s="1030" t="s">
        <v>3156</v>
      </c>
      <c r="F10" s="975" t="s">
        <v>2911</v>
      </c>
      <c r="G10" s="777">
        <v>12</v>
      </c>
      <c r="H10" s="777">
        <f t="shared" si="2"/>
        <v>6</v>
      </c>
      <c r="I10" s="1176" t="s">
        <v>3356</v>
      </c>
      <c r="J10" s="1177" t="s">
        <v>2912</v>
      </c>
      <c r="K10" s="946">
        <v>34</v>
      </c>
      <c r="L10" s="948" t="s">
        <v>2864</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4">
        <f t="shared" si="3"/>
        <v>7</v>
      </c>
      <c r="E11" s="1030" t="s">
        <v>3158</v>
      </c>
      <c r="F11" s="975" t="s">
        <v>2911</v>
      </c>
      <c r="G11" s="946">
        <v>16</v>
      </c>
      <c r="H11" s="777">
        <f t="shared" si="2"/>
        <v>7</v>
      </c>
      <c r="I11" s="1179" t="s">
        <v>3362</v>
      </c>
      <c r="J11" s="1177" t="s">
        <v>2912</v>
      </c>
      <c r="K11" s="777">
        <v>30</v>
      </c>
      <c r="L11" s="948" t="s">
        <v>2865</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064">
        <f t="shared" si="3"/>
        <v>8</v>
      </c>
      <c r="E12" s="1028" t="s">
        <v>2757</v>
      </c>
      <c r="F12" s="975" t="s">
        <v>2912</v>
      </c>
      <c r="G12" s="777">
        <v>25</v>
      </c>
      <c r="H12" s="777">
        <f t="shared" si="2"/>
        <v>8</v>
      </c>
      <c r="I12" s="1176" t="s">
        <v>3370</v>
      </c>
      <c r="J12" s="1177" t="s">
        <v>2912</v>
      </c>
      <c r="K12" s="946">
        <v>30</v>
      </c>
      <c r="L12" s="777"/>
      <c r="M12" s="777"/>
      <c r="N12" s="777"/>
      <c r="O12" s="777"/>
      <c r="P12" s="781">
        <v>2</v>
      </c>
      <c r="Q12" s="781">
        <v>1</v>
      </c>
      <c r="R12" s="781">
        <v>4</v>
      </c>
      <c r="U12" s="781">
        <v>4</v>
      </c>
      <c r="AB12" s="774">
        <f t="shared" si="0"/>
        <v>11</v>
      </c>
    </row>
    <row r="13" spans="2:28">
      <c r="B13" s="850" t="s">
        <v>2655</v>
      </c>
      <c r="C13" s="778">
        <v>1</v>
      </c>
      <c r="D13" s="1064">
        <f t="shared" si="3"/>
        <v>9</v>
      </c>
      <c r="E13" s="1126" t="s">
        <v>3310</v>
      </c>
      <c r="F13" s="975" t="s">
        <v>2912</v>
      </c>
      <c r="G13" s="946">
        <v>25</v>
      </c>
      <c r="H13" s="777">
        <f t="shared" si="2"/>
        <v>9</v>
      </c>
      <c r="I13" s="1176" t="s">
        <v>1272</v>
      </c>
      <c r="J13" s="974" t="s">
        <v>2911</v>
      </c>
      <c r="K13" s="946">
        <v>26</v>
      </c>
      <c r="L13" s="777"/>
      <c r="M13" s="777"/>
      <c r="N13" s="777"/>
      <c r="O13" s="777"/>
    </row>
    <row r="14" spans="2:28">
      <c r="B14" s="778" t="s">
        <v>2208</v>
      </c>
      <c r="C14" s="778">
        <v>5</v>
      </c>
      <c r="D14" s="1064">
        <f t="shared" si="3"/>
        <v>10</v>
      </c>
      <c r="E14" s="1028" t="s">
        <v>2879</v>
      </c>
      <c r="F14" s="975" t="s">
        <v>2912</v>
      </c>
      <c r="G14" s="946">
        <v>19</v>
      </c>
      <c r="H14" s="777">
        <f t="shared" si="2"/>
        <v>10</v>
      </c>
      <c r="I14" s="1176" t="s">
        <v>3376</v>
      </c>
      <c r="J14" s="974" t="s">
        <v>2911</v>
      </c>
      <c r="K14" s="946">
        <v>23</v>
      </c>
      <c r="L14" s="777"/>
      <c r="M14" s="777"/>
      <c r="N14" s="777"/>
      <c r="O14" s="777"/>
    </row>
    <row r="15" spans="2:28">
      <c r="B15" s="973" t="s">
        <v>2909</v>
      </c>
      <c r="C15" s="778">
        <v>4</v>
      </c>
      <c r="D15" s="1064">
        <f t="shared" si="3"/>
        <v>11</v>
      </c>
      <c r="E15" s="1076" t="s">
        <v>3265</v>
      </c>
      <c r="F15" s="975" t="s">
        <v>2912</v>
      </c>
      <c r="G15" s="777">
        <v>13</v>
      </c>
      <c r="H15" s="777">
        <f t="shared" si="2"/>
        <v>11</v>
      </c>
      <c r="I15" s="1186" t="s">
        <v>1787</v>
      </c>
      <c r="J15" s="1175" t="s">
        <v>2912</v>
      </c>
      <c r="K15" s="777">
        <v>23</v>
      </c>
      <c r="L15" s="777"/>
      <c r="M15" s="777"/>
      <c r="N15" s="777"/>
      <c r="O15" s="777"/>
    </row>
    <row r="16" spans="2:28">
      <c r="B16" s="778" t="s">
        <v>2209</v>
      </c>
      <c r="C16" s="778">
        <v>5</v>
      </c>
      <c r="D16" s="1064">
        <f t="shared" si="3"/>
        <v>12</v>
      </c>
      <c r="E16" s="1076" t="s">
        <v>2921</v>
      </c>
      <c r="F16" s="975" t="s">
        <v>2912</v>
      </c>
      <c r="G16" s="777">
        <v>15</v>
      </c>
      <c r="H16" s="777"/>
      <c r="I16" s="777"/>
      <c r="J16" s="777"/>
      <c r="K16" s="777"/>
      <c r="L16" s="777"/>
      <c r="M16" s="777"/>
      <c r="N16" s="777"/>
      <c r="O16" s="777"/>
    </row>
    <row r="17" spans="2:15">
      <c r="B17" s="973" t="s">
        <v>2910</v>
      </c>
      <c r="C17" s="778">
        <v>20</v>
      </c>
      <c r="D17" s="1064">
        <f t="shared" si="3"/>
        <v>13</v>
      </c>
      <c r="E17" s="1028" t="s">
        <v>2898</v>
      </c>
      <c r="F17" s="975" t="s">
        <v>2912</v>
      </c>
      <c r="G17" s="777">
        <v>25</v>
      </c>
      <c r="H17" s="777"/>
      <c r="I17" s="777"/>
      <c r="J17" s="777"/>
      <c r="K17" s="777"/>
      <c r="L17" s="777"/>
      <c r="M17" s="777"/>
      <c r="N17" s="777"/>
      <c r="O17" s="777"/>
    </row>
    <row r="18" spans="2:15">
      <c r="B18" s="778"/>
      <c r="C18" s="778"/>
      <c r="D18" s="1064">
        <f t="shared" si="3"/>
        <v>14</v>
      </c>
      <c r="E18" s="1028" t="s">
        <v>3141</v>
      </c>
      <c r="F18" s="975" t="s">
        <v>2913</v>
      </c>
      <c r="G18" s="946">
        <v>13</v>
      </c>
      <c r="H18" s="946"/>
      <c r="I18" s="946"/>
      <c r="J18" s="946"/>
      <c r="K18" s="946"/>
      <c r="L18" s="777"/>
      <c r="M18" s="777"/>
      <c r="N18" s="777"/>
      <c r="O18" s="777"/>
    </row>
    <row r="19" spans="2:15">
      <c r="B19" s="778"/>
      <c r="C19" s="778"/>
      <c r="D19" s="1064">
        <f t="shared" si="3"/>
        <v>15</v>
      </c>
      <c r="E19" s="1028" t="s">
        <v>2875</v>
      </c>
      <c r="F19" s="975" t="s">
        <v>2913</v>
      </c>
      <c r="G19" s="946">
        <v>12</v>
      </c>
      <c r="H19" s="946"/>
      <c r="I19" s="946"/>
      <c r="J19" s="946"/>
      <c r="K19" s="946"/>
      <c r="L19" s="777"/>
      <c r="M19" s="777"/>
      <c r="N19" s="777"/>
      <c r="O19" s="777"/>
    </row>
    <row r="20" spans="2:15">
      <c r="B20" s="778"/>
      <c r="C20" s="778"/>
      <c r="D20" s="1064">
        <f t="shared" si="3"/>
        <v>16</v>
      </c>
      <c r="E20" s="1028" t="s">
        <v>3152</v>
      </c>
      <c r="F20" s="975" t="s">
        <v>2913</v>
      </c>
      <c r="G20" s="777">
        <v>10</v>
      </c>
      <c r="H20" s="777"/>
      <c r="I20" s="777"/>
      <c r="J20" s="777"/>
      <c r="K20" s="777"/>
      <c r="L20" s="777"/>
      <c r="M20" s="777"/>
      <c r="N20" s="777"/>
      <c r="O20" s="777"/>
    </row>
    <row r="21" spans="2:15">
      <c r="B21" s="778"/>
      <c r="C21" s="778"/>
      <c r="D21" s="1064">
        <f t="shared" si="3"/>
        <v>17</v>
      </c>
      <c r="E21" s="1028" t="s">
        <v>3153</v>
      </c>
      <c r="F21" s="975" t="s">
        <v>2913</v>
      </c>
      <c r="G21" s="777">
        <v>10</v>
      </c>
      <c r="H21" s="777"/>
      <c r="I21" s="777"/>
      <c r="J21" s="777"/>
      <c r="K21" s="777"/>
      <c r="L21" s="777"/>
      <c r="M21" s="777"/>
      <c r="N21" s="777"/>
      <c r="O21" s="777"/>
    </row>
    <row r="22" spans="2:15">
      <c r="B22" s="778"/>
      <c r="C22" s="778"/>
      <c r="D22" s="1064">
        <f t="shared" si="3"/>
        <v>18</v>
      </c>
      <c r="E22" s="1028" t="s">
        <v>3154</v>
      </c>
      <c r="F22" s="975" t="s">
        <v>2913</v>
      </c>
      <c r="G22" s="777">
        <v>9</v>
      </c>
      <c r="H22" s="777"/>
      <c r="I22" s="777"/>
      <c r="J22" s="777"/>
      <c r="K22" s="777"/>
      <c r="L22" s="777"/>
      <c r="M22" s="777"/>
      <c r="N22" s="777"/>
      <c r="O22" s="777"/>
    </row>
    <row r="23" spans="2:15">
      <c r="B23" s="778"/>
      <c r="C23" s="778"/>
      <c r="D23" s="1113" t="s">
        <v>3299</v>
      </c>
      <c r="E23" s="1063" t="s">
        <v>3191</v>
      </c>
      <c r="F23" s="975" t="s">
        <v>2912</v>
      </c>
      <c r="G23" s="777">
        <v>40</v>
      </c>
      <c r="H23" s="777"/>
      <c r="I23" s="777"/>
      <c r="J23" s="777"/>
      <c r="K23" s="777"/>
      <c r="L23" s="777"/>
      <c r="M23" s="777"/>
      <c r="N23" s="777"/>
      <c r="O23" s="777"/>
    </row>
    <row r="24" spans="2:15">
      <c r="B24" s="778"/>
      <c r="C24" s="778"/>
      <c r="D24" s="1084">
        <v>21</v>
      </c>
      <c r="E24" s="1063" t="s">
        <v>3185</v>
      </c>
      <c r="F24" s="1181" t="s">
        <v>2911</v>
      </c>
      <c r="G24" s="777">
        <v>7</v>
      </c>
      <c r="H24" s="777"/>
      <c r="I24" s="777"/>
      <c r="J24" s="777"/>
      <c r="K24" s="777"/>
      <c r="L24" s="777"/>
      <c r="M24" s="777"/>
      <c r="N24" s="777"/>
      <c r="O24" s="777"/>
    </row>
    <row r="25" spans="2:15">
      <c r="B25" s="778"/>
      <c r="C25" s="778"/>
      <c r="D25" s="1056">
        <f>D24+1</f>
        <v>22</v>
      </c>
      <c r="E25" s="1082" t="s">
        <v>3266</v>
      </c>
      <c r="F25" s="975" t="s">
        <v>2912</v>
      </c>
      <c r="G25" s="777">
        <v>12</v>
      </c>
      <c r="H25" s="777"/>
      <c r="I25" s="777"/>
      <c r="J25" s="777"/>
      <c r="K25" s="777"/>
      <c r="L25" s="777"/>
      <c r="M25" s="777"/>
      <c r="N25" s="777"/>
      <c r="O25" s="777"/>
    </row>
    <row r="26" spans="2:15">
      <c r="B26" s="778"/>
      <c r="C26" s="778"/>
      <c r="D26" s="1056">
        <v>23</v>
      </c>
      <c r="E26" s="1114" t="s">
        <v>3303</v>
      </c>
      <c r="F26" s="975" t="s">
        <v>2912</v>
      </c>
      <c r="G26" s="777">
        <v>12</v>
      </c>
      <c r="H26" s="777"/>
      <c r="I26" s="777"/>
      <c r="J26" s="777"/>
      <c r="K26" s="777"/>
      <c r="L26" s="777"/>
      <c r="M26" s="777"/>
      <c r="N26" s="777"/>
      <c r="O26" s="777"/>
    </row>
    <row r="27" spans="2:15">
      <c r="B27" s="778"/>
      <c r="C27" s="778"/>
      <c r="D27" s="1056">
        <v>24</v>
      </c>
      <c r="E27" s="1131" t="s">
        <v>2863</v>
      </c>
      <c r="F27" s="975" t="s">
        <v>2912</v>
      </c>
      <c r="G27" s="777">
        <v>16</v>
      </c>
      <c r="H27" s="777"/>
      <c r="I27" s="777"/>
      <c r="J27" s="777"/>
      <c r="K27" s="777"/>
      <c r="L27" s="777"/>
      <c r="M27" s="777"/>
      <c r="N27" s="777"/>
      <c r="O27" s="777"/>
    </row>
    <row r="28" spans="2:15">
      <c r="B28" s="778"/>
      <c r="C28" s="778"/>
      <c r="D28" s="1056">
        <v>25</v>
      </c>
      <c r="E28" s="1131" t="s">
        <v>3318</v>
      </c>
      <c r="F28" s="975" t="s">
        <v>2911</v>
      </c>
      <c r="G28" s="946">
        <v>6</v>
      </c>
      <c r="H28" s="946"/>
      <c r="I28" s="946"/>
      <c r="J28" s="946"/>
      <c r="K28" s="946"/>
      <c r="L28" s="777"/>
      <c r="M28" s="777"/>
      <c r="N28" s="777"/>
      <c r="O28" s="777"/>
    </row>
    <row r="29" spans="2:15">
      <c r="B29" s="778"/>
      <c r="C29" s="778"/>
      <c r="D29" s="1056">
        <v>26</v>
      </c>
      <c r="E29" s="1131" t="s">
        <v>3312</v>
      </c>
      <c r="F29" s="1182" t="s">
        <v>2913</v>
      </c>
      <c r="G29" s="946">
        <v>6</v>
      </c>
      <c r="H29" s="946"/>
      <c r="I29" s="946"/>
      <c r="J29" s="946"/>
      <c r="K29" s="946"/>
      <c r="L29" s="777"/>
      <c r="M29" s="777"/>
      <c r="N29" s="777"/>
      <c r="O29" s="777"/>
    </row>
    <row r="30" spans="2:15">
      <c r="B30" s="779" t="s">
        <v>2201</v>
      </c>
      <c r="C30" s="779">
        <f>SUM(C4:C21)</f>
        <v>67</v>
      </c>
      <c r="D30" s="779"/>
      <c r="E30" s="780" t="s">
        <v>2202</v>
      </c>
      <c r="F30" s="780"/>
      <c r="G30" s="780">
        <f>SUM(G5:G29)</f>
        <v>373</v>
      </c>
      <c r="H30" s="780"/>
      <c r="I30" s="780" t="s">
        <v>2202</v>
      </c>
      <c r="J30" s="780"/>
      <c r="K30" s="780">
        <f>SUM(K5:K29)</f>
        <v>282</v>
      </c>
      <c r="L30" s="780" t="s">
        <v>2203</v>
      </c>
      <c r="M30" s="780">
        <f>SUM(M4:M23)</f>
        <v>86</v>
      </c>
      <c r="N30" s="780"/>
      <c r="O30"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I35"/>
  <sheetViews>
    <sheetView zoomScaleNormal="90" workbookViewId="0">
      <pane ySplit="2" topLeftCell="A25" activePane="bottomLeft" state="frozen"/>
      <selection activeCell="N8" sqref="N8"/>
      <selection pane="bottomLeft" activeCell="N8" sqref="N8"/>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413" t="s">
        <v>2182</v>
      </c>
      <c r="B1" s="1413"/>
      <c r="C1" s="1413"/>
      <c r="D1" s="1413"/>
      <c r="E1" s="1413"/>
      <c r="F1" s="1413"/>
      <c r="G1" s="1413"/>
      <c r="H1" s="1413"/>
      <c r="I1" s="1413"/>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91">
        <v>1</v>
      </c>
      <c r="B3" s="1091" t="s">
        <v>2427</v>
      </c>
      <c r="C3" s="1092">
        <v>45867</v>
      </c>
      <c r="D3" s="1092">
        <v>45868</v>
      </c>
      <c r="E3" s="1091">
        <v>2</v>
      </c>
      <c r="F3" s="1093" t="s">
        <v>3288</v>
      </c>
      <c r="G3" s="1091" t="s">
        <v>2438</v>
      </c>
      <c r="H3" s="1094" t="s">
        <v>2428</v>
      </c>
      <c r="I3" s="1095"/>
    </row>
    <row r="4" spans="1:9" s="783" customFormat="1" ht="29">
      <c r="A4" s="1091">
        <f>A3+1</f>
        <v>2</v>
      </c>
      <c r="B4" s="1091" t="s">
        <v>2427</v>
      </c>
      <c r="C4" s="1092">
        <v>45870</v>
      </c>
      <c r="D4" s="1092">
        <v>45870</v>
      </c>
      <c r="E4" s="1091">
        <v>1</v>
      </c>
      <c r="F4" s="1093" t="s">
        <v>3288</v>
      </c>
      <c r="G4" s="1091" t="s">
        <v>2438</v>
      </c>
      <c r="H4" s="1094" t="s">
        <v>2430</v>
      </c>
      <c r="I4" s="1095"/>
    </row>
    <row r="5" spans="1:9" s="783" customFormat="1" ht="29">
      <c r="A5" s="1091">
        <f t="shared" ref="A5:A29" si="0">A4+1</f>
        <v>3</v>
      </c>
      <c r="B5" s="1091" t="s">
        <v>2432</v>
      </c>
      <c r="C5" s="1092">
        <v>45875</v>
      </c>
      <c r="D5" s="1092">
        <v>45875</v>
      </c>
      <c r="E5" s="1091">
        <v>1</v>
      </c>
      <c r="F5" s="1093" t="s">
        <v>3288</v>
      </c>
      <c r="G5" s="1091" t="s">
        <v>2434</v>
      </c>
      <c r="H5" s="1094" t="s">
        <v>2435</v>
      </c>
      <c r="I5" s="1095"/>
    </row>
    <row r="6" spans="1:9" s="783" customFormat="1" ht="29">
      <c r="A6" s="1091">
        <f t="shared" si="0"/>
        <v>4</v>
      </c>
      <c r="B6" s="1091" t="s">
        <v>2427</v>
      </c>
      <c r="C6" s="1092">
        <v>45876</v>
      </c>
      <c r="D6" s="1092">
        <v>45876</v>
      </c>
      <c r="E6" s="1091">
        <v>1</v>
      </c>
      <c r="F6" s="1093" t="s">
        <v>3288</v>
      </c>
      <c r="G6" s="1091" t="s">
        <v>2438</v>
      </c>
      <c r="H6" s="1094" t="s">
        <v>2436</v>
      </c>
      <c r="I6" s="1095"/>
    </row>
    <row r="7" spans="1:9" s="783" customFormat="1" ht="29">
      <c r="A7" s="1091">
        <f t="shared" si="0"/>
        <v>5</v>
      </c>
      <c r="B7" s="1091" t="s">
        <v>2427</v>
      </c>
      <c r="C7" s="1092">
        <v>45878</v>
      </c>
      <c r="D7" s="1092">
        <v>45878</v>
      </c>
      <c r="E7" s="1091">
        <v>1</v>
      </c>
      <c r="F7" s="1093" t="s">
        <v>3288</v>
      </c>
      <c r="G7" s="1091" t="s">
        <v>2438</v>
      </c>
      <c r="H7" s="1094" t="s">
        <v>2437</v>
      </c>
      <c r="I7" s="1095"/>
    </row>
    <row r="8" spans="1:9" s="783" customFormat="1" ht="36.5" customHeight="1">
      <c r="A8" s="1091">
        <f t="shared" si="0"/>
        <v>6</v>
      </c>
      <c r="B8" s="1091" t="s">
        <v>2427</v>
      </c>
      <c r="C8" s="1092">
        <v>45881</v>
      </c>
      <c r="D8" s="1092">
        <v>45883</v>
      </c>
      <c r="E8" s="1091">
        <v>3</v>
      </c>
      <c r="F8" s="1093" t="s">
        <v>3288</v>
      </c>
      <c r="G8" s="1091" t="s">
        <v>2429</v>
      </c>
      <c r="H8" s="1094" t="s">
        <v>2439</v>
      </c>
      <c r="I8" s="1095"/>
    </row>
    <row r="9" spans="1:9" s="783" customFormat="1" ht="36.5" customHeight="1">
      <c r="A9" s="1091">
        <f t="shared" si="0"/>
        <v>7</v>
      </c>
      <c r="B9" s="1091" t="s">
        <v>2432</v>
      </c>
      <c r="C9" s="1092">
        <v>45881</v>
      </c>
      <c r="D9" s="1092">
        <v>45881</v>
      </c>
      <c r="E9" s="1091">
        <v>1</v>
      </c>
      <c r="F9" s="1093" t="s">
        <v>3288</v>
      </c>
      <c r="G9" s="1091" t="s">
        <v>2434</v>
      </c>
      <c r="H9" s="1094" t="s">
        <v>2440</v>
      </c>
      <c r="I9" s="1095"/>
    </row>
    <row r="10" spans="1:9" s="783" customFormat="1" ht="36.5" customHeight="1">
      <c r="A10" s="1091">
        <f t="shared" si="0"/>
        <v>8</v>
      </c>
      <c r="B10" s="1091" t="s">
        <v>2432</v>
      </c>
      <c r="C10" s="1092">
        <v>45885</v>
      </c>
      <c r="D10" s="1092">
        <v>45887</v>
      </c>
      <c r="E10" s="1091">
        <v>3</v>
      </c>
      <c r="F10" s="1093" t="s">
        <v>3288</v>
      </c>
      <c r="G10" s="1091" t="s">
        <v>2434</v>
      </c>
      <c r="H10" s="1094" t="s">
        <v>2442</v>
      </c>
      <c r="I10" s="1095"/>
    </row>
    <row r="11" spans="1:9" s="783" customFormat="1" ht="36.5" customHeight="1">
      <c r="A11" s="1091">
        <f t="shared" si="0"/>
        <v>9</v>
      </c>
      <c r="B11" s="1091" t="s">
        <v>2427</v>
      </c>
      <c r="C11" s="1092">
        <v>45886</v>
      </c>
      <c r="D11" s="1092">
        <v>45887</v>
      </c>
      <c r="E11" s="1091">
        <v>2</v>
      </c>
      <c r="F11" s="1093" t="s">
        <v>3288</v>
      </c>
      <c r="G11" s="1091" t="s">
        <v>2429</v>
      </c>
      <c r="H11" s="1094" t="s">
        <v>2441</v>
      </c>
      <c r="I11" s="1095"/>
    </row>
    <row r="12" spans="1:9" s="783" customFormat="1" ht="36.5" customHeight="1">
      <c r="A12" s="1091">
        <f t="shared" si="0"/>
        <v>10</v>
      </c>
      <c r="B12" s="1091" t="s">
        <v>2427</v>
      </c>
      <c r="C12" s="1092">
        <v>45889</v>
      </c>
      <c r="D12" s="1092">
        <v>45889</v>
      </c>
      <c r="E12" s="1091">
        <v>0.5</v>
      </c>
      <c r="F12" s="1093" t="s">
        <v>3288</v>
      </c>
      <c r="G12" s="1091" t="s">
        <v>2446</v>
      </c>
      <c r="H12" s="1094" t="s">
        <v>2443</v>
      </c>
      <c r="I12" s="1095"/>
    </row>
    <row r="13" spans="1:9" s="783" customFormat="1" ht="36.5" customHeight="1">
      <c r="A13" s="1091">
        <f t="shared" si="0"/>
        <v>11</v>
      </c>
      <c r="B13" s="1091" t="s">
        <v>2427</v>
      </c>
      <c r="C13" s="1092">
        <v>45892</v>
      </c>
      <c r="D13" s="1092">
        <v>45897</v>
      </c>
      <c r="E13" s="1091">
        <v>6</v>
      </c>
      <c r="F13" s="1093" t="s">
        <v>3288</v>
      </c>
      <c r="G13" s="1091" t="s">
        <v>2446</v>
      </c>
      <c r="H13" s="1094" t="s">
        <v>2444</v>
      </c>
      <c r="I13" s="1095"/>
    </row>
    <row r="14" spans="1:9" s="783" customFormat="1" ht="36.5" customHeight="1">
      <c r="A14" s="1091">
        <f t="shared" si="0"/>
        <v>12</v>
      </c>
      <c r="B14" s="1091" t="s">
        <v>2432</v>
      </c>
      <c r="C14" s="1092">
        <v>45892</v>
      </c>
      <c r="D14" s="1092">
        <v>45897</v>
      </c>
      <c r="E14" s="1091">
        <v>6</v>
      </c>
      <c r="F14" s="1093" t="s">
        <v>3288</v>
      </c>
      <c r="G14" s="1091" t="s">
        <v>2434</v>
      </c>
      <c r="H14" s="1094" t="s">
        <v>2445</v>
      </c>
      <c r="I14" s="1095"/>
    </row>
    <row r="15" spans="1:9" s="783" customFormat="1" ht="36.5" customHeight="1">
      <c r="A15" s="1091">
        <f t="shared" si="0"/>
        <v>13</v>
      </c>
      <c r="B15" s="1091" t="s">
        <v>2427</v>
      </c>
      <c r="C15" s="1092">
        <v>45899</v>
      </c>
      <c r="D15" s="1092">
        <v>45903</v>
      </c>
      <c r="E15" s="1091">
        <v>5</v>
      </c>
      <c r="F15" s="1093" t="s">
        <v>3288</v>
      </c>
      <c r="G15" s="1091" t="s">
        <v>2447</v>
      </c>
      <c r="H15" s="1094" t="s">
        <v>2444</v>
      </c>
      <c r="I15" s="1095"/>
    </row>
    <row r="16" spans="1:9" s="783" customFormat="1" ht="36.5" customHeight="1">
      <c r="A16" s="1091">
        <f t="shared" si="0"/>
        <v>14</v>
      </c>
      <c r="B16" s="1091" t="s">
        <v>2432</v>
      </c>
      <c r="C16" s="1092">
        <v>45898</v>
      </c>
      <c r="D16" s="1092">
        <v>45911</v>
      </c>
      <c r="E16" s="1091">
        <v>14</v>
      </c>
      <c r="F16" s="1093" t="s">
        <v>3288</v>
      </c>
      <c r="G16" s="1091" t="s">
        <v>2434</v>
      </c>
      <c r="H16" s="1094" t="s">
        <v>2448</v>
      </c>
      <c r="I16" s="1095"/>
    </row>
    <row r="17" spans="1:9" s="783" customFormat="1" ht="36.5" customHeight="1">
      <c r="A17" s="1091">
        <f t="shared" si="0"/>
        <v>15</v>
      </c>
      <c r="B17" s="1091" t="s">
        <v>2729</v>
      </c>
      <c r="C17" s="1092">
        <v>45897</v>
      </c>
      <c r="D17" s="1092">
        <v>45917</v>
      </c>
      <c r="E17" s="1091">
        <f>D17-C17</f>
        <v>20</v>
      </c>
      <c r="F17" s="1093" t="s">
        <v>3288</v>
      </c>
      <c r="G17" s="1091" t="s">
        <v>2754</v>
      </c>
      <c r="H17" s="1094" t="s">
        <v>2753</v>
      </c>
      <c r="I17" s="1095"/>
    </row>
    <row r="18" spans="1:9" s="783" customFormat="1" ht="36.5" customHeight="1">
      <c r="A18" s="1091">
        <f t="shared" si="0"/>
        <v>16</v>
      </c>
      <c r="B18" s="1091" t="s">
        <v>2427</v>
      </c>
      <c r="C18" s="1092">
        <v>45928</v>
      </c>
      <c r="D18" s="1092">
        <v>45929</v>
      </c>
      <c r="E18" s="1091">
        <v>2</v>
      </c>
      <c r="F18" s="1093" t="s">
        <v>3288</v>
      </c>
      <c r="G18" s="1091" t="s">
        <v>2881</v>
      </c>
      <c r="H18" s="1094" t="s">
        <v>2882</v>
      </c>
      <c r="I18" s="1095"/>
    </row>
    <row r="19" spans="1:9" s="783" customFormat="1" ht="36.5" customHeight="1">
      <c r="A19" s="1091">
        <f t="shared" si="0"/>
        <v>17</v>
      </c>
      <c r="B19" s="1091" t="s">
        <v>2427</v>
      </c>
      <c r="C19" s="1092">
        <v>45935</v>
      </c>
      <c r="D19" s="1092">
        <v>45937</v>
      </c>
      <c r="E19" s="1091">
        <v>3</v>
      </c>
      <c r="F19" s="1093" t="s">
        <v>3288</v>
      </c>
      <c r="G19" s="1091" t="s">
        <v>2754</v>
      </c>
      <c r="H19" s="1094" t="s">
        <v>2860</v>
      </c>
      <c r="I19" s="1095"/>
    </row>
    <row r="20" spans="1:9" s="783" customFormat="1" ht="36.5" customHeight="1">
      <c r="A20" s="1091">
        <f t="shared" si="0"/>
        <v>18</v>
      </c>
      <c r="B20" s="1091" t="s">
        <v>2432</v>
      </c>
      <c r="C20" s="1092">
        <v>45935</v>
      </c>
      <c r="D20" s="1092">
        <v>45939</v>
      </c>
      <c r="E20" s="1091">
        <f>D20-C20</f>
        <v>4</v>
      </c>
      <c r="F20" s="1093" t="s">
        <v>3288</v>
      </c>
      <c r="G20" s="1091" t="s">
        <v>2754</v>
      </c>
      <c r="H20" s="1094" t="s">
        <v>2862</v>
      </c>
      <c r="I20" s="1095"/>
    </row>
    <row r="21" spans="1:9" s="783" customFormat="1" ht="36.5" customHeight="1">
      <c r="A21" s="1091">
        <f t="shared" si="0"/>
        <v>19</v>
      </c>
      <c r="B21" s="1091" t="s">
        <v>2729</v>
      </c>
      <c r="C21" s="1092">
        <v>45935</v>
      </c>
      <c r="D21" s="1092">
        <v>45937</v>
      </c>
      <c r="E21" s="1091">
        <v>3</v>
      </c>
      <c r="F21" s="1093" t="s">
        <v>3288</v>
      </c>
      <c r="G21" s="1091" t="s">
        <v>2754</v>
      </c>
      <c r="H21" s="1094" t="s">
        <v>2860</v>
      </c>
      <c r="I21" s="1095"/>
    </row>
    <row r="22" spans="1:9" s="783" customFormat="1" ht="36.5" hidden="1" customHeight="1">
      <c r="A22" s="1091">
        <f t="shared" si="0"/>
        <v>20</v>
      </c>
      <c r="B22" s="1091" t="s">
        <v>2427</v>
      </c>
      <c r="C22" s="1092">
        <v>45943</v>
      </c>
      <c r="D22" s="1092">
        <v>45945</v>
      </c>
      <c r="E22" s="1091">
        <v>3</v>
      </c>
      <c r="F22" s="1093" t="s">
        <v>3288</v>
      </c>
      <c r="G22" s="1091" t="s">
        <v>2881</v>
      </c>
      <c r="H22" s="1094" t="s">
        <v>2880</v>
      </c>
      <c r="I22" s="1095"/>
    </row>
    <row r="23" spans="1:9" s="783" customFormat="1" ht="36.5" hidden="1" customHeight="1">
      <c r="A23" s="1091">
        <f t="shared" si="0"/>
        <v>21</v>
      </c>
      <c r="B23" s="1091" t="s">
        <v>2427</v>
      </c>
      <c r="C23" s="1092">
        <v>45948</v>
      </c>
      <c r="D23" s="1092">
        <v>45948</v>
      </c>
      <c r="E23" s="1091">
        <v>1</v>
      </c>
      <c r="F23" s="1093" t="s">
        <v>3288</v>
      </c>
      <c r="G23" s="1091" t="s">
        <v>2881</v>
      </c>
      <c r="H23" s="1094" t="s">
        <v>2882</v>
      </c>
      <c r="I23" s="1095"/>
    </row>
    <row r="24" spans="1:9" s="783" customFormat="1" ht="36.5" hidden="1" customHeight="1">
      <c r="A24" s="1091">
        <f t="shared" si="0"/>
        <v>22</v>
      </c>
      <c r="B24" s="1091" t="s">
        <v>2427</v>
      </c>
      <c r="C24" s="1092">
        <v>45954</v>
      </c>
      <c r="D24" s="1092">
        <v>45981</v>
      </c>
      <c r="E24" s="1091">
        <f>D24-C24</f>
        <v>27</v>
      </c>
      <c r="F24" s="1093" t="s">
        <v>3288</v>
      </c>
      <c r="G24" s="1096" t="s">
        <v>3139</v>
      </c>
      <c r="H24" s="1094" t="s">
        <v>2882</v>
      </c>
      <c r="I24" s="1095"/>
    </row>
    <row r="25" spans="1:9" s="783" customFormat="1" ht="36.5" customHeight="1">
      <c r="A25" s="1091">
        <f t="shared" si="0"/>
        <v>23</v>
      </c>
      <c r="B25" s="1091" t="s">
        <v>2427</v>
      </c>
      <c r="C25" s="1092">
        <v>45995</v>
      </c>
      <c r="D25" s="1092">
        <v>45997</v>
      </c>
      <c r="E25" s="1091">
        <v>3</v>
      </c>
      <c r="F25" s="1093" t="s">
        <v>3288</v>
      </c>
      <c r="G25" s="1097" t="s">
        <v>3194</v>
      </c>
      <c r="H25" s="1098" t="s">
        <v>3193</v>
      </c>
      <c r="I25" s="1095"/>
    </row>
    <row r="26" spans="1:9" s="783" customFormat="1" ht="36.5" customHeight="1">
      <c r="A26" s="1091">
        <f t="shared" si="0"/>
        <v>24</v>
      </c>
      <c r="B26" s="1091" t="s">
        <v>2427</v>
      </c>
      <c r="C26" s="1092">
        <v>46002</v>
      </c>
      <c r="D26" s="1092">
        <v>46005</v>
      </c>
      <c r="E26" s="1091">
        <f>D26-C26</f>
        <v>3</v>
      </c>
      <c r="F26" s="1093" t="s">
        <v>3288</v>
      </c>
      <c r="G26" s="1099" t="s">
        <v>3258</v>
      </c>
      <c r="H26" s="1098" t="s">
        <v>3193</v>
      </c>
      <c r="I26" s="1095"/>
    </row>
    <row r="27" spans="1:9" s="783" customFormat="1" ht="36.5" customHeight="1">
      <c r="A27" s="1091">
        <f t="shared" si="0"/>
        <v>25</v>
      </c>
      <c r="B27" s="1091" t="s">
        <v>2427</v>
      </c>
      <c r="C27" s="1092">
        <v>46005</v>
      </c>
      <c r="D27" s="1092">
        <v>46007</v>
      </c>
      <c r="E27" s="1091">
        <f>D27-C27</f>
        <v>2</v>
      </c>
      <c r="F27" s="1093" t="s">
        <v>3288</v>
      </c>
      <c r="G27" s="1100" t="s">
        <v>3260</v>
      </c>
      <c r="H27" s="1098" t="s">
        <v>3193</v>
      </c>
      <c r="I27" s="1095"/>
    </row>
    <row r="28" spans="1:9" s="783" customFormat="1" ht="36.5" customHeight="1">
      <c r="A28" s="1091">
        <f t="shared" si="0"/>
        <v>26</v>
      </c>
      <c r="B28" s="1091" t="s">
        <v>2432</v>
      </c>
      <c r="C28" s="1092">
        <v>46003</v>
      </c>
      <c r="D28" s="1092">
        <v>46005</v>
      </c>
      <c r="E28" s="1091">
        <v>2</v>
      </c>
      <c r="F28" s="1093" t="s">
        <v>3288</v>
      </c>
      <c r="G28" s="1100" t="s">
        <v>3261</v>
      </c>
      <c r="H28" s="1098" t="s">
        <v>3193</v>
      </c>
      <c r="I28" s="1095"/>
    </row>
    <row r="29" spans="1:9" s="783" customFormat="1" ht="36.5" customHeight="1">
      <c r="A29" s="1091">
        <f t="shared" si="0"/>
        <v>27</v>
      </c>
      <c r="B29" s="1091" t="s">
        <v>2427</v>
      </c>
      <c r="C29" s="1092">
        <v>46010</v>
      </c>
      <c r="D29" s="1092">
        <v>46011</v>
      </c>
      <c r="E29" s="1091">
        <v>2</v>
      </c>
      <c r="F29" s="1093" t="s">
        <v>3288</v>
      </c>
      <c r="G29" s="1101" t="s">
        <v>3286</v>
      </c>
      <c r="H29" s="1098" t="s">
        <v>3193</v>
      </c>
      <c r="I29" s="1095"/>
    </row>
    <row r="30" spans="1:9" s="1104" customFormat="1" ht="36.5" customHeight="1">
      <c r="A30" s="1091">
        <f t="shared" ref="A30:A35" si="1">A29+1</f>
        <v>28</v>
      </c>
      <c r="B30" s="1091" t="s">
        <v>2432</v>
      </c>
      <c r="C30" s="1092">
        <v>46013</v>
      </c>
      <c r="D30" s="1092">
        <v>46014</v>
      </c>
      <c r="E30" s="1091">
        <v>2</v>
      </c>
      <c r="F30" s="1093" t="s">
        <v>3288</v>
      </c>
      <c r="G30" s="1106" t="s">
        <v>3290</v>
      </c>
      <c r="H30" s="1098" t="s">
        <v>3193</v>
      </c>
      <c r="I30" s="1095"/>
    </row>
    <row r="31" spans="1:9" s="1104" customFormat="1" ht="43.5">
      <c r="A31" s="1115">
        <f t="shared" si="1"/>
        <v>29</v>
      </c>
      <c r="B31" s="1127" t="s">
        <v>2729</v>
      </c>
      <c r="C31" s="1117">
        <v>46021</v>
      </c>
      <c r="D31" s="1117">
        <v>46038</v>
      </c>
      <c r="E31" s="1115">
        <f>D31-C31</f>
        <v>17</v>
      </c>
      <c r="F31" s="1128" t="s">
        <v>3288</v>
      </c>
      <c r="G31" s="1129" t="s">
        <v>3307</v>
      </c>
      <c r="H31" s="1130" t="s">
        <v>3316</v>
      </c>
      <c r="I31" s="1121"/>
    </row>
    <row r="32" spans="1:9" s="1104" customFormat="1" ht="43.5">
      <c r="A32" s="1115">
        <f t="shared" si="1"/>
        <v>30</v>
      </c>
      <c r="B32" s="1116" t="s">
        <v>2427</v>
      </c>
      <c r="C32" s="1117">
        <v>46024</v>
      </c>
      <c r="D32" s="1117">
        <v>46026</v>
      </c>
      <c r="E32" s="1115">
        <f>D32-C32</f>
        <v>2</v>
      </c>
      <c r="F32" s="1118" t="s">
        <v>3288</v>
      </c>
      <c r="G32" s="1119" t="s">
        <v>3300</v>
      </c>
      <c r="H32" s="1120" t="s">
        <v>3301</v>
      </c>
      <c r="I32" s="1121"/>
    </row>
    <row r="33" spans="1:9" s="1104" customFormat="1" ht="43" customHeight="1">
      <c r="A33" s="1115">
        <f t="shared" si="1"/>
        <v>31</v>
      </c>
      <c r="B33" s="1159" t="s">
        <v>2427</v>
      </c>
      <c r="C33" s="1117">
        <v>46045</v>
      </c>
      <c r="D33" s="1117">
        <v>46054</v>
      </c>
      <c r="E33" s="1115">
        <f>D33-C33</f>
        <v>9</v>
      </c>
      <c r="F33" s="1160" t="s">
        <v>3288</v>
      </c>
      <c r="G33" s="1161" t="s">
        <v>2754</v>
      </c>
      <c r="H33" s="1162" t="s">
        <v>3320</v>
      </c>
      <c r="I33" s="1121"/>
    </row>
    <row r="34" spans="1:9" s="1104" customFormat="1" ht="43" customHeight="1">
      <c r="A34" s="1115">
        <f t="shared" si="1"/>
        <v>32</v>
      </c>
      <c r="B34" s="1163" t="s">
        <v>3343</v>
      </c>
      <c r="C34" s="1117">
        <v>46054</v>
      </c>
      <c r="D34" s="1117">
        <v>46057</v>
      </c>
      <c r="E34" s="1115">
        <f>D34-C34</f>
        <v>3</v>
      </c>
      <c r="F34" s="1164" t="s">
        <v>3288</v>
      </c>
      <c r="G34" s="1163" t="s">
        <v>3344</v>
      </c>
      <c r="H34" s="1165" t="s">
        <v>3345</v>
      </c>
      <c r="I34" s="1121"/>
    </row>
    <row r="35" spans="1:9" s="1104" customFormat="1" ht="43" customHeight="1">
      <c r="A35" s="1115">
        <f t="shared" si="1"/>
        <v>33</v>
      </c>
      <c r="B35" s="1167" t="s">
        <v>3351</v>
      </c>
      <c r="C35" s="1117">
        <v>46060</v>
      </c>
      <c r="D35" s="1117">
        <v>46061</v>
      </c>
      <c r="E35" s="1115">
        <v>2</v>
      </c>
      <c r="F35" s="1168" t="s">
        <v>3288</v>
      </c>
      <c r="G35" s="1167" t="s">
        <v>3352</v>
      </c>
      <c r="H35" s="1169" t="s">
        <v>3301</v>
      </c>
      <c r="I35" s="1121"/>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67" t="s">
        <v>1922</v>
      </c>
      <c r="C9" s="1267" t="s">
        <v>1433</v>
      </c>
      <c r="D9" s="1268" t="s">
        <v>2391</v>
      </c>
      <c r="E9" s="1268" t="s">
        <v>44</v>
      </c>
      <c r="F9" s="1267" t="s">
        <v>45</v>
      </c>
      <c r="G9" s="1267" t="s">
        <v>627</v>
      </c>
      <c r="H9" s="1362" t="s">
        <v>2184</v>
      </c>
      <c r="I9" s="1417"/>
      <c r="J9" s="1417"/>
      <c r="K9" s="1417"/>
      <c r="L9" s="1417"/>
      <c r="M9" s="1363"/>
      <c r="N9" s="1362" t="s">
        <v>21</v>
      </c>
      <c r="O9" s="1363"/>
      <c r="P9" s="1267" t="s">
        <v>1766</v>
      </c>
    </row>
    <row r="10" spans="2:16">
      <c r="B10" s="1267"/>
      <c r="C10" s="1267"/>
      <c r="D10" s="1268" t="s">
        <v>2391</v>
      </c>
      <c r="E10" s="1268" t="s">
        <v>44</v>
      </c>
      <c r="F10" s="1267" t="s">
        <v>45</v>
      </c>
      <c r="G10" s="1267" t="s">
        <v>627</v>
      </c>
      <c r="H10" s="756" t="s">
        <v>2393</v>
      </c>
      <c r="I10" s="756" t="s">
        <v>2394</v>
      </c>
      <c r="J10" s="756" t="s">
        <v>2393</v>
      </c>
      <c r="K10" s="756" t="s">
        <v>2394</v>
      </c>
      <c r="L10" s="756" t="s">
        <v>2393</v>
      </c>
      <c r="M10" s="756" t="s">
        <v>2394</v>
      </c>
      <c r="N10" s="9" t="s">
        <v>2393</v>
      </c>
      <c r="O10" s="9" t="s">
        <v>2394</v>
      </c>
      <c r="P10" s="1267"/>
    </row>
    <row r="11" spans="2:16">
      <c r="B11" s="13"/>
      <c r="C11" s="12"/>
      <c r="D11" s="12"/>
      <c r="E11" s="12"/>
      <c r="F11" s="12"/>
      <c r="G11" s="12"/>
      <c r="H11" s="13"/>
      <c r="I11" s="13"/>
      <c r="J11" s="13"/>
      <c r="K11" s="13"/>
      <c r="L11" s="13"/>
      <c r="M11" s="13"/>
      <c r="N11" s="12"/>
      <c r="O11" s="12"/>
      <c r="P11" s="12"/>
    </row>
    <row r="12" spans="2:16">
      <c r="B12" s="13">
        <v>1</v>
      </c>
      <c r="C12" s="1270"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72"/>
    </row>
    <row r="13" spans="2:16">
      <c r="B13" s="13">
        <f t="shared" ref="B13:B30" si="0">B12+1</f>
        <v>2</v>
      </c>
      <c r="C13" s="1270"/>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70"/>
    </row>
    <row r="14" spans="2:16">
      <c r="B14" s="13">
        <f t="shared" si="0"/>
        <v>3</v>
      </c>
      <c r="C14" s="1270"/>
      <c r="D14" s="938" t="s">
        <v>1660</v>
      </c>
      <c r="E14" s="939" t="s">
        <v>53</v>
      </c>
      <c r="F14" s="937" t="s">
        <v>2768</v>
      </c>
      <c r="G14" s="804" t="s">
        <v>2396</v>
      </c>
      <c r="H14" s="808">
        <v>45920</v>
      </c>
      <c r="I14" s="808">
        <f>H14+4</f>
        <v>45924</v>
      </c>
      <c r="J14" s="808">
        <f>H14+2</f>
        <v>45922</v>
      </c>
      <c r="K14" s="808">
        <f>J14+3</f>
        <v>45925</v>
      </c>
      <c r="L14" s="808">
        <f>J14+2</f>
        <v>45924</v>
      </c>
      <c r="M14" s="808">
        <f>L14+3</f>
        <v>45927</v>
      </c>
      <c r="N14" s="809">
        <v>45930</v>
      </c>
      <c r="O14" s="12"/>
      <c r="P14" s="909" t="s">
        <v>2769</v>
      </c>
    </row>
    <row r="15" spans="2:16">
      <c r="B15" s="13">
        <f t="shared" si="0"/>
        <v>4</v>
      </c>
      <c r="C15" s="1270"/>
      <c r="D15" s="801" t="s">
        <v>1657</v>
      </c>
      <c r="E15" s="802" t="s">
        <v>76</v>
      </c>
      <c r="F15" s="937" t="s">
        <v>2768</v>
      </c>
      <c r="G15" s="804" t="s">
        <v>2396</v>
      </c>
      <c r="H15" s="808">
        <v>45897</v>
      </c>
      <c r="I15" s="808">
        <v>45902</v>
      </c>
      <c r="J15" s="808">
        <v>45899</v>
      </c>
      <c r="K15" s="808">
        <v>45903</v>
      </c>
      <c r="L15" s="808">
        <v>45902</v>
      </c>
      <c r="M15" s="808">
        <v>45907</v>
      </c>
      <c r="N15" s="809">
        <v>45926</v>
      </c>
      <c r="O15" s="12"/>
      <c r="P15" s="909" t="s">
        <v>1408</v>
      </c>
    </row>
    <row r="16" spans="2:16">
      <c r="B16" s="13">
        <f t="shared" si="0"/>
        <v>5</v>
      </c>
      <c r="C16" s="1270"/>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4" t="s">
        <v>1408</v>
      </c>
    </row>
    <row r="17" spans="2:16">
      <c r="B17" s="13">
        <f t="shared" si="0"/>
        <v>6</v>
      </c>
      <c r="C17" s="1270"/>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9" t="s">
        <v>2853</v>
      </c>
    </row>
    <row r="18" spans="2:16">
      <c r="B18" s="13">
        <f t="shared" si="0"/>
        <v>7</v>
      </c>
      <c r="C18" s="1270"/>
      <c r="D18" s="938" t="s">
        <v>1116</v>
      </c>
      <c r="E18" s="939" t="s">
        <v>62</v>
      </c>
      <c r="F18" s="937" t="s">
        <v>1767</v>
      </c>
      <c r="G18" s="804" t="s">
        <v>2396</v>
      </c>
      <c r="H18" s="808">
        <v>45902</v>
      </c>
      <c r="I18" s="808">
        <f>H18+3</f>
        <v>45905</v>
      </c>
      <c r="J18" s="808">
        <f>H18+2</f>
        <v>45904</v>
      </c>
      <c r="K18" s="808">
        <f>J18+3</f>
        <v>45907</v>
      </c>
      <c r="L18" s="808">
        <f>J18+1</f>
        <v>45905</v>
      </c>
      <c r="M18" s="808">
        <f>L18+4</f>
        <v>45909</v>
      </c>
      <c r="N18" s="809">
        <v>45925</v>
      </c>
      <c r="O18" s="12"/>
      <c r="P18" s="909" t="s">
        <v>2769</v>
      </c>
    </row>
    <row r="19" spans="2:16">
      <c r="B19" s="13">
        <f t="shared" si="0"/>
        <v>8</v>
      </c>
      <c r="C19" s="1270"/>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270"/>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270"/>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270" t="s">
        <v>2400</v>
      </c>
      <c r="D22" s="875" t="s">
        <v>2756</v>
      </c>
      <c r="E22" s="876" t="s">
        <v>62</v>
      </c>
      <c r="F22" s="877" t="s">
        <v>1767</v>
      </c>
      <c r="G22" s="804" t="s">
        <v>2396</v>
      </c>
      <c r="H22" s="805">
        <v>45905</v>
      </c>
      <c r="I22" s="805">
        <v>45909</v>
      </c>
      <c r="J22" s="805">
        <v>45907</v>
      </c>
      <c r="K22" s="805">
        <v>45910</v>
      </c>
      <c r="L22" s="805">
        <v>45909</v>
      </c>
      <c r="M22" s="806">
        <v>45912</v>
      </c>
      <c r="N22" s="809">
        <v>45925</v>
      </c>
      <c r="O22" s="12"/>
      <c r="P22" s="874" t="s">
        <v>1408</v>
      </c>
    </row>
    <row r="23" spans="2:16">
      <c r="B23" s="13">
        <f t="shared" si="0"/>
        <v>12</v>
      </c>
      <c r="C23" s="1270"/>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270"/>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270"/>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270"/>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270"/>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270"/>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270"/>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270"/>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67" t="s">
        <v>1922</v>
      </c>
      <c r="D39" s="1418" t="s">
        <v>2391</v>
      </c>
      <c r="E39" s="1418" t="s">
        <v>44</v>
      </c>
      <c r="F39" s="1420" t="s">
        <v>45</v>
      </c>
      <c r="G39" s="1420" t="s">
        <v>627</v>
      </c>
      <c r="H39" s="1362" t="s">
        <v>2184</v>
      </c>
      <c r="I39" s="1417"/>
      <c r="J39" s="1417"/>
      <c r="K39" s="1417"/>
      <c r="L39" s="1417"/>
      <c r="M39" s="1363"/>
      <c r="N39" s="1362" t="s">
        <v>21</v>
      </c>
      <c r="O39" s="1363"/>
      <c r="P39" s="10" t="s">
        <v>1766</v>
      </c>
    </row>
    <row r="40" spans="3:16" ht="14.5" customHeight="1">
      <c r="C40" s="1267"/>
      <c r="D40" s="1419"/>
      <c r="E40" s="1419"/>
      <c r="F40" s="1421"/>
      <c r="G40" s="1421"/>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14" t="s">
        <v>2854</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15"/>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16"/>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67" t="s">
        <v>1922</v>
      </c>
      <c r="D52" s="1268" t="s">
        <v>2391</v>
      </c>
      <c r="E52" s="1268" t="s">
        <v>44</v>
      </c>
      <c r="F52" s="1267" t="s">
        <v>45</v>
      </c>
      <c r="G52" s="1267" t="s">
        <v>627</v>
      </c>
      <c r="H52" s="1362" t="s">
        <v>2184</v>
      </c>
      <c r="I52" s="1417"/>
      <c r="J52" s="1417"/>
      <c r="K52" s="1417"/>
      <c r="L52" s="1417"/>
      <c r="M52" s="1363"/>
      <c r="N52" s="1362" t="s">
        <v>21</v>
      </c>
      <c r="O52" s="1363"/>
      <c r="P52" s="10" t="s">
        <v>1766</v>
      </c>
    </row>
    <row r="53" spans="3:16">
      <c r="C53" s="1267"/>
      <c r="D53" s="1268" t="s">
        <v>2391</v>
      </c>
      <c r="E53" s="1268" t="s">
        <v>44</v>
      </c>
      <c r="F53" s="1267" t="s">
        <v>45</v>
      </c>
      <c r="G53" s="1267"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B0F0"/>
  </sheetPr>
  <dimension ref="B1:V46"/>
  <sheetViews>
    <sheetView zoomScale="80" workbookViewId="0">
      <selection activeCell="N8" sqref="N8"/>
    </sheetView>
  </sheetViews>
  <sheetFormatPr defaultRowHeight="14.5"/>
  <cols>
    <col min="1" max="1" width="8.7265625" style="1015"/>
    <col min="2" max="2" width="4.6328125" style="1024" bestFit="1" customWidth="1"/>
    <col min="3" max="3" width="7.36328125" style="1024" customWidth="1"/>
    <col min="4" max="4" width="11" style="1024" hidden="1" customWidth="1"/>
    <col min="5" max="5" width="7.36328125" style="1024" customWidth="1"/>
    <col min="6" max="6" width="10.90625" style="1024" bestFit="1" customWidth="1"/>
    <col min="7" max="7" width="10.54296875" style="1015" bestFit="1" customWidth="1"/>
    <col min="8" max="8" width="9.90625" style="1024" customWidth="1"/>
    <col min="9" max="9" width="2" style="1015" customWidth="1"/>
    <col min="10" max="11" width="8.7265625" style="1015"/>
    <col min="12" max="12" width="11.54296875" style="1015" hidden="1" customWidth="1"/>
    <col min="13" max="13" width="8.7265625" style="1015" customWidth="1"/>
    <col min="14" max="14" width="8.7265625" style="1015"/>
    <col min="15" max="15" width="10.54296875" style="1015" bestFit="1" customWidth="1"/>
    <col min="16" max="16" width="8.6328125" style="1015" customWidth="1"/>
    <col min="17" max="17" width="2.81640625" style="1015" customWidth="1"/>
    <col min="18" max="19" width="8.7265625" style="1015"/>
    <col min="20" max="20" width="8.7265625" style="1015" hidden="1" customWidth="1"/>
    <col min="21" max="21" width="8.7265625" style="1015" customWidth="1"/>
    <col min="22" max="16384" width="8.7265625" style="1015"/>
  </cols>
  <sheetData>
    <row r="1" spans="2:22">
      <c r="B1" s="1422" t="s">
        <v>3124</v>
      </c>
      <c r="C1" s="1422"/>
      <c r="D1" s="1422"/>
      <c r="E1" s="1422"/>
      <c r="F1" s="1422"/>
      <c r="G1" s="1422"/>
      <c r="H1" s="1422"/>
      <c r="J1" s="1423" t="s">
        <v>3125</v>
      </c>
      <c r="K1" s="1423"/>
      <c r="L1" s="1423"/>
      <c r="M1" s="1423"/>
      <c r="N1" s="1423"/>
      <c r="O1" s="1423"/>
      <c r="P1" s="1423"/>
      <c r="R1" s="1422" t="s">
        <v>3126</v>
      </c>
      <c r="S1" s="1422"/>
      <c r="T1" s="1422"/>
      <c r="U1" s="1422"/>
      <c r="V1" s="1422"/>
    </row>
    <row r="2" spans="2:22" ht="20.5" customHeight="1">
      <c r="B2" s="1423" t="s">
        <v>1786</v>
      </c>
      <c r="C2" s="1423" t="s">
        <v>3127</v>
      </c>
      <c r="D2" s="1424" t="s">
        <v>3317</v>
      </c>
      <c r="E2" s="1424" t="s">
        <v>3328</v>
      </c>
      <c r="F2" s="1424" t="s">
        <v>3129</v>
      </c>
      <c r="G2" s="1057" t="s">
        <v>3302</v>
      </c>
      <c r="H2" s="1423" t="s">
        <v>19</v>
      </c>
      <c r="J2" s="1423" t="s">
        <v>1786</v>
      </c>
      <c r="K2" s="1423" t="s">
        <v>3127</v>
      </c>
      <c r="L2" s="1424" t="s">
        <v>3317</v>
      </c>
      <c r="M2" s="1424" t="s">
        <v>3328</v>
      </c>
      <c r="N2" s="1424" t="s">
        <v>3129</v>
      </c>
      <c r="O2" s="1057" t="s">
        <v>3302</v>
      </c>
      <c r="P2" s="1423" t="s">
        <v>19</v>
      </c>
      <c r="R2" s="1423" t="s">
        <v>1786</v>
      </c>
      <c r="S2" s="1423" t="s">
        <v>3127</v>
      </c>
      <c r="T2" s="1424" t="s">
        <v>3128</v>
      </c>
      <c r="U2" s="1424" t="s">
        <v>3328</v>
      </c>
      <c r="V2" s="1424" t="s">
        <v>3129</v>
      </c>
    </row>
    <row r="3" spans="2:22" ht="20.5" customHeight="1">
      <c r="B3" s="1423"/>
      <c r="C3" s="1423"/>
      <c r="D3" s="1423"/>
      <c r="E3" s="1424"/>
      <c r="F3" s="1424"/>
      <c r="G3" s="1016"/>
      <c r="H3" s="1423"/>
      <c r="J3" s="1423"/>
      <c r="K3" s="1423"/>
      <c r="L3" s="1423"/>
      <c r="M3" s="1424"/>
      <c r="N3" s="1424"/>
      <c r="O3" s="1016"/>
      <c r="P3" s="1423"/>
      <c r="R3" s="1423"/>
      <c r="S3" s="1423"/>
      <c r="T3" s="1423"/>
      <c r="U3" s="1424"/>
      <c r="V3" s="1424"/>
    </row>
    <row r="4" spans="2:22">
      <c r="B4" s="1017">
        <v>1</v>
      </c>
      <c r="C4" s="1017" t="s">
        <v>1675</v>
      </c>
      <c r="D4" s="1017">
        <v>201</v>
      </c>
      <c r="E4" s="1425">
        <f>370+64</f>
        <v>434</v>
      </c>
      <c r="F4" s="1017">
        <v>186</v>
      </c>
      <c r="G4" s="1017"/>
      <c r="H4" s="1059"/>
      <c r="J4" s="1017">
        <v>1</v>
      </c>
      <c r="K4" s="1017" t="s">
        <v>1675</v>
      </c>
      <c r="L4" s="1017">
        <v>1</v>
      </c>
      <c r="M4" s="1425">
        <v>129</v>
      </c>
      <c r="N4" s="1017">
        <v>2</v>
      </c>
      <c r="O4" s="1017"/>
      <c r="P4" s="1058"/>
      <c r="R4" s="1018">
        <v>1</v>
      </c>
      <c r="S4" s="1018" t="s">
        <v>1872</v>
      </c>
      <c r="T4" s="1018">
        <v>13</v>
      </c>
      <c r="U4" s="1018">
        <v>14</v>
      </c>
      <c r="V4" s="1018">
        <v>10</v>
      </c>
    </row>
    <row r="5" spans="2:22">
      <c r="B5" s="1018">
        <f>B4+1</f>
        <v>2</v>
      </c>
      <c r="C5" s="1017" t="s">
        <v>2422</v>
      </c>
      <c r="D5" s="1017">
        <v>57</v>
      </c>
      <c r="E5" s="1425"/>
      <c r="F5" s="1017">
        <v>49</v>
      </c>
      <c r="G5" s="1017"/>
      <c r="H5" s="1059"/>
      <c r="J5" s="1017">
        <f>J4+1</f>
        <v>2</v>
      </c>
      <c r="K5" s="1017" t="s">
        <v>2422</v>
      </c>
      <c r="L5" s="1017">
        <v>20</v>
      </c>
      <c r="M5" s="1425"/>
      <c r="N5" s="1017">
        <v>18.75</v>
      </c>
      <c r="O5" s="1017"/>
      <c r="P5" s="1058"/>
      <c r="R5" s="1426" t="s">
        <v>994</v>
      </c>
      <c r="S5" s="1426"/>
      <c r="T5" s="1020">
        <f>SUM(T1:T4)</f>
        <v>13</v>
      </c>
      <c r="U5" s="1020">
        <f>SUM(U1:U4)</f>
        <v>14</v>
      </c>
      <c r="V5" s="1020">
        <f>SUM(V1:V4)</f>
        <v>10</v>
      </c>
    </row>
    <row r="6" spans="2:22">
      <c r="B6" s="1018">
        <f>B5+1</f>
        <v>3</v>
      </c>
      <c r="C6" s="1017" t="s">
        <v>2423</v>
      </c>
      <c r="D6" s="1017">
        <v>44</v>
      </c>
      <c r="E6" s="1425"/>
      <c r="F6" s="1017">
        <v>38</v>
      </c>
      <c r="G6" s="1017"/>
      <c r="H6" s="1059"/>
      <c r="J6" s="1017">
        <f>J5+1</f>
        <v>3</v>
      </c>
      <c r="K6" s="1017" t="s">
        <v>2423</v>
      </c>
      <c r="L6" s="1017">
        <v>21</v>
      </c>
      <c r="M6" s="1425"/>
      <c r="N6" s="1017">
        <v>16.75</v>
      </c>
      <c r="O6" s="1017"/>
      <c r="P6" s="1058"/>
    </row>
    <row r="7" spans="2:22">
      <c r="B7" s="1018">
        <f>B6+1</f>
        <v>4</v>
      </c>
      <c r="C7" s="1017" t="s">
        <v>2451</v>
      </c>
      <c r="D7" s="1017">
        <v>63</v>
      </c>
      <c r="E7" s="1425"/>
      <c r="F7" s="1017">
        <v>54</v>
      </c>
      <c r="G7" s="1017"/>
      <c r="H7" s="1018"/>
      <c r="J7" s="1017">
        <f>J6+1</f>
        <v>4</v>
      </c>
      <c r="K7" s="1017" t="s">
        <v>2451</v>
      </c>
      <c r="L7" s="1017">
        <f>22+7</f>
        <v>29</v>
      </c>
      <c r="M7" s="1425"/>
      <c r="N7" s="1017">
        <v>26</v>
      </c>
      <c r="O7" s="1017"/>
      <c r="P7" s="1017"/>
    </row>
    <row r="8" spans="2:22">
      <c r="B8" s="1426" t="s">
        <v>994</v>
      </c>
      <c r="C8" s="1426"/>
      <c r="D8" s="1020">
        <f t="shared" ref="D8:F8" si="0">SUM(D4:D7)</f>
        <v>365</v>
      </c>
      <c r="E8" s="1020">
        <f t="shared" si="0"/>
        <v>434</v>
      </c>
      <c r="F8" s="1020">
        <f t="shared" si="0"/>
        <v>327</v>
      </c>
      <c r="G8" s="1020"/>
      <c r="H8" s="1018"/>
      <c r="J8" s="1427" t="s">
        <v>994</v>
      </c>
      <c r="K8" s="1427"/>
      <c r="L8" s="1020">
        <f>SUM(L4:L7)</f>
        <v>71</v>
      </c>
      <c r="M8" s="1020">
        <f>SUM(M4:M7)</f>
        <v>129</v>
      </c>
      <c r="N8" s="1020">
        <f>SUM(N4:N7)</f>
        <v>63.5</v>
      </c>
      <c r="O8" s="1020"/>
      <c r="P8" s="1020"/>
    </row>
    <row r="10" spans="2:22">
      <c r="B10" s="1422" t="s">
        <v>3124</v>
      </c>
      <c r="C10" s="1422"/>
      <c r="D10" s="1422"/>
      <c r="E10" s="1422"/>
      <c r="F10" s="1422"/>
      <c r="G10" s="1422"/>
      <c r="H10" s="1422"/>
      <c r="J10" s="1428" t="s">
        <v>3130</v>
      </c>
      <c r="K10" s="1429"/>
      <c r="L10" s="1429"/>
      <c r="M10" s="1429"/>
      <c r="N10" s="1429"/>
      <c r="O10" s="1429"/>
      <c r="P10" s="1430"/>
      <c r="R10" s="1422" t="s">
        <v>3131</v>
      </c>
      <c r="S10" s="1422"/>
      <c r="T10" s="1422"/>
      <c r="U10" s="1422"/>
      <c r="V10" s="1422"/>
    </row>
    <row r="11" spans="2:22" ht="20.5" customHeight="1">
      <c r="B11" s="1423" t="s">
        <v>1786</v>
      </c>
      <c r="C11" s="1423" t="s">
        <v>2925</v>
      </c>
      <c r="D11" s="1424" t="s">
        <v>3317</v>
      </c>
      <c r="E11" s="1424" t="s">
        <v>3328</v>
      </c>
      <c r="F11" s="1424" t="s">
        <v>3129</v>
      </c>
      <c r="G11" s="1057" t="s">
        <v>3302</v>
      </c>
      <c r="H11" s="1423" t="s">
        <v>19</v>
      </c>
      <c r="J11" s="1423" t="s">
        <v>1786</v>
      </c>
      <c r="K11" s="1424" t="s">
        <v>2925</v>
      </c>
      <c r="L11" s="1424" t="s">
        <v>3317</v>
      </c>
      <c r="M11" s="1424" t="s">
        <v>3328</v>
      </c>
      <c r="N11" s="1424" t="s">
        <v>3129</v>
      </c>
      <c r="O11" s="1057" t="s">
        <v>3302</v>
      </c>
      <c r="P11" s="1423" t="s">
        <v>19</v>
      </c>
      <c r="R11" s="1423" t="s">
        <v>1786</v>
      </c>
      <c r="S11" s="1423" t="s">
        <v>2925</v>
      </c>
      <c r="T11" s="1424" t="s">
        <v>3128</v>
      </c>
      <c r="U11" s="1424" t="s">
        <v>3328</v>
      </c>
      <c r="V11" s="1424" t="s">
        <v>3129</v>
      </c>
    </row>
    <row r="12" spans="2:22" ht="20.5" customHeight="1">
      <c r="B12" s="1423"/>
      <c r="C12" s="1423"/>
      <c r="D12" s="1423"/>
      <c r="E12" s="1424"/>
      <c r="F12" s="1424"/>
      <c r="G12" s="1016"/>
      <c r="H12" s="1423"/>
      <c r="J12" s="1423"/>
      <c r="K12" s="1423"/>
      <c r="L12" s="1423"/>
      <c r="M12" s="1424"/>
      <c r="N12" s="1424"/>
      <c r="O12" s="1016"/>
      <c r="P12" s="1423"/>
      <c r="R12" s="1423"/>
      <c r="S12" s="1423"/>
      <c r="T12" s="1423"/>
      <c r="U12" s="1424"/>
      <c r="V12" s="1424"/>
    </row>
    <row r="13" spans="2:22">
      <c r="B13" s="1017">
        <v>1</v>
      </c>
      <c r="C13" s="1021" t="s">
        <v>1675</v>
      </c>
      <c r="D13" s="1021"/>
      <c r="E13" s="1425">
        <f>101+115</f>
        <v>216</v>
      </c>
      <c r="F13" s="1021"/>
      <c r="G13" s="1021"/>
      <c r="H13" s="1018"/>
      <c r="J13" s="1017">
        <v>1</v>
      </c>
      <c r="K13" s="1021" t="s">
        <v>1675</v>
      </c>
      <c r="L13" s="1021"/>
      <c r="M13" s="1431">
        <v>100</v>
      </c>
      <c r="N13" s="1021"/>
      <c r="O13" s="1021"/>
      <c r="P13" s="1021"/>
      <c r="R13" s="1018">
        <v>1</v>
      </c>
      <c r="S13" s="1018" t="s">
        <v>1872</v>
      </c>
      <c r="T13" s="1018">
        <v>13</v>
      </c>
      <c r="U13" s="1018">
        <v>14</v>
      </c>
      <c r="V13" s="1018"/>
    </row>
    <row r="14" spans="2:22">
      <c r="B14" s="1017"/>
      <c r="C14" s="1017" t="s">
        <v>2900</v>
      </c>
      <c r="D14" s="1017">
        <v>201</v>
      </c>
      <c r="E14" s="1425"/>
      <c r="F14" s="1017">
        <v>171</v>
      </c>
      <c r="G14" s="1017"/>
      <c r="H14" s="1018"/>
      <c r="J14" s="1017"/>
      <c r="K14" s="1017" t="s">
        <v>2900</v>
      </c>
      <c r="L14" s="1017"/>
      <c r="M14" s="1432"/>
      <c r="N14" s="1017"/>
      <c r="O14" s="1017"/>
      <c r="P14" s="1017"/>
      <c r="R14" s="1019" t="s">
        <v>994</v>
      </c>
      <c r="S14" s="1019"/>
      <c r="T14" s="1020">
        <f>SUM(T10:T13)</f>
        <v>13</v>
      </c>
      <c r="U14" s="1020">
        <f>SUM(U10:U13)</f>
        <v>14</v>
      </c>
      <c r="V14" s="1020"/>
    </row>
    <row r="15" spans="2:22">
      <c r="B15" s="1017"/>
      <c r="C15" s="1017" t="s">
        <v>2901</v>
      </c>
      <c r="D15" s="1017">
        <v>140</v>
      </c>
      <c r="E15" s="1425"/>
      <c r="F15" s="1017">
        <v>110</v>
      </c>
      <c r="G15" s="1017"/>
      <c r="H15" s="1018"/>
      <c r="J15" s="1017"/>
      <c r="K15" s="1017" t="s">
        <v>2901</v>
      </c>
      <c r="L15" s="1017"/>
      <c r="M15" s="1432"/>
      <c r="N15" s="1017"/>
      <c r="O15" s="1017"/>
      <c r="P15" s="1017"/>
    </row>
    <row r="16" spans="2:22">
      <c r="B16" s="1017"/>
      <c r="C16" s="1017" t="s">
        <v>3132</v>
      </c>
      <c r="D16" s="1017">
        <v>61</v>
      </c>
      <c r="E16" s="1425"/>
      <c r="F16" s="1017">
        <v>61</v>
      </c>
      <c r="G16" s="1017"/>
      <c r="H16" s="1018"/>
      <c r="J16" s="1017"/>
      <c r="K16" s="1017" t="s">
        <v>3132</v>
      </c>
      <c r="L16" s="1017"/>
      <c r="M16" s="1432"/>
      <c r="N16" s="1017"/>
      <c r="O16" s="1017"/>
      <c r="P16" s="1017"/>
    </row>
    <row r="17" spans="2:16">
      <c r="B17" s="1017"/>
      <c r="C17" s="1017" t="s">
        <v>3133</v>
      </c>
      <c r="D17" s="1017">
        <v>25</v>
      </c>
      <c r="E17" s="1425"/>
      <c r="F17" s="1017">
        <v>22</v>
      </c>
      <c r="G17" s="1017"/>
      <c r="H17" s="1018"/>
      <c r="J17" s="1017"/>
      <c r="K17" s="1017" t="s">
        <v>3133</v>
      </c>
      <c r="L17" s="1017"/>
      <c r="M17" s="1432"/>
      <c r="N17" s="1017"/>
      <c r="O17" s="1017"/>
      <c r="P17" s="1017"/>
    </row>
    <row r="18" spans="2:16">
      <c r="B18" s="1017"/>
      <c r="C18" s="1017" t="s">
        <v>2902</v>
      </c>
      <c r="D18" s="1017">
        <v>6</v>
      </c>
      <c r="E18" s="1425"/>
      <c r="F18" s="1017">
        <v>4</v>
      </c>
      <c r="G18" s="1017"/>
      <c r="H18" s="1018"/>
      <c r="J18" s="1017"/>
      <c r="K18" s="1017" t="s">
        <v>2902</v>
      </c>
      <c r="L18" s="1017"/>
      <c r="M18" s="1432"/>
      <c r="N18" s="1017"/>
      <c r="O18" s="1017"/>
      <c r="P18" s="1017"/>
    </row>
    <row r="19" spans="2:16">
      <c r="B19" s="1018">
        <f>B13+1</f>
        <v>2</v>
      </c>
      <c r="C19" s="1021" t="s">
        <v>2422</v>
      </c>
      <c r="D19" s="1021"/>
      <c r="E19" s="1425"/>
      <c r="F19" s="1021"/>
      <c r="G19" s="1022"/>
      <c r="H19" s="1018"/>
      <c r="J19" s="1018">
        <f>J13+1</f>
        <v>2</v>
      </c>
      <c r="K19" s="1021" t="s">
        <v>2422</v>
      </c>
      <c r="L19" s="1021"/>
      <c r="M19" s="1432"/>
      <c r="N19" s="1021"/>
      <c r="O19" s="1022"/>
      <c r="P19" s="1021"/>
    </row>
    <row r="20" spans="2:16">
      <c r="B20" s="1018"/>
      <c r="C20" s="1017" t="s">
        <v>2900</v>
      </c>
      <c r="D20" s="1017">
        <v>57</v>
      </c>
      <c r="E20" s="1425"/>
      <c r="F20" s="1017">
        <v>34</v>
      </c>
      <c r="G20" s="1018"/>
      <c r="H20" s="1018"/>
      <c r="J20" s="1018"/>
      <c r="K20" s="1017" t="s">
        <v>2900</v>
      </c>
      <c r="L20" s="1017"/>
      <c r="M20" s="1432"/>
      <c r="N20" s="1018">
        <v>14</v>
      </c>
      <c r="O20" s="1018"/>
      <c r="P20" s="1017"/>
    </row>
    <row r="21" spans="2:16">
      <c r="B21" s="1018"/>
      <c r="C21" s="1017" t="s">
        <v>2901</v>
      </c>
      <c r="D21" s="1017">
        <v>49</v>
      </c>
      <c r="E21" s="1425"/>
      <c r="F21" s="1017">
        <v>31</v>
      </c>
      <c r="G21" s="1018"/>
      <c r="H21" s="1018"/>
      <c r="J21" s="1018"/>
      <c r="K21" s="1017" t="s">
        <v>2901</v>
      </c>
      <c r="L21" s="1017"/>
      <c r="M21" s="1432"/>
      <c r="N21" s="1018">
        <v>14</v>
      </c>
      <c r="O21" s="1018"/>
      <c r="P21" s="1017"/>
    </row>
    <row r="22" spans="2:16">
      <c r="B22" s="1018"/>
      <c r="C22" s="1017" t="s">
        <v>3132</v>
      </c>
      <c r="D22" s="1017">
        <v>8</v>
      </c>
      <c r="E22" s="1425"/>
      <c r="F22" s="1017">
        <v>3</v>
      </c>
      <c r="G22" s="1018"/>
      <c r="H22" s="1018"/>
      <c r="J22" s="1018"/>
      <c r="K22" s="1017" t="s">
        <v>3132</v>
      </c>
      <c r="L22" s="1017"/>
      <c r="M22" s="1432"/>
      <c r="N22" s="1018"/>
      <c r="O22" s="1018"/>
      <c r="P22" s="1017"/>
    </row>
    <row r="23" spans="2:16">
      <c r="B23" s="1018"/>
      <c r="C23" s="1017" t="s">
        <v>3133</v>
      </c>
      <c r="D23" s="1017">
        <v>4</v>
      </c>
      <c r="E23" s="1425"/>
      <c r="F23" s="1017">
        <v>2</v>
      </c>
      <c r="G23" s="1018"/>
      <c r="H23" s="1018"/>
      <c r="J23" s="1018"/>
      <c r="K23" s="1017" t="s">
        <v>3133</v>
      </c>
      <c r="L23" s="1017"/>
      <c r="M23" s="1432"/>
      <c r="N23" s="1018"/>
      <c r="O23" s="1018"/>
      <c r="P23" s="1017"/>
    </row>
    <row r="24" spans="2:16">
      <c r="B24" s="1018"/>
      <c r="C24" s="1017" t="s">
        <v>2902</v>
      </c>
      <c r="D24" s="1017">
        <v>9</v>
      </c>
      <c r="E24" s="1425"/>
      <c r="F24" s="1017">
        <v>2</v>
      </c>
      <c r="G24" s="1018"/>
      <c r="H24" s="1018"/>
      <c r="J24" s="1018"/>
      <c r="K24" s="1017" t="s">
        <v>2902</v>
      </c>
      <c r="L24" s="1017"/>
      <c r="M24" s="1432"/>
      <c r="N24" s="1018">
        <v>4</v>
      </c>
      <c r="O24" s="1018"/>
      <c r="P24" s="1017"/>
    </row>
    <row r="25" spans="2:16">
      <c r="B25" s="1018"/>
      <c r="C25" s="1023" t="s">
        <v>3134</v>
      </c>
      <c r="D25" s="1017"/>
      <c r="E25" s="1425"/>
      <c r="F25" s="1017"/>
      <c r="G25" s="1018"/>
      <c r="H25" s="1018"/>
      <c r="J25" s="1018"/>
      <c r="K25" s="1023" t="s">
        <v>3134</v>
      </c>
      <c r="L25" s="1017"/>
      <c r="M25" s="1432"/>
      <c r="N25" s="1017"/>
      <c r="O25" s="1018"/>
      <c r="P25" s="1017"/>
    </row>
    <row r="26" spans="2:16">
      <c r="B26" s="1018"/>
      <c r="C26" s="1023" t="s">
        <v>3135</v>
      </c>
      <c r="D26" s="1017"/>
      <c r="E26" s="1425"/>
      <c r="F26" s="1017"/>
      <c r="G26" s="1018"/>
      <c r="H26" s="1018"/>
      <c r="J26" s="1018"/>
      <c r="K26" s="1023" t="s">
        <v>3135</v>
      </c>
      <c r="L26" s="1017"/>
      <c r="M26" s="1432"/>
      <c r="N26" s="1017"/>
      <c r="O26" s="1018"/>
      <c r="P26" s="1017"/>
    </row>
    <row r="27" spans="2:16">
      <c r="B27" s="1018">
        <f>B19+1</f>
        <v>3</v>
      </c>
      <c r="C27" s="1021" t="s">
        <v>2423</v>
      </c>
      <c r="D27" s="1021"/>
      <c r="E27" s="1425"/>
      <c r="F27" s="1021"/>
      <c r="G27" s="1022"/>
      <c r="H27" s="1018"/>
      <c r="J27" s="1018">
        <f>J19+1</f>
        <v>3</v>
      </c>
      <c r="K27" s="1021" t="s">
        <v>2423</v>
      </c>
      <c r="L27" s="1021"/>
      <c r="M27" s="1432"/>
      <c r="N27" s="1021"/>
      <c r="O27" s="1022"/>
      <c r="P27" s="1021"/>
    </row>
    <row r="28" spans="2:16">
      <c r="B28" s="1018"/>
      <c r="C28" s="1017" t="s">
        <v>2900</v>
      </c>
      <c r="D28" s="1017">
        <v>44</v>
      </c>
      <c r="E28" s="1425"/>
      <c r="F28" s="1017">
        <v>25</v>
      </c>
      <c r="G28" s="1018"/>
      <c r="H28" s="1018"/>
      <c r="J28" s="1018"/>
      <c r="K28" s="1017" t="s">
        <v>2900</v>
      </c>
      <c r="L28" s="1017"/>
      <c r="M28" s="1432"/>
      <c r="N28" s="1018">
        <v>12</v>
      </c>
      <c r="O28" s="1018"/>
      <c r="P28" s="1017"/>
    </row>
    <row r="29" spans="2:16">
      <c r="B29" s="1018"/>
      <c r="C29" s="1017" t="s">
        <v>2901</v>
      </c>
      <c r="D29" s="1017">
        <v>33</v>
      </c>
      <c r="E29" s="1425"/>
      <c r="F29" s="1017">
        <v>22</v>
      </c>
      <c r="G29" s="1018"/>
      <c r="H29" s="1018"/>
      <c r="J29" s="1018"/>
      <c r="K29" s="1017" t="s">
        <v>2901</v>
      </c>
      <c r="L29" s="1017"/>
      <c r="M29" s="1432"/>
      <c r="N29" s="1018">
        <v>12</v>
      </c>
      <c r="O29" s="1018"/>
      <c r="P29" s="1017"/>
    </row>
    <row r="30" spans="2:16">
      <c r="B30" s="1018"/>
      <c r="C30" s="1017" t="s">
        <v>3132</v>
      </c>
      <c r="D30" s="1017">
        <v>11</v>
      </c>
      <c r="E30" s="1425"/>
      <c r="F30" s="1017">
        <v>3</v>
      </c>
      <c r="G30" s="1018"/>
      <c r="H30" s="1018"/>
      <c r="J30" s="1018"/>
      <c r="K30" s="1017" t="s">
        <v>3132</v>
      </c>
      <c r="L30" s="1017"/>
      <c r="M30" s="1432"/>
      <c r="N30" s="1018"/>
      <c r="O30" s="1018"/>
      <c r="P30" s="1017"/>
    </row>
    <row r="31" spans="2:16">
      <c r="B31" s="1018"/>
      <c r="C31" s="1017" t="s">
        <v>3133</v>
      </c>
      <c r="D31" s="1017">
        <v>3</v>
      </c>
      <c r="E31" s="1425"/>
      <c r="F31" s="1017">
        <v>2</v>
      </c>
      <c r="G31" s="1018"/>
      <c r="H31" s="1018"/>
      <c r="J31" s="1018"/>
      <c r="K31" s="1017" t="s">
        <v>3133</v>
      </c>
      <c r="L31" s="1017"/>
      <c r="M31" s="1432"/>
      <c r="N31" s="1018"/>
      <c r="O31" s="1018"/>
      <c r="P31" s="1017"/>
    </row>
    <row r="32" spans="2:16">
      <c r="B32" s="1018"/>
      <c r="C32" s="1017" t="s">
        <v>2902</v>
      </c>
      <c r="D32" s="1017">
        <v>6</v>
      </c>
      <c r="E32" s="1425"/>
      <c r="F32" s="1017"/>
      <c r="G32" s="1018"/>
      <c r="H32" s="1018"/>
      <c r="J32" s="1018"/>
      <c r="K32" s="1017" t="s">
        <v>2902</v>
      </c>
      <c r="L32" s="1017"/>
      <c r="M32" s="1432"/>
      <c r="N32" s="1018">
        <v>2</v>
      </c>
      <c r="O32" s="1018"/>
      <c r="P32" s="1017"/>
    </row>
    <row r="33" spans="2:16">
      <c r="B33" s="1018"/>
      <c r="C33" s="1023" t="s">
        <v>3134</v>
      </c>
      <c r="D33" s="1017"/>
      <c r="E33" s="1425"/>
      <c r="F33" s="1017"/>
      <c r="G33" s="1018"/>
      <c r="H33" s="1018"/>
      <c r="J33" s="1018"/>
      <c r="K33" s="1023" t="s">
        <v>3134</v>
      </c>
      <c r="L33" s="1017"/>
      <c r="M33" s="1432"/>
      <c r="N33" s="1018"/>
      <c r="O33" s="1018"/>
      <c r="P33" s="1017"/>
    </row>
    <row r="34" spans="2:16">
      <c r="B34" s="1018"/>
      <c r="C34" s="1023" t="s">
        <v>3135</v>
      </c>
      <c r="D34" s="1017"/>
      <c r="E34" s="1425"/>
      <c r="F34" s="1017"/>
      <c r="G34" s="1018"/>
      <c r="H34" s="1018"/>
      <c r="J34" s="1018"/>
      <c r="K34" s="1023" t="s">
        <v>3135</v>
      </c>
      <c r="L34" s="1017"/>
      <c r="M34" s="1432"/>
      <c r="N34" s="1018"/>
      <c r="O34" s="1018"/>
      <c r="P34" s="1017"/>
    </row>
    <row r="35" spans="2:16">
      <c r="B35" s="1018">
        <f>B27+1</f>
        <v>4</v>
      </c>
      <c r="C35" s="1021" t="s">
        <v>2451</v>
      </c>
      <c r="D35" s="1021"/>
      <c r="E35" s="1425"/>
      <c r="F35" s="1021"/>
      <c r="G35" s="1022"/>
      <c r="H35" s="1018"/>
      <c r="J35" s="1018">
        <f>J27+1</f>
        <v>4</v>
      </c>
      <c r="K35" s="1021" t="s">
        <v>2451</v>
      </c>
      <c r="L35" s="1021"/>
      <c r="M35" s="1432"/>
      <c r="N35" s="1021"/>
      <c r="O35" s="1022"/>
      <c r="P35" s="1021"/>
    </row>
    <row r="36" spans="2:16">
      <c r="B36" s="1018"/>
      <c r="C36" s="1017" t="s">
        <v>2900</v>
      </c>
      <c r="D36" s="1017">
        <v>63</v>
      </c>
      <c r="E36" s="1425"/>
      <c r="F36" s="1018">
        <v>36</v>
      </c>
      <c r="G36" s="1018"/>
      <c r="H36" s="1018"/>
      <c r="J36" s="1018"/>
      <c r="K36" s="1017" t="s">
        <v>2900</v>
      </c>
      <c r="L36" s="1017"/>
      <c r="M36" s="1432"/>
      <c r="N36" s="1018">
        <v>15</v>
      </c>
      <c r="O36" s="1018"/>
      <c r="P36" s="1017"/>
    </row>
    <row r="37" spans="2:16">
      <c r="B37" s="1018"/>
      <c r="C37" s="1017" t="s">
        <v>2901</v>
      </c>
      <c r="D37" s="1017">
        <v>57</v>
      </c>
      <c r="E37" s="1425"/>
      <c r="F37" s="1018">
        <v>31</v>
      </c>
      <c r="G37" s="1018"/>
      <c r="H37" s="1018"/>
      <c r="J37" s="1018"/>
      <c r="K37" s="1017" t="s">
        <v>2901</v>
      </c>
      <c r="L37" s="1017"/>
      <c r="M37" s="1432"/>
      <c r="N37" s="1018">
        <v>15</v>
      </c>
      <c r="O37" s="1018"/>
      <c r="P37" s="1017"/>
    </row>
    <row r="38" spans="2:16">
      <c r="B38" s="1018"/>
      <c r="C38" s="1017" t="s">
        <v>3132</v>
      </c>
      <c r="D38" s="1017">
        <v>6</v>
      </c>
      <c r="E38" s="1425"/>
      <c r="F38" s="1018">
        <v>5</v>
      </c>
      <c r="G38" s="1018"/>
      <c r="H38" s="1018"/>
      <c r="J38" s="1018"/>
      <c r="K38" s="1017" t="s">
        <v>3132</v>
      </c>
      <c r="L38" s="1017"/>
      <c r="M38" s="1432"/>
      <c r="N38" s="1018"/>
      <c r="O38" s="1018"/>
      <c r="P38" s="1017"/>
    </row>
    <row r="39" spans="2:16">
      <c r="B39" s="1018"/>
      <c r="C39" s="1017" t="s">
        <v>3133</v>
      </c>
      <c r="D39" s="1017">
        <v>3</v>
      </c>
      <c r="E39" s="1425"/>
      <c r="F39" s="1018">
        <v>3</v>
      </c>
      <c r="G39" s="1018"/>
      <c r="H39" s="1018"/>
      <c r="J39" s="1018"/>
      <c r="K39" s="1017" t="s">
        <v>3133</v>
      </c>
      <c r="L39" s="1017"/>
      <c r="M39" s="1432"/>
      <c r="N39" s="1018"/>
      <c r="O39" s="1018"/>
      <c r="P39" s="1017"/>
    </row>
    <row r="40" spans="2:16">
      <c r="B40" s="1018"/>
      <c r="C40" s="1017" t="s">
        <v>2902</v>
      </c>
      <c r="D40" s="1017">
        <v>9</v>
      </c>
      <c r="E40" s="1425"/>
      <c r="F40" s="1017">
        <v>5</v>
      </c>
      <c r="G40" s="1018"/>
      <c r="H40" s="1018"/>
      <c r="J40" s="1018"/>
      <c r="K40" s="1017" t="s">
        <v>2902</v>
      </c>
      <c r="L40" s="1017"/>
      <c r="M40" s="1432"/>
      <c r="N40" s="1018">
        <v>5</v>
      </c>
      <c r="O40" s="1018"/>
      <c r="P40" s="1017"/>
    </row>
    <row r="41" spans="2:16">
      <c r="B41" s="1018"/>
      <c r="C41" s="1017" t="s">
        <v>3136</v>
      </c>
      <c r="D41" s="1017">
        <v>11</v>
      </c>
      <c r="E41" s="1425"/>
      <c r="F41" s="1017"/>
      <c r="G41" s="1018"/>
      <c r="H41" s="1018"/>
      <c r="J41" s="1018"/>
      <c r="K41" s="1017" t="s">
        <v>3136</v>
      </c>
      <c r="L41" s="1017"/>
      <c r="M41" s="1432"/>
      <c r="N41" s="1018"/>
      <c r="O41" s="1018"/>
      <c r="P41" s="1017"/>
    </row>
    <row r="42" spans="2:16">
      <c r="B42" s="1018"/>
      <c r="C42" s="1017" t="s">
        <v>3137</v>
      </c>
      <c r="D42" s="1017">
        <v>10</v>
      </c>
      <c r="E42" s="1425"/>
      <c r="F42" s="1017"/>
      <c r="G42" s="1018"/>
      <c r="H42" s="1018"/>
      <c r="J42" s="1018"/>
      <c r="K42" s="1017" t="s">
        <v>3137</v>
      </c>
      <c r="L42" s="1017"/>
      <c r="M42" s="1432"/>
      <c r="N42" s="1018"/>
      <c r="O42" s="1018"/>
      <c r="P42" s="1017"/>
    </row>
    <row r="43" spans="2:16">
      <c r="B43" s="1018"/>
      <c r="C43" s="1017" t="s">
        <v>3138</v>
      </c>
      <c r="D43" s="1017">
        <v>9</v>
      </c>
      <c r="E43" s="1425"/>
      <c r="F43" s="1017"/>
      <c r="G43" s="1018"/>
      <c r="H43" s="1018"/>
      <c r="J43" s="1018"/>
      <c r="K43" s="1017" t="s">
        <v>3138</v>
      </c>
      <c r="L43" s="1017"/>
      <c r="M43" s="1432"/>
      <c r="N43" s="1018"/>
      <c r="O43" s="1018"/>
      <c r="P43" s="1017"/>
    </row>
    <row r="44" spans="2:16">
      <c r="B44" s="1018"/>
      <c r="C44" s="1023" t="s">
        <v>3134</v>
      </c>
      <c r="D44" s="1017"/>
      <c r="E44" s="1425"/>
      <c r="F44" s="1017"/>
      <c r="G44" s="1018"/>
      <c r="H44" s="1018"/>
      <c r="J44" s="1018"/>
      <c r="K44" s="1023" t="s">
        <v>3134</v>
      </c>
      <c r="L44" s="1017"/>
      <c r="M44" s="1432"/>
      <c r="N44" s="1018"/>
      <c r="O44" s="1018"/>
      <c r="P44" s="1017"/>
    </row>
    <row r="45" spans="2:16">
      <c r="B45" s="1018"/>
      <c r="C45" s="1023" t="s">
        <v>3135</v>
      </c>
      <c r="D45" s="1017"/>
      <c r="E45" s="1425"/>
      <c r="F45" s="1017"/>
      <c r="G45" s="1018"/>
      <c r="H45" s="1018"/>
      <c r="J45" s="1018"/>
      <c r="K45" s="1023" t="s">
        <v>3135</v>
      </c>
      <c r="L45" s="1017"/>
      <c r="M45" s="1433"/>
      <c r="N45" s="1018"/>
      <c r="O45" s="1018"/>
      <c r="P45" s="1017"/>
    </row>
    <row r="46" spans="2:16">
      <c r="B46" s="1426" t="s">
        <v>994</v>
      </c>
      <c r="C46" s="1426"/>
      <c r="D46" s="1020">
        <f>D36+D28+D20+D14</f>
        <v>365</v>
      </c>
      <c r="E46" s="1020">
        <f>E13</f>
        <v>216</v>
      </c>
      <c r="F46" s="1020">
        <f>F36+F28+F20+F14</f>
        <v>266</v>
      </c>
      <c r="G46" s="1020">
        <f>G36+G28+G20+G14</f>
        <v>0</v>
      </c>
      <c r="H46" s="1018"/>
      <c r="J46" s="1426" t="s">
        <v>994</v>
      </c>
      <c r="K46" s="1426"/>
      <c r="L46" s="1020">
        <f>L36+L28+L20+L14</f>
        <v>0</v>
      </c>
      <c r="M46" s="1020">
        <f>M13</f>
        <v>100</v>
      </c>
      <c r="N46" s="1020">
        <f>N36+N28+N20+N14</f>
        <v>41</v>
      </c>
      <c r="O46" s="1020">
        <f>O36+O28+O20+O14</f>
        <v>0</v>
      </c>
      <c r="P46" s="1020"/>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9"/>
      <c r="R3" s="961"/>
      <c r="S3" s="962"/>
      <c r="T3" s="963"/>
    </row>
    <row r="4" spans="1:20" ht="15">
      <c r="A4" s="748" t="s">
        <v>1868</v>
      </c>
      <c r="B4" s="701"/>
      <c r="C4" s="701"/>
      <c r="D4" s="705" t="s">
        <v>1838</v>
      </c>
      <c r="E4" s="705"/>
      <c r="F4" s="740">
        <f>'TB-605'!E1</f>
        <v>46083</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38" t="s">
        <v>2395</v>
      </c>
      <c r="B6" s="1438"/>
      <c r="C6" s="1438"/>
      <c r="D6" s="1438"/>
      <c r="E6" s="1438"/>
      <c r="F6" s="1438"/>
      <c r="G6" s="1438"/>
      <c r="H6" s="1438"/>
      <c r="I6" s="1438"/>
      <c r="J6" s="1438"/>
      <c r="K6" s="1438"/>
      <c r="L6" s="1438"/>
      <c r="M6" s="1438"/>
      <c r="N6" s="1438"/>
      <c r="O6" s="1438"/>
      <c r="P6" s="1438"/>
      <c r="Q6" s="1438"/>
      <c r="R6" s="1438"/>
      <c r="S6" s="1438"/>
      <c r="T6" s="1438"/>
    </row>
    <row r="7" spans="1:20">
      <c r="A7" s="1434" t="s">
        <v>1869</v>
      </c>
      <c r="B7" s="1434"/>
      <c r="C7" s="1434"/>
      <c r="D7" s="1434"/>
      <c r="E7" s="1434"/>
      <c r="F7" s="1434"/>
      <c r="G7" s="1434"/>
      <c r="H7" s="1434"/>
      <c r="I7" s="1434"/>
      <c r="J7" s="1434"/>
      <c r="K7" s="1434"/>
      <c r="L7" s="1434"/>
      <c r="M7" s="1434"/>
      <c r="N7" s="1434"/>
      <c r="O7" s="1434"/>
      <c r="P7" s="1434"/>
      <c r="Q7" s="1434"/>
      <c r="R7" s="1434"/>
      <c r="S7" s="1434"/>
      <c r="T7" s="1434"/>
    </row>
    <row r="8" spans="1:20" ht="15" customHeight="1">
      <c r="A8" s="1435" t="s">
        <v>996</v>
      </c>
      <c r="B8" s="1435" t="s">
        <v>1839</v>
      </c>
      <c r="C8" s="1435" t="s">
        <v>589</v>
      </c>
      <c r="D8" s="1435" t="s">
        <v>1840</v>
      </c>
      <c r="E8" s="1435"/>
      <c r="F8" s="1435"/>
      <c r="G8" s="1435"/>
      <c r="H8" s="1435"/>
      <c r="I8" s="1435"/>
      <c r="J8" s="1435"/>
      <c r="K8" s="1435"/>
      <c r="L8" s="1435"/>
      <c r="M8" s="1435"/>
      <c r="N8" s="1435"/>
      <c r="O8" s="1435"/>
      <c r="P8" s="1435" t="s">
        <v>1841</v>
      </c>
      <c r="Q8" s="1435"/>
      <c r="R8" s="1435"/>
      <c r="S8" s="1435" t="s">
        <v>3342</v>
      </c>
      <c r="T8" s="1435" t="s">
        <v>19</v>
      </c>
    </row>
    <row r="9" spans="1:20" ht="30.75" customHeight="1">
      <c r="A9" s="1435"/>
      <c r="B9" s="1435"/>
      <c r="C9" s="1435"/>
      <c r="D9" s="1436" t="s">
        <v>1843</v>
      </c>
      <c r="E9" s="1436"/>
      <c r="F9" s="1436"/>
      <c r="G9" s="1435" t="s">
        <v>1844</v>
      </c>
      <c r="H9" s="1435"/>
      <c r="I9" s="1435"/>
      <c r="J9" s="1435" t="s">
        <v>1845</v>
      </c>
      <c r="K9" s="1435"/>
      <c r="L9" s="1435"/>
      <c r="M9" s="1439" t="s">
        <v>1846</v>
      </c>
      <c r="N9" s="1439"/>
      <c r="O9" s="1439"/>
      <c r="P9" s="1435"/>
      <c r="Q9" s="1435"/>
      <c r="R9" s="1435"/>
      <c r="S9" s="1435"/>
      <c r="T9" s="1435"/>
    </row>
    <row r="10" spans="1:20" ht="27" customHeight="1">
      <c r="A10" s="1435"/>
      <c r="B10" s="1435"/>
      <c r="C10" s="1435"/>
      <c r="D10" s="952" t="s">
        <v>1847</v>
      </c>
      <c r="E10" s="952" t="s">
        <v>1848</v>
      </c>
      <c r="F10" s="952" t="s">
        <v>1849</v>
      </c>
      <c r="G10" s="708" t="s">
        <v>1847</v>
      </c>
      <c r="H10" s="708" t="s">
        <v>1848</v>
      </c>
      <c r="I10" s="708" t="s">
        <v>1849</v>
      </c>
      <c r="J10" s="708" t="s">
        <v>1847</v>
      </c>
      <c r="K10" s="708" t="s">
        <v>1848</v>
      </c>
      <c r="L10" s="708" t="s">
        <v>1849</v>
      </c>
      <c r="M10" s="708" t="s">
        <v>1847</v>
      </c>
      <c r="N10" s="708" t="s">
        <v>1848</v>
      </c>
      <c r="O10" s="708" t="s">
        <v>1849</v>
      </c>
      <c r="P10" s="708" t="s">
        <v>1847</v>
      </c>
      <c r="Q10" s="708" t="s">
        <v>1848</v>
      </c>
      <c r="R10" s="708" t="s">
        <v>1849</v>
      </c>
      <c r="S10" s="1435"/>
      <c r="T10" s="1435"/>
    </row>
    <row r="11" spans="1:20">
      <c r="A11" s="710">
        <v>1</v>
      </c>
      <c r="B11" s="709" t="s">
        <v>1850</v>
      </c>
      <c r="C11" s="710" t="s">
        <v>1851</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1870</v>
      </c>
      <c r="C12" s="708" t="s">
        <v>1851</v>
      </c>
      <c r="D12" s="953">
        <v>8697</v>
      </c>
      <c r="E12" s="953"/>
      <c r="F12" s="953">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3"/>
      <c r="E13" s="953"/>
      <c r="F13" s="953">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1852</v>
      </c>
      <c r="C14" s="710" t="s">
        <v>1853</v>
      </c>
      <c r="D14" s="711"/>
      <c r="E14" s="711"/>
      <c r="F14" s="711"/>
      <c r="G14" s="711"/>
      <c r="H14" s="711"/>
      <c r="I14" s="711"/>
      <c r="J14" s="711"/>
      <c r="K14" s="711"/>
      <c r="L14" s="711"/>
      <c r="M14" s="711"/>
      <c r="N14" s="712"/>
      <c r="O14" s="712"/>
      <c r="P14" s="712"/>
      <c r="Q14" s="720"/>
      <c r="R14" s="720"/>
      <c r="S14" s="721"/>
      <c r="T14" s="742"/>
    </row>
    <row r="15" spans="1:20">
      <c r="A15" s="708">
        <v>2.1</v>
      </c>
      <c r="B15" s="715" t="s">
        <v>1871</v>
      </c>
      <c r="C15" s="708" t="s">
        <v>1853</v>
      </c>
      <c r="D15" s="955">
        <f>SUM(D16:D21)</f>
        <v>213.14999999999998</v>
      </c>
      <c r="E15" s="955">
        <f>SUM(E16:E21)</f>
        <v>0</v>
      </c>
      <c r="F15" s="955">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1854</v>
      </c>
      <c r="C16" s="708" t="s">
        <v>1853</v>
      </c>
      <c r="D16" s="979">
        <v>8.2240000000000002</v>
      </c>
      <c r="E16" s="979">
        <v>0</v>
      </c>
      <c r="F16" s="979">
        <f t="shared" si="0"/>
        <v>8.2240000000000002</v>
      </c>
      <c r="G16" s="980">
        <v>0</v>
      </c>
      <c r="H16" s="980">
        <v>0</v>
      </c>
      <c r="I16" s="980">
        <f t="shared" si="1"/>
        <v>0</v>
      </c>
      <c r="J16" s="980">
        <v>0.52438099999999999</v>
      </c>
      <c r="K16" s="980">
        <v>0</v>
      </c>
      <c r="L16" s="980">
        <f t="shared" si="2"/>
        <v>0.52438099999999999</v>
      </c>
      <c r="M16" s="980">
        <f t="shared" si="3"/>
        <v>7.6996190000000002</v>
      </c>
      <c r="N16" s="978">
        <f t="shared" si="3"/>
        <v>0</v>
      </c>
      <c r="O16" s="978">
        <f t="shared" si="4"/>
        <v>7.6996190000000002</v>
      </c>
      <c r="P16" s="978">
        <v>1.649</v>
      </c>
      <c r="Q16" s="800"/>
      <c r="R16" s="800">
        <f t="shared" si="5"/>
        <v>1.649</v>
      </c>
      <c r="S16" s="981">
        <v>7.9219999999999997</v>
      </c>
      <c r="T16" s="743"/>
    </row>
    <row r="17" spans="1:20">
      <c r="A17" s="708"/>
      <c r="B17" s="750" t="s">
        <v>1855</v>
      </c>
      <c r="C17" s="708" t="s">
        <v>1853</v>
      </c>
      <c r="D17" s="979">
        <v>42.155999999999999</v>
      </c>
      <c r="E17" s="979">
        <v>0</v>
      </c>
      <c r="F17" s="979">
        <f t="shared" si="0"/>
        <v>42.155999999999999</v>
      </c>
      <c r="G17" s="980">
        <v>0</v>
      </c>
      <c r="H17" s="980">
        <v>0</v>
      </c>
      <c r="I17" s="980">
        <f t="shared" si="1"/>
        <v>0</v>
      </c>
      <c r="J17" s="980">
        <v>0</v>
      </c>
      <c r="K17" s="980">
        <v>0</v>
      </c>
      <c r="L17" s="980">
        <f t="shared" si="2"/>
        <v>0</v>
      </c>
      <c r="M17" s="980">
        <f t="shared" si="3"/>
        <v>42.155999999999999</v>
      </c>
      <c r="N17" s="978">
        <f t="shared" si="3"/>
        <v>0</v>
      </c>
      <c r="O17" s="978">
        <f t="shared" si="4"/>
        <v>42.155999999999999</v>
      </c>
      <c r="P17" s="978">
        <v>10.271000000000001</v>
      </c>
      <c r="Q17" s="800"/>
      <c r="R17" s="800">
        <f t="shared" si="5"/>
        <v>10.271000000000001</v>
      </c>
      <c r="S17" s="981">
        <v>52.061</v>
      </c>
      <c r="T17" s="743"/>
    </row>
    <row r="18" spans="1:20">
      <c r="A18" s="708"/>
      <c r="B18" s="750" t="s">
        <v>1856</v>
      </c>
      <c r="C18" s="708" t="s">
        <v>1853</v>
      </c>
      <c r="D18" s="979">
        <v>117.2</v>
      </c>
      <c r="E18" s="979">
        <v>0</v>
      </c>
      <c r="F18" s="979">
        <f t="shared" si="0"/>
        <v>117.2</v>
      </c>
      <c r="G18" s="980">
        <v>0</v>
      </c>
      <c r="H18" s="980">
        <v>0</v>
      </c>
      <c r="I18" s="980">
        <f t="shared" si="1"/>
        <v>0</v>
      </c>
      <c r="J18" s="980">
        <v>14.70049</v>
      </c>
      <c r="K18" s="980">
        <v>0</v>
      </c>
      <c r="L18" s="980">
        <f t="shared" si="2"/>
        <v>14.70049</v>
      </c>
      <c r="M18" s="980">
        <f t="shared" si="3"/>
        <v>102.49951</v>
      </c>
      <c r="N18" s="978">
        <f t="shared" si="3"/>
        <v>0</v>
      </c>
      <c r="O18" s="978">
        <f t="shared" si="4"/>
        <v>102.49951</v>
      </c>
      <c r="P18" s="978">
        <v>46.856000000000002</v>
      </c>
      <c r="Q18" s="800"/>
      <c r="R18" s="800">
        <f t="shared" si="5"/>
        <v>46.856000000000002</v>
      </c>
      <c r="S18" s="981">
        <v>133.68700000000001</v>
      </c>
      <c r="T18" s="743"/>
    </row>
    <row r="19" spans="1:20">
      <c r="A19" s="708"/>
      <c r="B19" s="750" t="s">
        <v>1857</v>
      </c>
      <c r="C19" s="708" t="s">
        <v>1853</v>
      </c>
      <c r="D19" s="979">
        <v>18.97</v>
      </c>
      <c r="E19" s="979">
        <v>0</v>
      </c>
      <c r="F19" s="979">
        <f t="shared" si="0"/>
        <v>18.97</v>
      </c>
      <c r="G19" s="980">
        <v>0</v>
      </c>
      <c r="H19" s="980">
        <v>0</v>
      </c>
      <c r="I19" s="980">
        <f t="shared" si="1"/>
        <v>0</v>
      </c>
      <c r="J19" s="980">
        <v>0</v>
      </c>
      <c r="K19" s="980">
        <v>0</v>
      </c>
      <c r="L19" s="980">
        <f t="shared" si="2"/>
        <v>0</v>
      </c>
      <c r="M19" s="980">
        <f t="shared" si="3"/>
        <v>18.97</v>
      </c>
      <c r="N19" s="978">
        <f t="shared" si="3"/>
        <v>0</v>
      </c>
      <c r="O19" s="978">
        <f t="shared" si="4"/>
        <v>18.97</v>
      </c>
      <c r="P19" s="978">
        <v>0.13400000000000001</v>
      </c>
      <c r="Q19" s="800"/>
      <c r="R19" s="800">
        <f t="shared" si="5"/>
        <v>0.13400000000000001</v>
      </c>
      <c r="S19" s="981">
        <v>48.517000000000003</v>
      </c>
      <c r="T19" s="743"/>
    </row>
    <row r="20" spans="1:20">
      <c r="A20" s="708"/>
      <c r="B20" s="750" t="s">
        <v>1858</v>
      </c>
      <c r="C20" s="708" t="s">
        <v>1853</v>
      </c>
      <c r="D20" s="979">
        <v>13.324999999999999</v>
      </c>
      <c r="E20" s="979">
        <v>0</v>
      </c>
      <c r="F20" s="979">
        <f t="shared" si="0"/>
        <v>13.324999999999999</v>
      </c>
      <c r="G20" s="980">
        <v>0</v>
      </c>
      <c r="H20" s="980">
        <v>0</v>
      </c>
      <c r="I20" s="980">
        <f t="shared" si="1"/>
        <v>0</v>
      </c>
      <c r="J20" s="980">
        <v>0.46</v>
      </c>
      <c r="K20" s="980">
        <v>0</v>
      </c>
      <c r="L20" s="980">
        <f t="shared" si="2"/>
        <v>0.46</v>
      </c>
      <c r="M20" s="980">
        <f t="shared" si="3"/>
        <v>12.864999999999998</v>
      </c>
      <c r="N20" s="978">
        <f t="shared" si="3"/>
        <v>0</v>
      </c>
      <c r="O20" s="978">
        <f t="shared" si="4"/>
        <v>12.864999999999998</v>
      </c>
      <c r="P20" s="978">
        <v>3.82</v>
      </c>
      <c r="Q20" s="800"/>
      <c r="R20" s="800">
        <f t="shared" si="5"/>
        <v>3.82</v>
      </c>
      <c r="S20" s="981">
        <v>54.777000000000001</v>
      </c>
      <c r="T20" s="743"/>
    </row>
    <row r="21" spans="1:20">
      <c r="A21" s="708"/>
      <c r="B21" s="750" t="s">
        <v>1859</v>
      </c>
      <c r="C21" s="708" t="s">
        <v>1853</v>
      </c>
      <c r="D21" s="979">
        <v>13.275</v>
      </c>
      <c r="E21" s="979">
        <v>0</v>
      </c>
      <c r="F21" s="979">
        <f t="shared" si="0"/>
        <v>13.275</v>
      </c>
      <c r="G21" s="980">
        <v>0</v>
      </c>
      <c r="H21" s="980">
        <v>0</v>
      </c>
      <c r="I21" s="980">
        <f t="shared" si="1"/>
        <v>0</v>
      </c>
      <c r="J21" s="980">
        <v>2.6877800000000001</v>
      </c>
      <c r="K21" s="980">
        <v>0</v>
      </c>
      <c r="L21" s="980">
        <f t="shared" si="2"/>
        <v>2.6877800000000001</v>
      </c>
      <c r="M21" s="980">
        <f t="shared" si="3"/>
        <v>10.58722</v>
      </c>
      <c r="N21" s="978">
        <f t="shared" si="3"/>
        <v>0</v>
      </c>
      <c r="O21" s="978">
        <f t="shared" si="4"/>
        <v>10.58722</v>
      </c>
      <c r="P21" s="978">
        <v>6.1219999999999999</v>
      </c>
      <c r="Q21" s="800"/>
      <c r="R21" s="800">
        <f t="shared" si="5"/>
        <v>6.1219999999999999</v>
      </c>
      <c r="S21" s="981">
        <v>55.323</v>
      </c>
      <c r="T21" s="743"/>
    </row>
    <row r="22" spans="1:20" hidden="1">
      <c r="A22" s="708"/>
      <c r="B22" s="715"/>
      <c r="C22" s="708"/>
      <c r="D22" s="953"/>
      <c r="E22" s="954"/>
      <c r="F22" s="954"/>
      <c r="G22" s="717"/>
      <c r="H22" s="717"/>
      <c r="I22" s="717"/>
      <c r="J22" s="717"/>
      <c r="K22" s="717"/>
      <c r="L22" s="717"/>
      <c r="M22" s="716"/>
      <c r="N22" s="717"/>
      <c r="O22" s="717"/>
      <c r="P22" s="717"/>
      <c r="Q22" s="718"/>
      <c r="R22" s="718"/>
      <c r="S22" s="732"/>
      <c r="T22" s="743"/>
    </row>
    <row r="23" spans="1:20" hidden="1">
      <c r="A23" s="746">
        <v>3</v>
      </c>
      <c r="B23" s="733" t="s">
        <v>1860</v>
      </c>
      <c r="C23" s="734" t="s">
        <v>1861</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1861</v>
      </c>
      <c r="D24" s="957">
        <f>70+10</f>
        <v>80</v>
      </c>
      <c r="E24" s="958">
        <v>0</v>
      </c>
      <c r="F24" s="958">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2422</v>
      </c>
      <c r="C25" s="738" t="s">
        <v>1861</v>
      </c>
      <c r="D25" s="957">
        <f>20+14</f>
        <v>34</v>
      </c>
      <c r="E25" s="958"/>
      <c r="F25" s="958">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2423</v>
      </c>
      <c r="C26" s="738" t="s">
        <v>1861</v>
      </c>
      <c r="D26" s="957">
        <f>12+20</f>
        <v>32</v>
      </c>
      <c r="E26" s="958"/>
      <c r="F26" s="958">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2451</v>
      </c>
      <c r="C27" s="738" t="s">
        <v>1861</v>
      </c>
      <c r="D27" s="957">
        <f>15+10</f>
        <v>25</v>
      </c>
      <c r="E27" s="958"/>
      <c r="F27" s="958">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1872</v>
      </c>
      <c r="C28" s="738" t="s">
        <v>1861</v>
      </c>
      <c r="D28" s="957">
        <v>10</v>
      </c>
      <c r="E28" s="958"/>
      <c r="F28" s="958">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2869</v>
      </c>
      <c r="C29" s="734" t="s">
        <v>1861</v>
      </c>
      <c r="D29" s="957"/>
      <c r="E29" s="958"/>
      <c r="F29" s="958">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2423</v>
      </c>
      <c r="C30" s="738"/>
      <c r="D30" s="957"/>
      <c r="E30" s="958">
        <v>0</v>
      </c>
      <c r="F30" s="958">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2900</v>
      </c>
      <c r="C31" s="738" t="s">
        <v>1861</v>
      </c>
      <c r="D31" s="957">
        <v>20</v>
      </c>
      <c r="E31" s="958"/>
      <c r="F31" s="958">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2901</v>
      </c>
      <c r="C32" s="738" t="s">
        <v>1861</v>
      </c>
      <c r="D32" s="957">
        <v>20</v>
      </c>
      <c r="E32" s="958"/>
      <c r="F32" s="958">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7"/>
      <c r="E33" s="958"/>
      <c r="F33" s="958">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2900</v>
      </c>
      <c r="C34" s="738" t="s">
        <v>1861</v>
      </c>
      <c r="D34" s="957">
        <v>81</v>
      </c>
      <c r="E34" s="958"/>
      <c r="F34" s="958">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2901</v>
      </c>
      <c r="C35" s="738" t="s">
        <v>1861</v>
      </c>
      <c r="D35" s="957">
        <v>61</v>
      </c>
      <c r="E35" s="958"/>
      <c r="F35" s="958">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2902</v>
      </c>
      <c r="C36" s="738" t="s">
        <v>1861</v>
      </c>
      <c r="D36" s="957">
        <v>1</v>
      </c>
      <c r="E36" s="958"/>
      <c r="F36" s="958">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1862</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1863</v>
      </c>
      <c r="C38" s="738" t="s">
        <v>1864</v>
      </c>
      <c r="D38" s="957">
        <v>51</v>
      </c>
      <c r="E38" s="958">
        <v>0</v>
      </c>
      <c r="F38" s="958">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1865</v>
      </c>
      <c r="C39" s="738" t="s">
        <v>608</v>
      </c>
      <c r="D39" s="957">
        <v>130</v>
      </c>
      <c r="E39" s="958">
        <v>0</v>
      </c>
      <c r="F39" s="958">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37" t="s">
        <v>2400</v>
      </c>
      <c r="B42" s="1437"/>
      <c r="C42" s="1437"/>
      <c r="D42" s="1437"/>
      <c r="E42" s="1437"/>
      <c r="F42" s="1437"/>
      <c r="G42" s="1437"/>
      <c r="H42" s="1437"/>
      <c r="I42" s="1437"/>
      <c r="J42" s="1437"/>
      <c r="K42" s="1437"/>
      <c r="L42" s="1437"/>
      <c r="M42" s="1437"/>
      <c r="N42" s="1437"/>
      <c r="O42" s="1437"/>
      <c r="P42" s="1437"/>
      <c r="Q42" s="1437"/>
      <c r="R42" s="1437"/>
      <c r="S42" s="1437"/>
      <c r="T42" s="1437"/>
    </row>
    <row r="43" spans="1:20">
      <c r="A43" s="1434" t="s">
        <v>1869</v>
      </c>
      <c r="B43" s="1434"/>
      <c r="C43" s="1434"/>
      <c r="D43" s="1434"/>
      <c r="E43" s="1434"/>
      <c r="F43" s="1434"/>
      <c r="G43" s="1434"/>
      <c r="H43" s="1434"/>
      <c r="I43" s="1434"/>
      <c r="J43" s="1434"/>
      <c r="K43" s="1434"/>
      <c r="L43" s="1434"/>
      <c r="M43" s="1434"/>
      <c r="N43" s="1434"/>
      <c r="O43" s="1434"/>
      <c r="P43" s="1434"/>
      <c r="Q43" s="1434"/>
      <c r="R43" s="1434"/>
      <c r="S43" s="1434"/>
      <c r="T43" s="1434"/>
    </row>
    <row r="44" spans="1:20">
      <c r="A44" s="1435" t="s">
        <v>996</v>
      </c>
      <c r="B44" s="1435" t="s">
        <v>1839</v>
      </c>
      <c r="C44" s="1435" t="s">
        <v>589</v>
      </c>
      <c r="D44" s="1435" t="s">
        <v>1840</v>
      </c>
      <c r="E44" s="1435"/>
      <c r="F44" s="1435"/>
      <c r="G44" s="1435"/>
      <c r="H44" s="1435"/>
      <c r="I44" s="1435"/>
      <c r="J44" s="1435"/>
      <c r="K44" s="1435"/>
      <c r="L44" s="1435"/>
      <c r="M44" s="1435"/>
      <c r="N44" s="1435"/>
      <c r="O44" s="1435"/>
      <c r="P44" s="1435" t="s">
        <v>1841</v>
      </c>
      <c r="Q44" s="1435"/>
      <c r="R44" s="1435"/>
      <c r="S44" s="1435" t="s">
        <v>3342</v>
      </c>
      <c r="T44" s="1435" t="s">
        <v>19</v>
      </c>
    </row>
    <row r="45" spans="1:20">
      <c r="A45" s="1435"/>
      <c r="B45" s="1435"/>
      <c r="C45" s="1435"/>
      <c r="D45" s="1436" t="s">
        <v>1843</v>
      </c>
      <c r="E45" s="1436"/>
      <c r="F45" s="1436"/>
      <c r="G45" s="1435" t="s">
        <v>1844</v>
      </c>
      <c r="H45" s="1435"/>
      <c r="I45" s="1435"/>
      <c r="J45" s="1435" t="s">
        <v>1845</v>
      </c>
      <c r="K45" s="1435"/>
      <c r="L45" s="1435"/>
      <c r="M45" s="1439" t="s">
        <v>1846</v>
      </c>
      <c r="N45" s="1439"/>
      <c r="O45" s="1439"/>
      <c r="P45" s="1435"/>
      <c r="Q45" s="1435"/>
      <c r="R45" s="1435"/>
      <c r="S45" s="1435"/>
      <c r="T45" s="1435"/>
    </row>
    <row r="46" spans="1:20" ht="25">
      <c r="A46" s="1435"/>
      <c r="B46" s="1435"/>
      <c r="C46" s="1435"/>
      <c r="D46" s="952" t="s">
        <v>1847</v>
      </c>
      <c r="E46" s="952" t="s">
        <v>1848</v>
      </c>
      <c r="F46" s="952" t="s">
        <v>1849</v>
      </c>
      <c r="G46" s="708" t="s">
        <v>1847</v>
      </c>
      <c r="H46" s="708" t="s">
        <v>1848</v>
      </c>
      <c r="I46" s="708" t="s">
        <v>1849</v>
      </c>
      <c r="J46" s="708" t="s">
        <v>1847</v>
      </c>
      <c r="K46" s="708" t="s">
        <v>1848</v>
      </c>
      <c r="L46" s="708" t="s">
        <v>1849</v>
      </c>
      <c r="M46" s="708" t="s">
        <v>1847</v>
      </c>
      <c r="N46" s="708" t="s">
        <v>1848</v>
      </c>
      <c r="O46" s="708" t="s">
        <v>1849</v>
      </c>
      <c r="P46" s="708" t="s">
        <v>1847</v>
      </c>
      <c r="Q46" s="708" t="s">
        <v>1848</v>
      </c>
      <c r="R46" s="708" t="s">
        <v>1849</v>
      </c>
      <c r="S46" s="1435"/>
      <c r="T46" s="1435"/>
    </row>
    <row r="47" spans="1:20">
      <c r="A47" s="710">
        <v>1</v>
      </c>
      <c r="B47" s="709" t="s">
        <v>1850</v>
      </c>
      <c r="C47" s="710" t="s">
        <v>1851</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1870</v>
      </c>
      <c r="C48" s="708" t="s">
        <v>1851</v>
      </c>
      <c r="D48" s="953">
        <v>8697</v>
      </c>
      <c r="E48" s="953"/>
      <c r="F48" s="953">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3"/>
      <c r="E49" s="953"/>
      <c r="F49" s="953">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1852</v>
      </c>
      <c r="C50" s="710" t="s">
        <v>1853</v>
      </c>
      <c r="D50" s="711"/>
      <c r="E50" s="711"/>
      <c r="F50" s="711"/>
      <c r="G50" s="711"/>
      <c r="H50" s="711"/>
      <c r="I50" s="711"/>
      <c r="J50" s="711"/>
      <c r="K50" s="711"/>
      <c r="L50" s="711"/>
      <c r="M50" s="711"/>
      <c r="N50" s="712"/>
      <c r="O50" s="712"/>
      <c r="P50" s="712"/>
      <c r="Q50" s="720"/>
      <c r="R50" s="720"/>
      <c r="S50" s="721"/>
      <c r="T50" s="742"/>
    </row>
    <row r="51" spans="1:20">
      <c r="A51" s="708">
        <v>2.1</v>
      </c>
      <c r="B51" s="715" t="s">
        <v>1871</v>
      </c>
      <c r="C51" s="708" t="s">
        <v>1853</v>
      </c>
      <c r="D51" s="955">
        <f>SUM(D52:D57)</f>
        <v>213.14999999999998</v>
      </c>
      <c r="E51" s="955">
        <f>SUM(E52:E57)</f>
        <v>0</v>
      </c>
      <c r="F51" s="955">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1854</v>
      </c>
      <c r="C52" s="708" t="s">
        <v>1853</v>
      </c>
      <c r="D52" s="979">
        <v>8.2240000000000002</v>
      </c>
      <c r="E52" s="979">
        <v>0</v>
      </c>
      <c r="F52" s="979">
        <f t="shared" ref="F52:F57" si="26">D52+E52</f>
        <v>8.2240000000000002</v>
      </c>
      <c r="G52" s="980">
        <v>0</v>
      </c>
      <c r="H52" s="980">
        <v>0</v>
      </c>
      <c r="I52" s="980">
        <f t="shared" ref="I52:I57" si="27">G52+H52</f>
        <v>0</v>
      </c>
      <c r="J52" s="980">
        <v>0.52438099999999999</v>
      </c>
      <c r="K52" s="980">
        <v>0</v>
      </c>
      <c r="L52" s="980">
        <f t="shared" ref="L52:L57" si="28">J52+K52</f>
        <v>0.52438099999999999</v>
      </c>
      <c r="M52" s="980">
        <f t="shared" ref="M52:M57" si="29">D52+G52-J52</f>
        <v>7.6996190000000002</v>
      </c>
      <c r="N52" s="978">
        <f t="shared" si="23"/>
        <v>0</v>
      </c>
      <c r="O52" s="978">
        <f t="shared" si="24"/>
        <v>7.6996190000000002</v>
      </c>
      <c r="P52" s="978">
        <v>1.649</v>
      </c>
      <c r="Q52" s="800"/>
      <c r="R52" s="800">
        <f t="shared" si="25"/>
        <v>1.649</v>
      </c>
      <c r="S52" s="981">
        <v>6.5645429999999969</v>
      </c>
      <c r="T52" s="743"/>
    </row>
    <row r="53" spans="1:20">
      <c r="A53" s="708"/>
      <c r="B53" s="750" t="s">
        <v>1855</v>
      </c>
      <c r="C53" s="708" t="s">
        <v>1853</v>
      </c>
      <c r="D53" s="979">
        <v>42.155999999999999</v>
      </c>
      <c r="E53" s="979">
        <v>0</v>
      </c>
      <c r="F53" s="979">
        <f t="shared" si="26"/>
        <v>42.155999999999999</v>
      </c>
      <c r="G53" s="980">
        <v>0</v>
      </c>
      <c r="H53" s="980">
        <v>0</v>
      </c>
      <c r="I53" s="980">
        <f t="shared" si="27"/>
        <v>0</v>
      </c>
      <c r="J53" s="980">
        <v>0</v>
      </c>
      <c r="K53" s="980">
        <v>0</v>
      </c>
      <c r="L53" s="980">
        <f t="shared" si="28"/>
        <v>0</v>
      </c>
      <c r="M53" s="980">
        <f t="shared" si="29"/>
        <v>42.155999999999999</v>
      </c>
      <c r="N53" s="978">
        <f t="shared" si="23"/>
        <v>0</v>
      </c>
      <c r="O53" s="978">
        <f t="shared" si="24"/>
        <v>42.155999999999999</v>
      </c>
      <c r="P53" s="978">
        <v>10.271000000000001</v>
      </c>
      <c r="Q53" s="800"/>
      <c r="R53" s="800">
        <f t="shared" si="25"/>
        <v>10.271000000000001</v>
      </c>
      <c r="S53" s="981">
        <v>63.800619000000019</v>
      </c>
      <c r="T53" s="743"/>
    </row>
    <row r="54" spans="1:20">
      <c r="A54" s="708"/>
      <c r="B54" s="750" t="s">
        <v>1856</v>
      </c>
      <c r="C54" s="708" t="s">
        <v>1853</v>
      </c>
      <c r="D54" s="979">
        <v>117.2</v>
      </c>
      <c r="E54" s="979">
        <v>0</v>
      </c>
      <c r="F54" s="979">
        <f t="shared" si="26"/>
        <v>117.2</v>
      </c>
      <c r="G54" s="980">
        <v>0</v>
      </c>
      <c r="H54" s="980">
        <v>0</v>
      </c>
      <c r="I54" s="980">
        <f t="shared" si="27"/>
        <v>0</v>
      </c>
      <c r="J54" s="980">
        <v>14.70049</v>
      </c>
      <c r="K54" s="980">
        <v>0</v>
      </c>
      <c r="L54" s="980">
        <f t="shared" si="28"/>
        <v>14.70049</v>
      </c>
      <c r="M54" s="980">
        <f t="shared" si="29"/>
        <v>102.49951</v>
      </c>
      <c r="N54" s="978">
        <f t="shared" si="23"/>
        <v>0</v>
      </c>
      <c r="O54" s="978">
        <f t="shared" si="24"/>
        <v>102.49951</v>
      </c>
      <c r="P54" s="978">
        <v>46.856000000000002</v>
      </c>
      <c r="Q54" s="800"/>
      <c r="R54" s="800">
        <f t="shared" si="25"/>
        <v>46.856000000000002</v>
      </c>
      <c r="S54" s="981">
        <v>217.02913599999988</v>
      </c>
      <c r="T54" s="743"/>
    </row>
    <row r="55" spans="1:20">
      <c r="A55" s="708"/>
      <c r="B55" s="750" t="s">
        <v>1857</v>
      </c>
      <c r="C55" s="708" t="s">
        <v>1853</v>
      </c>
      <c r="D55" s="979">
        <v>18.97</v>
      </c>
      <c r="E55" s="979">
        <v>0</v>
      </c>
      <c r="F55" s="979">
        <f t="shared" si="26"/>
        <v>18.97</v>
      </c>
      <c r="G55" s="980">
        <v>0</v>
      </c>
      <c r="H55" s="980">
        <v>0</v>
      </c>
      <c r="I55" s="980">
        <f t="shared" si="27"/>
        <v>0</v>
      </c>
      <c r="J55" s="980">
        <v>0</v>
      </c>
      <c r="K55" s="980">
        <v>0</v>
      </c>
      <c r="L55" s="980">
        <f t="shared" si="28"/>
        <v>0</v>
      </c>
      <c r="M55" s="980">
        <f t="shared" si="29"/>
        <v>18.97</v>
      </c>
      <c r="N55" s="978">
        <f t="shared" si="23"/>
        <v>0</v>
      </c>
      <c r="O55" s="978">
        <f t="shared" si="24"/>
        <v>18.97</v>
      </c>
      <c r="P55" s="978">
        <v>0.13400000000000001</v>
      </c>
      <c r="Q55" s="800"/>
      <c r="R55" s="800">
        <f t="shared" si="25"/>
        <v>0.13400000000000001</v>
      </c>
      <c r="S55" s="981">
        <v>19.873999999999999</v>
      </c>
      <c r="T55" s="743"/>
    </row>
    <row r="56" spans="1:20">
      <c r="A56" s="708"/>
      <c r="B56" s="750" t="s">
        <v>1858</v>
      </c>
      <c r="C56" s="708" t="s">
        <v>1853</v>
      </c>
      <c r="D56" s="979">
        <v>13.324999999999999</v>
      </c>
      <c r="E56" s="979">
        <v>0</v>
      </c>
      <c r="F56" s="979">
        <f t="shared" si="26"/>
        <v>13.324999999999999</v>
      </c>
      <c r="G56" s="980">
        <v>0</v>
      </c>
      <c r="H56" s="980">
        <v>0</v>
      </c>
      <c r="I56" s="980">
        <f t="shared" si="27"/>
        <v>0</v>
      </c>
      <c r="J56" s="980">
        <v>0.46</v>
      </c>
      <c r="K56" s="980">
        <v>0</v>
      </c>
      <c r="L56" s="980">
        <f t="shared" si="28"/>
        <v>0.46</v>
      </c>
      <c r="M56" s="980">
        <f t="shared" si="29"/>
        <v>12.864999999999998</v>
      </c>
      <c r="N56" s="978">
        <f t="shared" si="23"/>
        <v>0</v>
      </c>
      <c r="O56" s="978">
        <f t="shared" si="24"/>
        <v>12.864999999999998</v>
      </c>
      <c r="P56" s="978">
        <v>3.82</v>
      </c>
      <c r="Q56" s="800"/>
      <c r="R56" s="800">
        <f t="shared" si="25"/>
        <v>3.82</v>
      </c>
      <c r="S56" s="981">
        <v>16.450118</v>
      </c>
      <c r="T56" s="743"/>
    </row>
    <row r="57" spans="1:20">
      <c r="A57" s="708"/>
      <c r="B57" s="750" t="s">
        <v>1859</v>
      </c>
      <c r="C57" s="708" t="s">
        <v>1853</v>
      </c>
      <c r="D57" s="979">
        <v>13.275</v>
      </c>
      <c r="E57" s="979">
        <v>0</v>
      </c>
      <c r="F57" s="979">
        <f t="shared" si="26"/>
        <v>13.275</v>
      </c>
      <c r="G57" s="980">
        <v>0</v>
      </c>
      <c r="H57" s="980">
        <v>0</v>
      </c>
      <c r="I57" s="980">
        <f t="shared" si="27"/>
        <v>0</v>
      </c>
      <c r="J57" s="980">
        <v>2.6877800000000001</v>
      </c>
      <c r="K57" s="980">
        <v>0</v>
      </c>
      <c r="L57" s="980">
        <f t="shared" si="28"/>
        <v>2.6877800000000001</v>
      </c>
      <c r="M57" s="980">
        <f t="shared" si="29"/>
        <v>10.58722</v>
      </c>
      <c r="N57" s="978">
        <f t="shared" si="23"/>
        <v>0</v>
      </c>
      <c r="O57" s="978">
        <f t="shared" si="24"/>
        <v>10.58722</v>
      </c>
      <c r="P57" s="978">
        <v>6.1219999999999999</v>
      </c>
      <c r="Q57" s="800"/>
      <c r="R57" s="800">
        <f t="shared" si="25"/>
        <v>6.1219999999999999</v>
      </c>
      <c r="S57" s="981">
        <v>14.226665000000047</v>
      </c>
      <c r="T57" s="743"/>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9" t="s">
        <v>3155</v>
      </c>
      <c r="T2" s="961"/>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46083</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39" t="s">
        <v>1869</v>
      </c>
      <c r="B6" s="1439"/>
      <c r="C6" s="1439"/>
      <c r="D6" s="1439"/>
      <c r="E6" s="1439"/>
      <c r="F6" s="1439"/>
      <c r="G6" s="1439"/>
      <c r="H6" s="1439"/>
      <c r="I6" s="1439"/>
      <c r="J6" s="1439"/>
      <c r="K6" s="1439"/>
      <c r="L6" s="1439"/>
      <c r="M6" s="1439"/>
      <c r="N6" s="1439"/>
      <c r="O6" s="1439"/>
      <c r="P6" s="1439"/>
      <c r="Q6" s="1439"/>
      <c r="R6" s="1439"/>
      <c r="S6" s="1439"/>
      <c r="T6" s="1439"/>
    </row>
    <row r="7" spans="1:20" ht="15" customHeight="1">
      <c r="A7" s="1435" t="s">
        <v>996</v>
      </c>
      <c r="B7" s="1435" t="s">
        <v>1839</v>
      </c>
      <c r="C7" s="1435" t="s">
        <v>589</v>
      </c>
      <c r="D7" s="1435" t="s">
        <v>1840</v>
      </c>
      <c r="E7" s="1435"/>
      <c r="F7" s="1435"/>
      <c r="G7" s="1435"/>
      <c r="H7" s="1435"/>
      <c r="I7" s="1435"/>
      <c r="J7" s="1435"/>
      <c r="K7" s="1435"/>
      <c r="L7" s="1435"/>
      <c r="M7" s="1435"/>
      <c r="N7" s="1435"/>
      <c r="O7" s="1435"/>
      <c r="P7" s="1435" t="s">
        <v>1841</v>
      </c>
      <c r="Q7" s="1435"/>
      <c r="R7" s="1435"/>
      <c r="S7" s="1435" t="s">
        <v>1842</v>
      </c>
      <c r="T7" s="1435" t="s">
        <v>19</v>
      </c>
    </row>
    <row r="8" spans="1:20" ht="30.75" customHeight="1">
      <c r="A8" s="1435"/>
      <c r="B8" s="1435"/>
      <c r="C8" s="1435"/>
      <c r="D8" s="1436" t="s">
        <v>1843</v>
      </c>
      <c r="E8" s="1436"/>
      <c r="F8" s="1436"/>
      <c r="G8" s="1435" t="s">
        <v>1844</v>
      </c>
      <c r="H8" s="1435"/>
      <c r="I8" s="1435"/>
      <c r="J8" s="1435" t="s">
        <v>1845</v>
      </c>
      <c r="K8" s="1435"/>
      <c r="L8" s="1435"/>
      <c r="M8" s="1439" t="s">
        <v>1846</v>
      </c>
      <c r="N8" s="1439"/>
      <c r="O8" s="1439"/>
      <c r="P8" s="1435"/>
      <c r="Q8" s="1435"/>
      <c r="R8" s="1435"/>
      <c r="S8" s="1435"/>
      <c r="T8" s="1435"/>
    </row>
    <row r="9" spans="1:20" ht="27" customHeight="1">
      <c r="A9" s="1435"/>
      <c r="B9" s="1435"/>
      <c r="C9" s="1435"/>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35"/>
      <c r="T9" s="1435"/>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f>800+5500</f>
        <v>6300</v>
      </c>
      <c r="E11" s="953"/>
      <c r="F11" s="953">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3"/>
      <c r="E12" s="953"/>
      <c r="F12" s="953">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200.24</v>
      </c>
      <c r="E14" s="955">
        <f t="shared" ref="E14:S14" si="7">SUM(E15:E20)</f>
        <v>0</v>
      </c>
      <c r="F14" s="955">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6">
        <v>4.08</v>
      </c>
      <c r="E15" s="956">
        <v>0</v>
      </c>
      <c r="F15" s="956">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6">
        <v>27.86</v>
      </c>
      <c r="E16" s="956">
        <v>0</v>
      </c>
      <c r="F16" s="956">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6">
        <v>140.46</v>
      </c>
      <c r="E17" s="956">
        <v>0</v>
      </c>
      <c r="F17" s="956">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6">
        <v>8.0299999999999994</v>
      </c>
      <c r="E18" s="956">
        <v>0</v>
      </c>
      <c r="F18" s="956">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6">
        <v>10.06</v>
      </c>
      <c r="E19" s="956">
        <v>0</v>
      </c>
      <c r="F19" s="956">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6">
        <v>9.75</v>
      </c>
      <c r="E20" s="956">
        <v>0</v>
      </c>
      <c r="F20" s="956">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3"/>
      <c r="E21" s="954"/>
      <c r="F21" s="954"/>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7"/>
      <c r="E23" s="958">
        <v>0</v>
      </c>
      <c r="F23" s="958">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7"/>
      <c r="E24" s="958"/>
      <c r="F24" s="958">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7"/>
      <c r="E25" s="958"/>
      <c r="F25" s="958">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7"/>
      <c r="E26" s="958"/>
      <c r="F26" s="958">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7"/>
      <c r="E27" s="958"/>
      <c r="F27" s="958">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7"/>
      <c r="E29" s="958">
        <v>0</v>
      </c>
      <c r="F29" s="958">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7"/>
      <c r="E30" s="958">
        <v>0</v>
      </c>
      <c r="F30" s="958">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60" t="s">
        <v>40</v>
      </c>
      <c r="B4" s="1442" t="s">
        <v>1209</v>
      </c>
      <c r="C4" s="1262" t="s">
        <v>43</v>
      </c>
      <c r="D4" s="1262" t="s">
        <v>44</v>
      </c>
      <c r="E4" s="1262" t="s">
        <v>45</v>
      </c>
      <c r="F4" s="1264" t="s">
        <v>1210</v>
      </c>
      <c r="G4" s="1440" t="s">
        <v>609</v>
      </c>
      <c r="H4" s="1263" t="s">
        <v>49</v>
      </c>
      <c r="I4" s="1441" t="s">
        <v>1215</v>
      </c>
    </row>
    <row r="5" spans="1:9" s="159" customFormat="1" ht="12">
      <c r="A5" s="1260"/>
      <c r="B5" s="1443"/>
      <c r="C5" s="1262"/>
      <c r="D5" s="1262"/>
      <c r="E5" s="1262"/>
      <c r="F5" s="1265"/>
      <c r="G5" s="1440"/>
      <c r="H5" s="1263"/>
      <c r="I5" s="1441"/>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60" t="s">
        <v>1209</v>
      </c>
      <c r="B4" s="1260" t="s">
        <v>40</v>
      </c>
      <c r="C4" s="1262" t="s">
        <v>43</v>
      </c>
      <c r="D4" s="1262" t="s">
        <v>44</v>
      </c>
      <c r="E4" s="1262" t="s">
        <v>45</v>
      </c>
      <c r="F4" s="1262" t="s">
        <v>1210</v>
      </c>
      <c r="G4" s="1440" t="s">
        <v>609</v>
      </c>
      <c r="H4" s="1263" t="s">
        <v>49</v>
      </c>
      <c r="I4" s="1444" t="s">
        <v>1215</v>
      </c>
    </row>
    <row r="5" spans="1:9" s="159" customFormat="1" ht="20.25" customHeight="1">
      <c r="A5" s="1260"/>
      <c r="B5" s="1260"/>
      <c r="C5" s="1262"/>
      <c r="D5" s="1262"/>
      <c r="E5" s="1262"/>
      <c r="F5" s="1262"/>
      <c r="G5" s="1440"/>
      <c r="H5" s="1263"/>
      <c r="I5" s="1444"/>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45" t="s">
        <v>986</v>
      </c>
      <c r="C4" s="1445"/>
      <c r="D4" s="1445"/>
      <c r="E4" s="1445"/>
      <c r="F4" s="1445"/>
      <c r="G4" s="1445"/>
      <c r="H4" s="1445"/>
      <c r="I4" s="1445"/>
      <c r="J4" s="1445"/>
      <c r="K4" s="1445"/>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46" t="s">
        <v>994</v>
      </c>
      <c r="C13" s="1447"/>
      <c r="D13" s="1447"/>
      <c r="E13" s="1448"/>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49" t="s">
        <v>995</v>
      </c>
      <c r="B1" s="1450"/>
      <c r="C1" s="1450"/>
      <c r="D1" s="1450"/>
      <c r="E1" s="1450"/>
      <c r="F1" s="1450"/>
      <c r="G1" s="1450"/>
      <c r="H1" s="1450"/>
      <c r="I1" s="1450"/>
      <c r="J1" s="1450"/>
      <c r="K1" s="1450"/>
      <c r="L1" s="1450"/>
      <c r="M1" s="1450"/>
      <c r="N1" s="1450"/>
      <c r="O1" s="1450"/>
      <c r="P1" s="1450"/>
      <c r="Q1" s="1450"/>
    </row>
    <row r="2" spans="1:23" ht="11.25" customHeight="1">
      <c r="A2" s="1452" t="s">
        <v>996</v>
      </c>
      <c r="B2" s="1455" t="s">
        <v>997</v>
      </c>
      <c r="C2" s="1457" t="s">
        <v>998</v>
      </c>
      <c r="D2" s="1460" t="s">
        <v>44</v>
      </c>
      <c r="E2" s="1460" t="s">
        <v>999</v>
      </c>
      <c r="F2" s="1460" t="s">
        <v>1000</v>
      </c>
      <c r="G2" s="1460" t="s">
        <v>1001</v>
      </c>
      <c r="H2" s="1460"/>
      <c r="I2" s="1460"/>
      <c r="J2" s="1460"/>
      <c r="K2" s="1464" t="s">
        <v>1002</v>
      </c>
      <c r="L2" s="1465"/>
      <c r="M2" s="1464" t="s">
        <v>1003</v>
      </c>
      <c r="N2" s="1465"/>
      <c r="O2" s="1457" t="s">
        <v>1004</v>
      </c>
      <c r="P2" s="1455" t="s">
        <v>1005</v>
      </c>
      <c r="Q2" s="1455" t="s">
        <v>1006</v>
      </c>
    </row>
    <row r="3" spans="1:23" ht="10.5" customHeight="1">
      <c r="A3" s="1453"/>
      <c r="B3" s="1456"/>
      <c r="C3" s="1458"/>
      <c r="D3" s="1461"/>
      <c r="E3" s="1461"/>
      <c r="F3" s="1461"/>
      <c r="G3" s="1461"/>
      <c r="H3" s="1461"/>
      <c r="I3" s="1461"/>
      <c r="J3" s="1461"/>
      <c r="K3" s="1466"/>
      <c r="L3" s="1467"/>
      <c r="M3" s="1466"/>
      <c r="N3" s="1467"/>
      <c r="O3" s="1458"/>
      <c r="P3" s="1456"/>
      <c r="Q3" s="1456"/>
    </row>
    <row r="4" spans="1:23" ht="26.25" customHeight="1">
      <c r="A4" s="1454"/>
      <c r="B4" s="1456"/>
      <c r="C4" s="1459"/>
      <c r="D4" s="1462"/>
      <c r="E4" s="1462"/>
      <c r="F4" s="1462"/>
      <c r="G4" s="348" t="s">
        <v>1007</v>
      </c>
      <c r="H4" s="348" t="s">
        <v>1008</v>
      </c>
      <c r="I4" s="348" t="s">
        <v>1009</v>
      </c>
      <c r="J4" s="348" t="s">
        <v>1010</v>
      </c>
      <c r="K4" s="347" t="s">
        <v>1011</v>
      </c>
      <c r="L4" s="347" t="s">
        <v>1012</v>
      </c>
      <c r="M4" s="362" t="s">
        <v>1011</v>
      </c>
      <c r="N4" s="347" t="s">
        <v>1012</v>
      </c>
      <c r="O4" s="1459"/>
      <c r="P4" s="1463"/>
      <c r="Q4" s="1463"/>
      <c r="R4" s="367"/>
      <c r="S4" s="367"/>
      <c r="T4" s="1451"/>
      <c r="U4" s="1451"/>
      <c r="V4" s="1451"/>
      <c r="W4" s="1451"/>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49" t="s">
        <v>995</v>
      </c>
      <c r="B1" s="1450"/>
      <c r="C1" s="1450"/>
      <c r="D1" s="1450"/>
      <c r="E1" s="1450"/>
      <c r="F1" s="1450"/>
      <c r="G1" s="1450"/>
      <c r="H1" s="1450"/>
      <c r="I1" s="1450"/>
      <c r="J1" s="1450"/>
      <c r="K1" s="1450"/>
      <c r="L1" s="1450"/>
      <c r="M1" s="1450"/>
      <c r="N1" s="1450"/>
      <c r="O1" s="1450"/>
      <c r="P1" s="1450"/>
      <c r="Q1" s="1450"/>
    </row>
    <row r="2" spans="1:17" ht="11.25" customHeight="1">
      <c r="A2" s="1452" t="s">
        <v>996</v>
      </c>
      <c r="B2" s="1455" t="s">
        <v>997</v>
      </c>
      <c r="C2" s="1457" t="s">
        <v>998</v>
      </c>
      <c r="D2" s="1460" t="s">
        <v>44</v>
      </c>
      <c r="E2" s="1460" t="s">
        <v>999</v>
      </c>
      <c r="F2" s="1460" t="s">
        <v>1000</v>
      </c>
      <c r="G2" s="1460" t="s">
        <v>1001</v>
      </c>
      <c r="H2" s="1460"/>
      <c r="I2" s="1460"/>
      <c r="J2" s="1460"/>
      <c r="K2" s="1464" t="s">
        <v>1002</v>
      </c>
      <c r="L2" s="1465"/>
      <c r="M2" s="1464" t="s">
        <v>1003</v>
      </c>
      <c r="N2" s="1465"/>
      <c r="O2" s="1457" t="s">
        <v>1004</v>
      </c>
      <c r="P2" s="1455" t="s">
        <v>1005</v>
      </c>
      <c r="Q2" s="1455" t="s">
        <v>1006</v>
      </c>
    </row>
    <row r="3" spans="1:17" ht="10.5" customHeight="1">
      <c r="A3" s="1453"/>
      <c r="B3" s="1456"/>
      <c r="C3" s="1458"/>
      <c r="D3" s="1461"/>
      <c r="E3" s="1461"/>
      <c r="F3" s="1461"/>
      <c r="G3" s="1461"/>
      <c r="H3" s="1461"/>
      <c r="I3" s="1461"/>
      <c r="J3" s="1461"/>
      <c r="K3" s="1466"/>
      <c r="L3" s="1467"/>
      <c r="M3" s="1466"/>
      <c r="N3" s="1467"/>
      <c r="O3" s="1458"/>
      <c r="P3" s="1456"/>
      <c r="Q3" s="1456"/>
    </row>
    <row r="4" spans="1:17">
      <c r="A4" s="1468"/>
      <c r="B4" s="1469"/>
      <c r="C4" s="1470"/>
      <c r="D4" s="1471"/>
      <c r="E4" s="1471"/>
      <c r="F4" s="1471"/>
      <c r="G4" s="233" t="s">
        <v>1007</v>
      </c>
      <c r="H4" s="233" t="s">
        <v>1008</v>
      </c>
      <c r="I4" s="233" t="s">
        <v>1009</v>
      </c>
      <c r="J4" s="233" t="s">
        <v>1010</v>
      </c>
      <c r="K4" s="232" t="s">
        <v>1011</v>
      </c>
      <c r="L4" s="232" t="s">
        <v>1012</v>
      </c>
      <c r="M4" s="256" t="s">
        <v>1011</v>
      </c>
      <c r="N4" s="232" t="s">
        <v>1012</v>
      </c>
      <c r="O4" s="1470"/>
      <c r="P4" s="1469"/>
      <c r="Q4" s="1469"/>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60" t="s">
        <v>40</v>
      </c>
      <c r="B4" s="1442" t="s">
        <v>1209</v>
      </c>
      <c r="C4" s="1262" t="s">
        <v>43</v>
      </c>
      <c r="D4" s="1262" t="s">
        <v>44</v>
      </c>
      <c r="E4" s="1262" t="s">
        <v>45</v>
      </c>
      <c r="F4" s="1264" t="s">
        <v>1210</v>
      </c>
      <c r="G4" s="1440" t="s">
        <v>609</v>
      </c>
      <c r="H4" s="1263" t="s">
        <v>49</v>
      </c>
    </row>
    <row r="5" spans="1:8">
      <c r="A5" s="1260"/>
      <c r="B5" s="1443"/>
      <c r="C5" s="1262"/>
      <c r="D5" s="1262"/>
      <c r="E5" s="1262"/>
      <c r="F5" s="1265"/>
      <c r="G5" s="1440"/>
      <c r="H5" s="1263"/>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71" t="s">
        <v>1213</v>
      </c>
      <c r="F5" s="1371"/>
      <c r="G5" s="1371" t="s">
        <v>1214</v>
      </c>
      <c r="H5" s="1371"/>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60" t="s">
        <v>1255</v>
      </c>
      <c r="B4" s="1260" t="s">
        <v>41</v>
      </c>
      <c r="C4" s="1261" t="s">
        <v>42</v>
      </c>
      <c r="D4" s="1262" t="s">
        <v>43</v>
      </c>
      <c r="E4" s="1262" t="s">
        <v>44</v>
      </c>
      <c r="F4" s="1266" t="s">
        <v>47</v>
      </c>
      <c r="G4" s="1262" t="s">
        <v>1256</v>
      </c>
      <c r="H4" s="1264" t="s">
        <v>1257</v>
      </c>
      <c r="I4" s="1263" t="s">
        <v>49</v>
      </c>
      <c r="J4" s="1263" t="s">
        <v>1258</v>
      </c>
    </row>
    <row r="5" spans="1:10" s="159" customFormat="1" ht="12">
      <c r="A5" s="1260"/>
      <c r="B5" s="1260"/>
      <c r="C5" s="1261"/>
      <c r="D5" s="1262"/>
      <c r="E5" s="1262"/>
      <c r="F5" s="1266"/>
      <c r="G5" s="1262"/>
      <c r="H5" s="1265"/>
      <c r="I5" s="1263"/>
      <c r="J5" s="1263"/>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5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60" t="s">
        <v>1255</v>
      </c>
      <c r="B4" s="1260" t="s">
        <v>41</v>
      </c>
      <c r="C4" s="1261" t="s">
        <v>42</v>
      </c>
      <c r="D4" s="1262" t="s">
        <v>43</v>
      </c>
      <c r="E4" s="1262" t="s">
        <v>44</v>
      </c>
      <c r="F4" s="1262" t="s">
        <v>1285</v>
      </c>
      <c r="G4" s="1266" t="s">
        <v>47</v>
      </c>
      <c r="H4" s="1262" t="s">
        <v>1256</v>
      </c>
      <c r="I4" s="1264" t="s">
        <v>1257</v>
      </c>
      <c r="J4" s="1263" t="s">
        <v>49</v>
      </c>
      <c r="K4" s="1263" t="s">
        <v>1258</v>
      </c>
    </row>
    <row r="5" spans="1:11" s="159" customFormat="1" ht="12">
      <c r="A5" s="1260"/>
      <c r="B5" s="1260"/>
      <c r="C5" s="1261"/>
      <c r="D5" s="1262"/>
      <c r="E5" s="1262"/>
      <c r="F5" s="1262"/>
      <c r="G5" s="1266"/>
      <c r="H5" s="1262"/>
      <c r="I5" s="1265"/>
      <c r="J5" s="1263"/>
      <c r="K5" s="1263"/>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60" t="s">
        <v>1255</v>
      </c>
      <c r="B4" s="1260" t="s">
        <v>41</v>
      </c>
      <c r="C4" s="1261" t="s">
        <v>42</v>
      </c>
      <c r="D4" s="1262" t="s">
        <v>43</v>
      </c>
      <c r="E4" s="1262" t="s">
        <v>44</v>
      </c>
      <c r="F4" s="1262" t="s">
        <v>1285</v>
      </c>
      <c r="G4" s="1266" t="s">
        <v>47</v>
      </c>
      <c r="H4" s="1262" t="s">
        <v>1256</v>
      </c>
      <c r="I4" s="1264" t="s">
        <v>1257</v>
      </c>
      <c r="J4" s="1263" t="s">
        <v>49</v>
      </c>
      <c r="K4" s="1263" t="s">
        <v>1258</v>
      </c>
    </row>
    <row r="5" spans="1:11" s="159" customFormat="1" ht="12">
      <c r="A5" s="1260"/>
      <c r="B5" s="1260"/>
      <c r="C5" s="1261"/>
      <c r="D5" s="1262"/>
      <c r="E5" s="1262"/>
      <c r="F5" s="1262"/>
      <c r="G5" s="1266"/>
      <c r="H5" s="1262"/>
      <c r="I5" s="1265"/>
      <c r="J5" s="1263"/>
      <c r="K5" s="1263"/>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60" t="s">
        <v>1255</v>
      </c>
      <c r="B4" s="1260" t="s">
        <v>41</v>
      </c>
      <c r="C4" s="1261" t="s">
        <v>42</v>
      </c>
      <c r="D4" s="1262" t="s">
        <v>43</v>
      </c>
      <c r="E4" s="1262" t="s">
        <v>44</v>
      </c>
      <c r="F4" s="1262" t="s">
        <v>1285</v>
      </c>
      <c r="G4" s="1266" t="s">
        <v>47</v>
      </c>
      <c r="H4" s="1262" t="s">
        <v>1256</v>
      </c>
      <c r="I4" s="1262" t="s">
        <v>1257</v>
      </c>
      <c r="J4" s="1263" t="s">
        <v>49</v>
      </c>
      <c r="K4" s="1263" t="s">
        <v>1258</v>
      </c>
    </row>
    <row r="5" spans="1:11" s="159" customFormat="1" ht="12">
      <c r="A5" s="1260"/>
      <c r="B5" s="1260"/>
      <c r="C5" s="1261"/>
      <c r="D5" s="1262"/>
      <c r="E5" s="1262"/>
      <c r="F5" s="1262"/>
      <c r="G5" s="1266"/>
      <c r="H5" s="1262"/>
      <c r="I5" s="1262"/>
      <c r="J5" s="1263"/>
      <c r="K5" s="1263"/>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60" t="s">
        <v>1255</v>
      </c>
      <c r="B4" s="1260" t="s">
        <v>41</v>
      </c>
      <c r="C4" s="1261" t="s">
        <v>42</v>
      </c>
      <c r="D4" s="1262" t="s">
        <v>43</v>
      </c>
      <c r="E4" s="1262" t="s">
        <v>44</v>
      </c>
      <c r="F4" s="1262" t="s">
        <v>1285</v>
      </c>
      <c r="G4" s="1266" t="s">
        <v>47</v>
      </c>
      <c r="H4" s="1262" t="s">
        <v>1256</v>
      </c>
      <c r="I4" s="1263" t="s">
        <v>49</v>
      </c>
      <c r="J4" s="1263" t="s">
        <v>1258</v>
      </c>
    </row>
    <row r="5" spans="1:12" s="159" customFormat="1" ht="12.9" customHeight="1">
      <c r="A5" s="1260"/>
      <c r="B5" s="1260"/>
      <c r="C5" s="1261"/>
      <c r="D5" s="1262"/>
      <c r="E5" s="1262"/>
      <c r="F5" s="1262"/>
      <c r="G5" s="1266"/>
      <c r="H5" s="1262"/>
      <c r="I5" s="1263"/>
      <c r="J5" s="1263"/>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60" t="s">
        <v>1255</v>
      </c>
      <c r="B4" s="1260" t="s">
        <v>41</v>
      </c>
      <c r="C4" s="1261" t="s">
        <v>42</v>
      </c>
      <c r="D4" s="1262" t="s">
        <v>43</v>
      </c>
      <c r="E4" s="1262" t="s">
        <v>44</v>
      </c>
      <c r="F4" s="1262" t="s">
        <v>1285</v>
      </c>
      <c r="G4" s="1266" t="s">
        <v>47</v>
      </c>
      <c r="H4" s="1262" t="s">
        <v>1256</v>
      </c>
      <c r="I4" s="1263" t="s">
        <v>49</v>
      </c>
      <c r="J4" s="1263" t="s">
        <v>1258</v>
      </c>
    </row>
    <row r="5" spans="1:15" s="159" customFormat="1" ht="14.5">
      <c r="A5" s="1260"/>
      <c r="B5" s="1260"/>
      <c r="C5" s="1261"/>
      <c r="D5" s="1262"/>
      <c r="E5" s="1262"/>
      <c r="F5" s="1262"/>
      <c r="G5" s="1266"/>
      <c r="H5" s="1262"/>
      <c r="I5" s="1263"/>
      <c r="J5" s="1263"/>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60" t="s">
        <v>1255</v>
      </c>
      <c r="B4" s="1260" t="s">
        <v>41</v>
      </c>
      <c r="C4" s="1262" t="s">
        <v>43</v>
      </c>
      <c r="D4" s="1262" t="s">
        <v>44</v>
      </c>
      <c r="E4" s="1266" t="s">
        <v>1419</v>
      </c>
      <c r="F4" s="1263" t="s">
        <v>49</v>
      </c>
      <c r="G4" s="1263" t="s">
        <v>1258</v>
      </c>
    </row>
    <row r="5" spans="1:7">
      <c r="A5" s="1260"/>
      <c r="B5" s="1260"/>
      <c r="C5" s="1262"/>
      <c r="D5" s="1262"/>
      <c r="E5" s="1266"/>
      <c r="F5" s="1263"/>
      <c r="G5" s="1263"/>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60" t="s">
        <v>1255</v>
      </c>
      <c r="B4" s="1260" t="s">
        <v>41</v>
      </c>
      <c r="C4" s="1262" t="s">
        <v>43</v>
      </c>
      <c r="D4" s="1262" t="s">
        <v>44</v>
      </c>
      <c r="E4" s="1266" t="s">
        <v>47</v>
      </c>
      <c r="F4" s="1262" t="s">
        <v>1256</v>
      </c>
      <c r="G4" s="1263" t="s">
        <v>49</v>
      </c>
      <c r="H4" s="1263" t="s">
        <v>1258</v>
      </c>
    </row>
    <row r="5" spans="1:8">
      <c r="A5" s="1260"/>
      <c r="B5" s="1260"/>
      <c r="C5" s="1262"/>
      <c r="D5" s="1262"/>
      <c r="E5" s="1266"/>
      <c r="F5" s="1262"/>
      <c r="G5" s="1263"/>
      <c r="H5" s="1263"/>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60" t="s">
        <v>1255</v>
      </c>
      <c r="B4" s="1260" t="s">
        <v>41</v>
      </c>
      <c r="C4" s="1262" t="s">
        <v>43</v>
      </c>
      <c r="D4" s="1262" t="s">
        <v>44</v>
      </c>
      <c r="E4" s="1266" t="s">
        <v>47</v>
      </c>
      <c r="F4" s="1262" t="s">
        <v>1256</v>
      </c>
      <c r="G4" s="1263" t="s">
        <v>49</v>
      </c>
      <c r="H4" s="1263" t="s">
        <v>1258</v>
      </c>
    </row>
    <row r="5" spans="1:8">
      <c r="A5" s="1260"/>
      <c r="B5" s="1260"/>
      <c r="C5" s="1262"/>
      <c r="D5" s="1262"/>
      <c r="E5" s="1266"/>
      <c r="F5" s="1262"/>
      <c r="G5" s="1263"/>
      <c r="H5" s="1263"/>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60" t="s">
        <v>1255</v>
      </c>
      <c r="B4" s="1260" t="s">
        <v>41</v>
      </c>
      <c r="C4" s="1262" t="s">
        <v>43</v>
      </c>
      <c r="D4" s="1262" t="s">
        <v>44</v>
      </c>
      <c r="E4" s="1266" t="s">
        <v>1419</v>
      </c>
      <c r="F4" s="1263" t="s">
        <v>49</v>
      </c>
      <c r="G4" s="1263" t="s">
        <v>1258</v>
      </c>
    </row>
    <row r="5" spans="1:7">
      <c r="A5" s="1260"/>
      <c r="B5" s="1260"/>
      <c r="C5" s="1262"/>
      <c r="D5" s="1262"/>
      <c r="E5" s="1266"/>
      <c r="F5" s="1263"/>
      <c r="G5" s="1263"/>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72" t="s">
        <v>1430</v>
      </c>
      <c r="B3" s="1473"/>
      <c r="C3" s="1473"/>
      <c r="D3" s="1473"/>
      <c r="E3" s="1473"/>
      <c r="F3" s="597"/>
      <c r="G3" s="598"/>
      <c r="H3" s="597"/>
      <c r="I3" s="597"/>
      <c r="J3" s="597"/>
      <c r="K3" s="597"/>
      <c r="L3" s="597"/>
      <c r="M3" s="599"/>
    </row>
    <row r="4" spans="1:19" s="600" customFormat="1">
      <c r="A4" s="1474" t="s">
        <v>1431</v>
      </c>
      <c r="B4" s="1474"/>
      <c r="C4" s="1474"/>
      <c r="D4" s="1474"/>
      <c r="E4" s="1474"/>
      <c r="F4" s="1474"/>
      <c r="G4" s="1474"/>
      <c r="H4" s="1474"/>
      <c r="I4" s="1474"/>
      <c r="J4" s="1474"/>
      <c r="K4" s="1474"/>
      <c r="L4" s="1474"/>
      <c r="M4" s="1474"/>
    </row>
    <row r="5" spans="1:19" s="600" customFormat="1" ht="18" customHeight="1">
      <c r="A5" s="1476" t="s">
        <v>1432</v>
      </c>
      <c r="B5" s="1475" t="s">
        <v>1433</v>
      </c>
      <c r="C5" s="1475"/>
      <c r="D5" s="1475"/>
      <c r="E5" s="1475"/>
      <c r="F5" s="1475" t="s">
        <v>1434</v>
      </c>
      <c r="G5" s="1475"/>
      <c r="H5" s="1475"/>
      <c r="I5" s="1475" t="s">
        <v>1435</v>
      </c>
      <c r="J5" s="1475"/>
      <c r="K5" s="1475"/>
      <c r="L5" s="1476" t="s">
        <v>1436</v>
      </c>
      <c r="M5" s="1477" t="s">
        <v>19</v>
      </c>
    </row>
    <row r="6" spans="1:19" s="600" customFormat="1" ht="18" customHeight="1">
      <c r="A6" s="1476"/>
      <c r="B6" s="601" t="s">
        <v>1437</v>
      </c>
      <c r="C6" s="601" t="s">
        <v>1438</v>
      </c>
      <c r="D6" s="601" t="s">
        <v>1439</v>
      </c>
      <c r="E6" s="601" t="s">
        <v>1440</v>
      </c>
      <c r="F6" s="601" t="s">
        <v>1441</v>
      </c>
      <c r="G6" s="601" t="s">
        <v>1442</v>
      </c>
      <c r="H6" s="601" t="s">
        <v>1443</v>
      </c>
      <c r="I6" s="601" t="s">
        <v>1441</v>
      </c>
      <c r="J6" s="601" t="s">
        <v>1442</v>
      </c>
      <c r="K6" s="601" t="s">
        <v>1443</v>
      </c>
      <c r="L6" s="1476"/>
      <c r="M6" s="1477"/>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78" t="s">
        <v>1448</v>
      </c>
      <c r="B3" s="1479"/>
      <c r="C3" s="1479"/>
      <c r="D3" s="1479"/>
      <c r="E3" s="1479"/>
      <c r="F3" s="1479"/>
      <c r="G3" s="1479"/>
      <c r="H3" s="1479"/>
      <c r="I3" s="1479"/>
      <c r="J3" s="1479"/>
      <c r="K3" s="1479"/>
      <c r="L3" s="1479"/>
    </row>
    <row r="4" spans="1:12" s="112" customFormat="1" ht="16.5" customHeight="1">
      <c r="A4" s="1481" t="s">
        <v>1432</v>
      </c>
      <c r="B4" s="1480" t="s">
        <v>1433</v>
      </c>
      <c r="C4" s="1480"/>
      <c r="D4" s="1480"/>
      <c r="E4" s="1480" t="s">
        <v>1434</v>
      </c>
      <c r="F4" s="1480"/>
      <c r="G4" s="1480"/>
      <c r="H4" s="1480" t="s">
        <v>1435</v>
      </c>
      <c r="I4" s="1480"/>
      <c r="J4" s="1480"/>
      <c r="K4" s="1481" t="s">
        <v>1436</v>
      </c>
      <c r="L4" s="1482" t="s">
        <v>19</v>
      </c>
    </row>
    <row r="5" spans="1:12" s="112" customFormat="1">
      <c r="A5" s="1481"/>
      <c r="B5" s="116" t="s">
        <v>1437</v>
      </c>
      <c r="C5" s="116" t="s">
        <v>1438</v>
      </c>
      <c r="D5" s="117" t="s">
        <v>1439</v>
      </c>
      <c r="E5" s="116" t="s">
        <v>1441</v>
      </c>
      <c r="F5" s="116" t="s">
        <v>1442</v>
      </c>
      <c r="G5" s="116" t="s">
        <v>1443</v>
      </c>
      <c r="H5" s="116" t="s">
        <v>1441</v>
      </c>
      <c r="I5" s="116" t="s">
        <v>1442</v>
      </c>
      <c r="J5" s="116" t="s">
        <v>1443</v>
      </c>
      <c r="K5" s="1481"/>
      <c r="L5" s="1482"/>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85" t="s">
        <v>1461</v>
      </c>
      <c r="B1" s="1485"/>
      <c r="C1" s="1485"/>
      <c r="D1" s="1486"/>
      <c r="E1" s="1486"/>
      <c r="F1" s="1486"/>
      <c r="G1" s="1486"/>
      <c r="H1" s="1486"/>
      <c r="I1" s="1486"/>
      <c r="J1" s="1486"/>
      <c r="K1" s="1486"/>
      <c r="L1" s="1486"/>
    </row>
    <row r="2" spans="1:13" ht="16.25" customHeight="1">
      <c r="A2" s="1487" t="s">
        <v>39</v>
      </c>
      <c r="B2" s="1487"/>
      <c r="C2" s="1487"/>
      <c r="D2" s="1488"/>
      <c r="E2" s="1488"/>
      <c r="F2" s="1488"/>
      <c r="G2" s="1488"/>
      <c r="H2" s="1488"/>
      <c r="I2" s="1488"/>
      <c r="J2" s="1488"/>
      <c r="K2" s="1488"/>
      <c r="L2" s="1488"/>
    </row>
    <row r="3" spans="1:13">
      <c r="A3" s="1489" t="s">
        <v>1671</v>
      </c>
      <c r="B3" s="1489"/>
      <c r="C3" s="1489"/>
      <c r="D3" s="1489"/>
      <c r="E3" s="1489"/>
      <c r="F3" s="1489"/>
      <c r="G3" s="1489"/>
      <c r="H3" s="1489"/>
      <c r="I3" s="1489"/>
      <c r="J3" s="1489"/>
      <c r="K3" s="1489"/>
      <c r="L3" s="1489"/>
    </row>
    <row r="4" spans="1:13" s="552" customFormat="1" ht="61.25" customHeight="1">
      <c r="A4" s="562" t="s">
        <v>1462</v>
      </c>
      <c r="B4" s="1490" t="s">
        <v>1433</v>
      </c>
      <c r="C4" s="149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91" t="s">
        <v>1473</v>
      </c>
      <c r="B14" s="1492"/>
      <c r="C14" s="1492"/>
      <c r="D14" s="585">
        <f>SUM(D5:D13)</f>
        <v>29.576000000000001</v>
      </c>
      <c r="E14" s="585">
        <f>SUM(E5:E13)</f>
        <v>31.869</v>
      </c>
      <c r="F14" s="586"/>
      <c r="G14" s="587"/>
      <c r="H14" s="587"/>
      <c r="I14" s="587"/>
      <c r="J14" s="588"/>
      <c r="K14" s="588"/>
      <c r="L14" s="589"/>
      <c r="M14" s="557"/>
    </row>
    <row r="15" spans="1:13" s="552" customFormat="1" ht="16.75" customHeight="1">
      <c r="A15" s="1483" t="s">
        <v>1474</v>
      </c>
      <c r="B15" s="1484"/>
      <c r="C15" s="1484"/>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85" t="s">
        <v>1461</v>
      </c>
      <c r="B1" s="1485"/>
      <c r="C1" s="1485"/>
      <c r="D1" s="1486"/>
      <c r="E1" s="1486"/>
      <c r="F1" s="1486"/>
      <c r="G1" s="1486"/>
      <c r="H1" s="1486"/>
      <c r="I1" s="1486"/>
      <c r="J1" s="1486"/>
      <c r="K1" s="1486"/>
      <c r="L1" s="1486"/>
    </row>
    <row r="2" spans="1:13" ht="16.25" customHeight="1">
      <c r="A2" s="1487" t="s">
        <v>39</v>
      </c>
      <c r="B2" s="1487"/>
      <c r="C2" s="1487"/>
      <c r="D2" s="1488"/>
      <c r="E2" s="1488"/>
      <c r="F2" s="1488"/>
      <c r="G2" s="1488"/>
      <c r="H2" s="1488"/>
      <c r="I2" s="1488"/>
      <c r="J2" s="1488"/>
      <c r="K2" s="1488"/>
      <c r="L2" s="1488"/>
    </row>
    <row r="3" spans="1:13" ht="15" thickBot="1">
      <c r="A3" s="1489" t="s">
        <v>1672</v>
      </c>
      <c r="B3" s="1489"/>
      <c r="C3" s="1489"/>
      <c r="D3" s="1489"/>
      <c r="E3" s="1489"/>
      <c r="F3" s="1489"/>
      <c r="G3" s="1489"/>
      <c r="H3" s="1489"/>
      <c r="I3" s="1489"/>
      <c r="J3" s="1489"/>
      <c r="K3" s="1489"/>
      <c r="L3" s="1489"/>
    </row>
    <row r="4" spans="1:13" s="552" customFormat="1" ht="61.25" customHeight="1" thickBot="1">
      <c r="A4" s="562" t="s">
        <v>1462</v>
      </c>
      <c r="B4" s="1490" t="s">
        <v>1433</v>
      </c>
      <c r="C4" s="149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91" t="s">
        <v>1473</v>
      </c>
      <c r="B14" s="1492"/>
      <c r="C14" s="1492"/>
      <c r="D14" s="585">
        <f>SUM(D5:D13)</f>
        <v>30.052</v>
      </c>
      <c r="E14" s="585">
        <f>SUM(E7:E13)</f>
        <v>0</v>
      </c>
      <c r="F14" s="586"/>
      <c r="G14" s="587"/>
      <c r="H14" s="587"/>
      <c r="I14" s="587"/>
      <c r="J14" s="588"/>
      <c r="K14" s="588"/>
      <c r="L14" s="589"/>
      <c r="M14" s="557"/>
    </row>
    <row r="15" spans="1:13" s="552" customFormat="1" ht="16.75" customHeight="1" thickBot="1">
      <c r="A15" s="1483" t="s">
        <v>1474</v>
      </c>
      <c r="B15" s="1484"/>
      <c r="C15" s="1484"/>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93" t="s">
        <v>1475</v>
      </c>
      <c r="B1" s="1494"/>
      <c r="C1" s="1494"/>
      <c r="D1" s="1494"/>
      <c r="E1" s="1494"/>
      <c r="F1" s="1494"/>
      <c r="G1" s="1494"/>
      <c r="H1" s="1494"/>
      <c r="I1" s="1494"/>
      <c r="J1" s="1494"/>
      <c r="K1" s="1494"/>
      <c r="L1" s="1494"/>
      <c r="M1" s="1494"/>
      <c r="N1" s="1494"/>
      <c r="O1" s="1494"/>
      <c r="P1" s="1494"/>
      <c r="Q1" s="1495"/>
    </row>
    <row r="2" spans="1:19" ht="18.5">
      <c r="A2" s="1516" t="s">
        <v>1476</v>
      </c>
      <c r="B2" s="1519" t="s">
        <v>1477</v>
      </c>
      <c r="C2" s="1496" t="s">
        <v>1478</v>
      </c>
      <c r="D2" s="1497"/>
      <c r="E2" s="1497"/>
      <c r="F2" s="1497"/>
      <c r="G2" s="1497"/>
      <c r="H2" s="1497"/>
      <c r="I2" s="1498"/>
      <c r="J2" s="60"/>
      <c r="K2" s="1499" t="s">
        <v>1479</v>
      </c>
      <c r="L2" s="1500"/>
      <c r="M2" s="1500"/>
      <c r="N2" s="1500"/>
      <c r="O2" s="1500"/>
      <c r="P2" s="1500"/>
      <c r="Q2" s="1501"/>
    </row>
    <row r="3" spans="1:19" ht="29.25" customHeight="1">
      <c r="A3" s="1517"/>
      <c r="B3" s="1520"/>
      <c r="C3" s="1502" t="s">
        <v>1433</v>
      </c>
      <c r="D3" s="1421"/>
      <c r="E3" s="1419" t="s">
        <v>1480</v>
      </c>
      <c r="F3" s="1419" t="s">
        <v>1481</v>
      </c>
      <c r="G3" s="1419" t="s">
        <v>1482</v>
      </c>
      <c r="H3" s="1506" t="s">
        <v>1483</v>
      </c>
      <c r="I3" s="1508" t="s">
        <v>19</v>
      </c>
      <c r="J3" s="61"/>
      <c r="K3" s="1503" t="s">
        <v>1433</v>
      </c>
      <c r="L3" s="1504"/>
      <c r="M3" s="1524" t="s">
        <v>1480</v>
      </c>
      <c r="N3" s="1524" t="s">
        <v>1481</v>
      </c>
      <c r="O3" s="1524" t="s">
        <v>1482</v>
      </c>
      <c r="P3" s="1525" t="s">
        <v>1483</v>
      </c>
      <c r="Q3" s="1510" t="s">
        <v>19</v>
      </c>
    </row>
    <row r="4" spans="1:19">
      <c r="A4" s="1518"/>
      <c r="B4" s="1521"/>
      <c r="C4" s="25" t="s">
        <v>1437</v>
      </c>
      <c r="D4" s="26" t="s">
        <v>1438</v>
      </c>
      <c r="E4" s="1505"/>
      <c r="F4" s="1505"/>
      <c r="G4" s="1505"/>
      <c r="H4" s="1507"/>
      <c r="I4" s="1509"/>
      <c r="J4" s="62"/>
      <c r="K4" s="25" t="s">
        <v>1437</v>
      </c>
      <c r="L4" s="26" t="s">
        <v>1438</v>
      </c>
      <c r="M4" s="1505"/>
      <c r="N4" s="1505"/>
      <c r="O4" s="1505"/>
      <c r="P4" s="1507"/>
      <c r="Q4" s="1509"/>
    </row>
    <row r="5" spans="1:19">
      <c r="A5" s="27" t="s">
        <v>1007</v>
      </c>
      <c r="B5" s="28" t="s">
        <v>1484</v>
      </c>
      <c r="C5" s="1511"/>
      <c r="D5" s="1512"/>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13"/>
      <c r="D9" s="1514"/>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13"/>
      <c r="D11" s="1514"/>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13"/>
      <c r="D19" s="1515"/>
      <c r="E19" s="1514"/>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22"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23"/>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26" t="s">
        <v>1544</v>
      </c>
      <c r="D4" s="1526"/>
      <c r="E4" s="1526"/>
      <c r="F4" s="1526"/>
      <c r="G4" s="1526"/>
      <c r="H4" s="1526"/>
      <c r="I4" s="1526"/>
    </row>
    <row r="5" spans="3:13">
      <c r="C5" s="17" t="s">
        <v>1545</v>
      </c>
      <c r="D5" s="17" t="s">
        <v>1546</v>
      </c>
      <c r="E5" s="17" t="s">
        <v>1547</v>
      </c>
      <c r="F5" s="1527"/>
      <c r="G5" s="17" t="s">
        <v>1545</v>
      </c>
      <c r="H5" s="17" t="s">
        <v>1548</v>
      </c>
      <c r="I5" s="17" t="s">
        <v>1547</v>
      </c>
    </row>
    <row r="6" spans="3:13">
      <c r="C6" s="18">
        <v>1</v>
      </c>
      <c r="D6" s="19" t="s">
        <v>1549</v>
      </c>
      <c r="E6" s="19" t="s">
        <v>1550</v>
      </c>
      <c r="F6" s="1527"/>
      <c r="G6" s="18">
        <v>1</v>
      </c>
      <c r="H6" s="19" t="s">
        <v>1551</v>
      </c>
      <c r="I6" s="12" t="s">
        <v>1550</v>
      </c>
      <c r="K6" t="s">
        <v>972</v>
      </c>
    </row>
    <row r="7" spans="3:13">
      <c r="C7" s="18">
        <v>2</v>
      </c>
      <c r="D7" s="19" t="s">
        <v>1552</v>
      </c>
      <c r="E7" s="19" t="s">
        <v>1550</v>
      </c>
      <c r="F7" s="1527"/>
      <c r="G7" s="18">
        <v>2</v>
      </c>
      <c r="H7" s="19" t="s">
        <v>1553</v>
      </c>
      <c r="I7" s="12" t="s">
        <v>1550</v>
      </c>
    </row>
    <row r="8" spans="3:13">
      <c r="C8" s="18">
        <v>3</v>
      </c>
      <c r="D8" s="19" t="s">
        <v>1554</v>
      </c>
      <c r="E8" s="19" t="s">
        <v>1550</v>
      </c>
      <c r="F8" s="1527"/>
      <c r="G8" s="18">
        <v>3</v>
      </c>
      <c r="H8" s="19" t="s">
        <v>1555</v>
      </c>
      <c r="I8" s="12" t="s">
        <v>1550</v>
      </c>
    </row>
    <row r="9" spans="3:13">
      <c r="C9" s="18">
        <v>4</v>
      </c>
      <c r="D9" s="19" t="s">
        <v>1556</v>
      </c>
      <c r="E9" s="19" t="s">
        <v>1550</v>
      </c>
      <c r="F9" s="1527"/>
      <c r="G9" s="18">
        <v>4</v>
      </c>
      <c r="H9" s="19" t="s">
        <v>1557</v>
      </c>
      <c r="I9" s="12" t="s">
        <v>1550</v>
      </c>
    </row>
    <row r="10" spans="3:13">
      <c r="C10" s="18">
        <v>5</v>
      </c>
      <c r="D10" s="19" t="s">
        <v>1558</v>
      </c>
      <c r="E10" s="19" t="s">
        <v>1550</v>
      </c>
      <c r="F10" s="1527"/>
      <c r="G10" s="18">
        <v>5</v>
      </c>
      <c r="H10" s="19" t="s">
        <v>1559</v>
      </c>
      <c r="I10" s="12" t="s">
        <v>1550</v>
      </c>
    </row>
    <row r="11" spans="3:13">
      <c r="C11" s="18">
        <v>6</v>
      </c>
      <c r="D11" s="19" t="s">
        <v>1560</v>
      </c>
      <c r="E11" s="19" t="s">
        <v>1550</v>
      </c>
      <c r="F11" s="1527"/>
      <c r="G11" s="18">
        <v>6</v>
      </c>
      <c r="H11" s="19" t="s">
        <v>1561</v>
      </c>
      <c r="I11" s="12" t="s">
        <v>1550</v>
      </c>
    </row>
    <row r="12" spans="3:13">
      <c r="C12" s="18">
        <v>7</v>
      </c>
      <c r="D12" s="19" t="s">
        <v>1562</v>
      </c>
      <c r="E12" s="19" t="s">
        <v>1550</v>
      </c>
      <c r="F12" s="1527"/>
      <c r="G12" s="18">
        <v>7</v>
      </c>
      <c r="H12" s="19" t="s">
        <v>1563</v>
      </c>
      <c r="I12" s="12" t="s">
        <v>1550</v>
      </c>
      <c r="M12">
        <f>624-487</f>
        <v>137</v>
      </c>
    </row>
    <row r="13" spans="3:13">
      <c r="C13" s="18">
        <v>8</v>
      </c>
      <c r="D13" s="19" t="s">
        <v>1564</v>
      </c>
      <c r="E13" s="19" t="s">
        <v>1550</v>
      </c>
      <c r="F13" s="1527"/>
      <c r="G13" s="18">
        <v>8</v>
      </c>
      <c r="H13" s="19" t="s">
        <v>1565</v>
      </c>
      <c r="I13" s="12" t="s">
        <v>1550</v>
      </c>
    </row>
    <row r="14" spans="3:13">
      <c r="C14" s="18">
        <v>9</v>
      </c>
      <c r="D14" s="19" t="s">
        <v>1566</v>
      </c>
      <c r="E14" s="19" t="s">
        <v>1550</v>
      </c>
      <c r="F14" s="1527"/>
      <c r="G14" s="18">
        <v>9</v>
      </c>
      <c r="H14" s="19" t="s">
        <v>1567</v>
      </c>
      <c r="I14" s="12" t="s">
        <v>1550</v>
      </c>
    </row>
    <row r="15" spans="3:13">
      <c r="C15" s="18">
        <v>10</v>
      </c>
      <c r="D15" s="19" t="s">
        <v>1568</v>
      </c>
      <c r="E15" s="19" t="s">
        <v>1550</v>
      </c>
      <c r="F15" s="1527"/>
      <c r="G15" s="18">
        <v>10</v>
      </c>
      <c r="H15" s="20" t="s">
        <v>1569</v>
      </c>
      <c r="I15" s="22" t="s">
        <v>1570</v>
      </c>
    </row>
    <row r="16" spans="3:13">
      <c r="C16" s="18">
        <v>11</v>
      </c>
      <c r="D16" s="19" t="s">
        <v>1571</v>
      </c>
      <c r="E16" s="19" t="s">
        <v>1550</v>
      </c>
      <c r="F16" s="1527"/>
      <c r="G16" s="18">
        <v>11</v>
      </c>
      <c r="H16" s="19" t="s">
        <v>1572</v>
      </c>
      <c r="I16" s="12" t="s">
        <v>1550</v>
      </c>
    </row>
    <row r="17" spans="3:9">
      <c r="C17" s="18">
        <v>12</v>
      </c>
      <c r="D17" s="19" t="s">
        <v>1573</v>
      </c>
      <c r="E17" s="19" t="s">
        <v>1550</v>
      </c>
      <c r="F17" s="1527"/>
      <c r="G17" s="18">
        <v>12</v>
      </c>
      <c r="H17" s="19" t="s">
        <v>1574</v>
      </c>
      <c r="I17" s="12" t="s">
        <v>1550</v>
      </c>
    </row>
    <row r="18" spans="3:9">
      <c r="C18" s="18">
        <v>13</v>
      </c>
      <c r="D18" s="19" t="s">
        <v>1575</v>
      </c>
      <c r="E18" s="19" t="s">
        <v>1550</v>
      </c>
      <c r="F18" s="1527"/>
      <c r="G18" s="18">
        <v>13</v>
      </c>
      <c r="H18" s="19" t="s">
        <v>1576</v>
      </c>
      <c r="I18" s="12" t="s">
        <v>1550</v>
      </c>
    </row>
    <row r="19" spans="3:9">
      <c r="C19" s="18">
        <v>14</v>
      </c>
      <c r="D19" s="19" t="s">
        <v>1577</v>
      </c>
      <c r="E19" s="19" t="s">
        <v>1550</v>
      </c>
      <c r="F19" s="1527"/>
      <c r="G19" s="18">
        <v>14</v>
      </c>
      <c r="H19" s="19" t="s">
        <v>1578</v>
      </c>
      <c r="I19" s="12" t="s">
        <v>1550</v>
      </c>
    </row>
    <row r="20" spans="3:9">
      <c r="C20" s="18">
        <v>15</v>
      </c>
      <c r="D20" s="19" t="s">
        <v>1579</v>
      </c>
      <c r="E20" s="19" t="s">
        <v>1550</v>
      </c>
      <c r="F20" s="1527"/>
      <c r="G20" s="18">
        <v>15</v>
      </c>
      <c r="H20" s="19" t="s">
        <v>1580</v>
      </c>
      <c r="I20" s="12" t="s">
        <v>1550</v>
      </c>
    </row>
    <row r="21" spans="3:9">
      <c r="C21" s="18">
        <v>16</v>
      </c>
      <c r="D21" s="19" t="s">
        <v>1581</v>
      </c>
      <c r="E21" s="19" t="s">
        <v>1550</v>
      </c>
      <c r="F21" s="1527"/>
      <c r="G21" s="18">
        <v>16</v>
      </c>
      <c r="H21" s="19" t="s">
        <v>1582</v>
      </c>
      <c r="I21" s="12" t="s">
        <v>1550</v>
      </c>
    </row>
    <row r="22" spans="3:9">
      <c r="C22" s="18">
        <v>17</v>
      </c>
      <c r="D22" s="19" t="s">
        <v>1583</v>
      </c>
      <c r="E22" s="19" t="s">
        <v>1550</v>
      </c>
      <c r="F22" s="1527"/>
      <c r="G22" s="18">
        <v>17</v>
      </c>
      <c r="H22" s="19" t="s">
        <v>1584</v>
      </c>
      <c r="I22" s="12" t="s">
        <v>1550</v>
      </c>
    </row>
    <row r="23" spans="3:9">
      <c r="C23" s="18">
        <v>18</v>
      </c>
      <c r="D23" s="19" t="s">
        <v>1585</v>
      </c>
      <c r="E23" s="19" t="s">
        <v>1550</v>
      </c>
      <c r="F23" s="1527"/>
      <c r="G23" s="18">
        <v>18</v>
      </c>
      <c r="H23" s="19" t="s">
        <v>1586</v>
      </c>
      <c r="I23" s="12" t="s">
        <v>1550</v>
      </c>
    </row>
    <row r="24" spans="3:9">
      <c r="C24" s="18">
        <v>19</v>
      </c>
      <c r="D24" s="19" t="s">
        <v>1587</v>
      </c>
      <c r="E24" s="19" t="s">
        <v>1550</v>
      </c>
      <c r="F24" s="1527"/>
      <c r="G24" s="18">
        <v>19</v>
      </c>
      <c r="H24" s="19" t="s">
        <v>1588</v>
      </c>
      <c r="I24" s="12" t="s">
        <v>1550</v>
      </c>
    </row>
    <row r="25" spans="3:9">
      <c r="C25" s="18">
        <v>20</v>
      </c>
      <c r="D25" s="19" t="s">
        <v>1589</v>
      </c>
      <c r="E25" s="19" t="s">
        <v>1550</v>
      </c>
      <c r="F25" s="1527"/>
      <c r="G25" s="18">
        <v>20</v>
      </c>
      <c r="H25" s="19" t="s">
        <v>1590</v>
      </c>
      <c r="I25" s="12" t="s">
        <v>1550</v>
      </c>
    </row>
    <row r="26" spans="3:9">
      <c r="C26" s="18">
        <v>21</v>
      </c>
      <c r="D26" s="19" t="s">
        <v>1591</v>
      </c>
      <c r="E26" s="19" t="s">
        <v>1550</v>
      </c>
      <c r="F26" s="1527"/>
      <c r="G26" s="18">
        <v>21</v>
      </c>
      <c r="H26" s="19" t="s">
        <v>1592</v>
      </c>
      <c r="I26" s="12" t="s">
        <v>1550</v>
      </c>
    </row>
    <row r="27" spans="3:9">
      <c r="C27" s="18">
        <v>22</v>
      </c>
      <c r="D27" s="19" t="s">
        <v>1593</v>
      </c>
      <c r="E27" s="19" t="s">
        <v>1550</v>
      </c>
      <c r="F27" s="1527"/>
      <c r="G27" s="18">
        <v>22</v>
      </c>
      <c r="H27" s="20" t="s">
        <v>1594</v>
      </c>
      <c r="I27" s="22" t="s">
        <v>1595</v>
      </c>
    </row>
    <row r="28" spans="3:9">
      <c r="C28" s="18">
        <v>23</v>
      </c>
      <c r="D28" s="19" t="s">
        <v>1596</v>
      </c>
      <c r="E28" s="19" t="s">
        <v>1550</v>
      </c>
      <c r="F28" s="1527"/>
      <c r="G28" s="18">
        <v>23</v>
      </c>
      <c r="H28" s="19" t="s">
        <v>1597</v>
      </c>
      <c r="I28" s="12" t="s">
        <v>1550</v>
      </c>
    </row>
    <row r="29" spans="3:9">
      <c r="C29" s="18">
        <v>24</v>
      </c>
      <c r="D29" s="19" t="s">
        <v>1598</v>
      </c>
      <c r="E29" s="19" t="s">
        <v>1550</v>
      </c>
      <c r="F29" s="1527"/>
      <c r="G29" s="18">
        <v>24</v>
      </c>
      <c r="H29" s="19" t="s">
        <v>1599</v>
      </c>
      <c r="I29" s="12" t="s">
        <v>1550</v>
      </c>
    </row>
    <row r="30" spans="3:9">
      <c r="C30" s="18">
        <v>25</v>
      </c>
      <c r="D30" s="19" t="s">
        <v>1600</v>
      </c>
      <c r="E30" s="19" t="s">
        <v>1550</v>
      </c>
      <c r="F30" s="1527"/>
      <c r="G30" s="18">
        <v>25</v>
      </c>
      <c r="H30" s="19" t="s">
        <v>1601</v>
      </c>
      <c r="I30" s="12" t="s">
        <v>1550</v>
      </c>
    </row>
    <row r="31" spans="3:9">
      <c r="C31" s="18">
        <v>26</v>
      </c>
      <c r="D31" s="19" t="s">
        <v>1602</v>
      </c>
      <c r="E31" s="19" t="s">
        <v>1550</v>
      </c>
      <c r="F31" s="1527"/>
      <c r="G31" s="18">
        <v>26</v>
      </c>
      <c r="H31" s="19" t="s">
        <v>1603</v>
      </c>
      <c r="I31" s="12" t="s">
        <v>1550</v>
      </c>
    </row>
    <row r="32" spans="3:9">
      <c r="C32" s="18">
        <v>27</v>
      </c>
      <c r="D32" s="19" t="s">
        <v>1604</v>
      </c>
      <c r="E32" s="19" t="s">
        <v>1550</v>
      </c>
      <c r="F32" s="1527"/>
      <c r="G32" s="18">
        <v>27</v>
      </c>
      <c r="H32" s="19" t="s">
        <v>1605</v>
      </c>
      <c r="I32" s="12" t="s">
        <v>1550</v>
      </c>
    </row>
    <row r="33" spans="3:9">
      <c r="C33" s="18">
        <v>28</v>
      </c>
      <c r="D33" s="19" t="s">
        <v>1606</v>
      </c>
      <c r="E33" s="19" t="s">
        <v>1550</v>
      </c>
      <c r="F33" s="1527"/>
      <c r="G33" s="18">
        <v>28</v>
      </c>
      <c r="H33" s="19" t="s">
        <v>1607</v>
      </c>
      <c r="I33" s="12" t="s">
        <v>1550</v>
      </c>
    </row>
    <row r="34" spans="3:9">
      <c r="C34" s="18">
        <v>29</v>
      </c>
      <c r="D34" s="19" t="s">
        <v>1608</v>
      </c>
      <c r="E34" s="19" t="s">
        <v>1550</v>
      </c>
      <c r="F34" s="1527"/>
      <c r="G34" s="18">
        <v>29</v>
      </c>
      <c r="H34" s="19" t="s">
        <v>1609</v>
      </c>
      <c r="I34" s="12" t="s">
        <v>1550</v>
      </c>
    </row>
    <row r="35" spans="3:9">
      <c r="C35" s="18">
        <v>30</v>
      </c>
      <c r="D35" s="19" t="s">
        <v>1610</v>
      </c>
      <c r="E35" s="19" t="s">
        <v>1550</v>
      </c>
      <c r="F35" s="1527"/>
      <c r="G35" s="18">
        <v>30</v>
      </c>
      <c r="H35" s="19" t="s">
        <v>1611</v>
      </c>
      <c r="I35" s="12" t="s">
        <v>1550</v>
      </c>
    </row>
    <row r="36" spans="3:9">
      <c r="C36" s="18">
        <v>31</v>
      </c>
      <c r="D36" s="19" t="s">
        <v>1565</v>
      </c>
      <c r="E36" s="19" t="s">
        <v>1550</v>
      </c>
      <c r="F36" s="1527"/>
      <c r="G36" s="18">
        <v>31</v>
      </c>
      <c r="H36" s="19" t="s">
        <v>1612</v>
      </c>
      <c r="I36" s="12" t="s">
        <v>1550</v>
      </c>
    </row>
    <row r="37" spans="3:9">
      <c r="C37" s="18">
        <v>32</v>
      </c>
      <c r="D37" s="19" t="s">
        <v>1613</v>
      </c>
      <c r="E37" s="19" t="s">
        <v>1550</v>
      </c>
      <c r="F37" s="1527"/>
      <c r="G37" s="18">
        <v>32</v>
      </c>
      <c r="H37" s="19" t="s">
        <v>1614</v>
      </c>
      <c r="I37" s="12" t="s">
        <v>1550</v>
      </c>
    </row>
    <row r="38" spans="3:9">
      <c r="C38" s="18">
        <v>33</v>
      </c>
      <c r="D38" s="19" t="s">
        <v>1615</v>
      </c>
      <c r="E38" s="19" t="s">
        <v>1550</v>
      </c>
      <c r="F38" s="1527"/>
      <c r="G38" s="21"/>
      <c r="H38" s="21"/>
      <c r="I38" s="12"/>
    </row>
    <row r="39" spans="3:9">
      <c r="C39" s="18">
        <v>34</v>
      </c>
      <c r="D39" s="19" t="s">
        <v>1616</v>
      </c>
      <c r="E39" s="19" t="s">
        <v>1550</v>
      </c>
      <c r="F39" s="1527"/>
      <c r="G39" s="21"/>
      <c r="H39" s="21"/>
      <c r="I39" s="12"/>
    </row>
    <row r="40" spans="3:9">
      <c r="C40" s="18">
        <v>35</v>
      </c>
      <c r="D40" s="19" t="s">
        <v>1617</v>
      </c>
      <c r="E40" s="19" t="s">
        <v>1550</v>
      </c>
      <c r="F40" s="1527"/>
      <c r="G40" s="21"/>
      <c r="H40" s="21"/>
      <c r="I40" s="12"/>
    </row>
    <row r="41" spans="3:9">
      <c r="C41" s="18">
        <v>36</v>
      </c>
      <c r="D41" s="19" t="s">
        <v>1618</v>
      </c>
      <c r="E41" s="19" t="s">
        <v>1550</v>
      </c>
      <c r="F41" s="1527"/>
      <c r="G41" s="21"/>
      <c r="H41" s="21"/>
      <c r="I41" s="12"/>
    </row>
    <row r="42" spans="3:9">
      <c r="C42" s="18">
        <v>37</v>
      </c>
      <c r="D42" s="19" t="s">
        <v>1619</v>
      </c>
      <c r="E42" s="19" t="s">
        <v>1550</v>
      </c>
      <c r="F42" s="1527"/>
      <c r="G42" s="21"/>
      <c r="H42" s="21"/>
      <c r="I42" s="12"/>
    </row>
    <row r="43" spans="3:9">
      <c r="C43" s="18">
        <v>38</v>
      </c>
      <c r="D43" s="19" t="s">
        <v>1620</v>
      </c>
      <c r="E43" s="19" t="s">
        <v>1550</v>
      </c>
      <c r="F43" s="1527"/>
      <c r="G43" s="21"/>
      <c r="H43" s="21"/>
      <c r="I43" s="12"/>
    </row>
    <row r="44" spans="3:9">
      <c r="C44" s="18">
        <v>39</v>
      </c>
      <c r="D44" s="19" t="s">
        <v>1621</v>
      </c>
      <c r="E44" s="19" t="s">
        <v>1550</v>
      </c>
      <c r="F44" s="1527"/>
      <c r="G44" s="21"/>
      <c r="H44" s="21"/>
      <c r="I44" s="12"/>
    </row>
    <row r="45" spans="3:9">
      <c r="C45" s="18">
        <v>40</v>
      </c>
      <c r="D45" s="19" t="s">
        <v>1622</v>
      </c>
      <c r="E45" s="19" t="s">
        <v>1550</v>
      </c>
      <c r="F45" s="1527"/>
      <c r="G45" s="21"/>
      <c r="H45" s="21"/>
      <c r="I45" s="12"/>
    </row>
    <row r="46" spans="3:9">
      <c r="C46" s="18">
        <v>41</v>
      </c>
      <c r="D46" s="19" t="s">
        <v>1597</v>
      </c>
      <c r="E46" s="19" t="s">
        <v>1550</v>
      </c>
      <c r="F46" s="1527"/>
      <c r="G46" s="21"/>
      <c r="H46" s="21"/>
      <c r="I46" s="12"/>
    </row>
    <row r="47" spans="3:9">
      <c r="C47" s="18">
        <v>42</v>
      </c>
      <c r="D47" s="19" t="s">
        <v>1623</v>
      </c>
      <c r="E47" s="19" t="s">
        <v>1624</v>
      </c>
      <c r="F47" s="1527"/>
      <c r="G47" s="21"/>
      <c r="H47" s="21"/>
      <c r="I47" s="12"/>
    </row>
    <row r="48" spans="3:9">
      <c r="C48" s="18">
        <v>43</v>
      </c>
      <c r="D48" s="19" t="s">
        <v>1625</v>
      </c>
      <c r="E48" s="19"/>
      <c r="F48" s="1527"/>
      <c r="G48" s="21"/>
      <c r="H48" s="21"/>
      <c r="I48" s="12"/>
    </row>
    <row r="49" spans="3:9">
      <c r="C49" s="18">
        <v>44</v>
      </c>
      <c r="D49" s="20" t="s">
        <v>1599</v>
      </c>
      <c r="E49" s="20" t="s">
        <v>1626</v>
      </c>
      <c r="F49" s="1527"/>
      <c r="G49" s="21"/>
      <c r="H49" s="21"/>
      <c r="I49" s="12"/>
    </row>
    <row r="50" spans="3:9">
      <c r="C50" s="18">
        <v>45</v>
      </c>
      <c r="D50" s="20" t="s">
        <v>1627</v>
      </c>
      <c r="E50" s="20" t="s">
        <v>1628</v>
      </c>
      <c r="F50" s="1527"/>
      <c r="G50" s="21"/>
      <c r="H50" s="21"/>
      <c r="I50" s="12"/>
    </row>
    <row r="51" spans="3:9">
      <c r="C51" s="18">
        <v>46</v>
      </c>
      <c r="D51" s="19" t="s">
        <v>1629</v>
      </c>
      <c r="E51" s="19"/>
      <c r="F51" s="1527"/>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Erection -Jammu</vt:lpstr>
      <vt:lpstr>Erection-Punjab</vt:lpstr>
      <vt:lpstr>Vertical Chart -JS Line Punjab</vt:lpstr>
      <vt:lpstr>Sheet7</vt:lpstr>
      <vt:lpstr>Sheet8</vt:lpstr>
      <vt:lpstr>Foundation -LILO</vt:lpstr>
      <vt:lpstr>Foundation -JS Line- Punjab</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2026-03-03T04:40:06Z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